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EstaPasta_de_trabalho" defaultThemeVersion="124226"/>
  <mc:AlternateContent xmlns:mc="http://schemas.openxmlformats.org/markup-compatibility/2006">
    <mc:Choice Requires="x15">
      <x15ac:absPath xmlns:x15ac="http://schemas.microsoft.com/office/spreadsheetml/2010/11/ac" url="I:\SEGECON\2. Atas SRP\1. Atas UDESC\VIGÊNCIA EXPIRADA\2025 PROCESSSO ENCERRADOS\PE 0612.2024 SRP SGPE 42405.2023 - Ar condicionado - VIG 16.05.2025\"/>
    </mc:Choice>
  </mc:AlternateContent>
  <xr:revisionPtr revIDLastSave="0" documentId="13_ncr:1_{785BCE67-E117-4A2F-BCFF-48D474B98775}" xr6:coauthVersionLast="47" xr6:coauthVersionMax="47" xr10:uidLastSave="{00000000-0000-0000-0000-000000000000}"/>
  <bookViews>
    <workbookView xWindow="-110" yWindow="-110" windowWidth="19420" windowHeight="10420" tabRatio="763" firstSheet="2" activeTab="15" xr2:uid="{00000000-000D-0000-FFFF-FFFF00000000}"/>
  </bookViews>
  <sheets>
    <sheet name="REITORIA_SEMS(+BU)" sheetId="1" r:id="rId1"/>
    <sheet name="REITORIA_MUSEU" sheetId="18" r:id="rId2"/>
    <sheet name="CAV" sheetId="19" r:id="rId3"/>
    <sheet name="CCT" sheetId="20" r:id="rId4"/>
    <sheet name="CEAD" sheetId="21" r:id="rId5"/>
    <sheet name="CEART" sheetId="22" r:id="rId6"/>
    <sheet name="CEAVI" sheetId="23" r:id="rId7"/>
    <sheet name="CEFID" sheetId="24" r:id="rId8"/>
    <sheet name="CEO" sheetId="25" r:id="rId9"/>
    <sheet name="CEPLAN" sheetId="26" r:id="rId10"/>
    <sheet name="CERES" sheetId="27" r:id="rId11"/>
    <sheet name="CESFI" sheetId="28" r:id="rId12"/>
    <sheet name="CESMO" sheetId="29" r:id="rId13"/>
    <sheet name="ESAG" sheetId="30" r:id="rId14"/>
    <sheet name="FAED" sheetId="31" r:id="rId15"/>
    <sheet name="GESTOR" sheetId="14" r:id="rId16"/>
    <sheet name="(CARONA)" sheetId="32" r:id="rId17"/>
  </sheets>
  <definedNames>
    <definedName name="_xlnm._FilterDatabase" localSheetId="4" hidden="1">CEAD!$A$3:$AH$85</definedName>
    <definedName name="_xlnm._FilterDatabase" localSheetId="1" hidden="1">REITORIA_MUSEU!$A$3:$AH$85</definedName>
    <definedName name="_xlnm._FilterDatabase" localSheetId="0" hidden="1">'REITORIA_SEMS(+BU)'!$A$3:$AM$85</definedName>
    <definedName name="CEO">#REF!</definedName>
    <definedName name="CEPLAN" localSheetId="15">#REF!</definedName>
    <definedName name="CEPLAN">#REF!</definedName>
    <definedName name="copia">#REF!</definedName>
    <definedName name="diasuteis" localSheetId="15">#REF!</definedName>
    <definedName name="diasuteis">#REF!</definedName>
    <definedName name="Ferias" localSheetId="15">#REF!</definedName>
    <definedName name="Ferias">#REF!</definedName>
    <definedName name="RD" localSheetId="15">OFFSET(#REF!,(MATCH(SMALL(#REF!,ROW()-10),#REF!,0)-1),0)</definedName>
    <definedName name="RD">OFFSET(#REF!,(MATCH(SMALL(#REF!,ROW()-10),#REF!,0)-1),0)</definedName>
  </definedNames>
  <calcPr calcId="191029"/>
  <customWorkbookViews>
    <customWorkbookView name="RAFAEL XAVIER DOS SANTOS MURARO - Modo de exibição pessoal" guid="{621D8238-5429-498F-AC6E-560DC77BBC2F}" mergeInterval="0" personalView="1" maximized="1" xWindow="-8" yWindow="-8" windowWidth="1936" windowHeight="1056" tabRatio="857" activeSheetId="1"/>
    <customWorkbookView name="CAMILA DE ALMEIDA LUCA - Modo de exibição pessoal" guid="{4F310B60-E7C4-463C-82E5-32855552E117}" mergeInterval="0" personalView="1" maximized="1" xWindow="-1288" yWindow="-423" windowWidth="1296" windowHeight="1040" tabRatio="857" activeSheetId="12" showComments="commIndAndComment"/>
    <customWorkbookView name="MARCELO DARCI DE SOUZA - Modo de exibição pessoal" guid="{29377F80-2479-4EEE-B758-5B51FB237957}" mergeInterval="0" personalView="1" maximized="1" xWindow="-8" yWindow="-8" windowWidth="1936" windowHeight="1056" tabRatio="857" activeSheetId="3"/>
    <customWorkbookView name="PAULO EDISON DE LIMA - Modo de exibição pessoal" guid="{B9C3DAFA-017A-49F7-AED8-93B14E732368}" mergeInterval="0" personalView="1" maximized="1" xWindow="1912" yWindow="-8" windowWidth="1936" windowHeight="1056" tabRatio="857"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5" i="23" l="1"/>
  <c r="N45" i="27"/>
  <c r="N42" i="23"/>
  <c r="N42" i="27"/>
  <c r="N39" i="27"/>
  <c r="S39" i="27" s="1"/>
  <c r="N39" i="23"/>
  <c r="S82" i="19" l="1"/>
  <c r="AH82" i="19"/>
  <c r="AI82" i="19"/>
  <c r="AJ82" i="19"/>
  <c r="AK82" i="19"/>
  <c r="AL82" i="19"/>
  <c r="AM82" i="19"/>
  <c r="AN82" i="19"/>
  <c r="AO82" i="19"/>
  <c r="AP82" i="19"/>
  <c r="AG82" i="19"/>
  <c r="V82" i="19"/>
  <c r="W82" i="19"/>
  <c r="X82" i="19"/>
  <c r="Y82" i="19"/>
  <c r="Z82" i="19"/>
  <c r="AA82" i="19"/>
  <c r="AB82" i="19"/>
  <c r="AC82" i="19"/>
  <c r="AD82" i="19"/>
  <c r="AE82" i="19"/>
  <c r="AF82" i="19"/>
  <c r="U82" i="19"/>
  <c r="V82" i="25" l="1"/>
  <c r="W82" i="25"/>
  <c r="X82" i="25"/>
  <c r="Y82" i="25"/>
  <c r="Z82" i="25"/>
  <c r="AA82" i="25"/>
  <c r="AB82" i="25"/>
  <c r="AC82" i="25"/>
  <c r="AD82" i="25"/>
  <c r="AE82" i="25"/>
  <c r="AF82" i="25"/>
  <c r="X82" i="23"/>
  <c r="Y82" i="23"/>
  <c r="Z82" i="23"/>
  <c r="K84" i="28"/>
  <c r="N82" i="28"/>
  <c r="V82" i="27" l="1"/>
  <c r="W82" i="27"/>
  <c r="X82" i="27"/>
  <c r="Y82" i="27"/>
  <c r="Z82" i="27"/>
  <c r="AA82" i="27"/>
  <c r="AB82" i="27"/>
  <c r="AC82" i="27"/>
  <c r="AD82" i="27"/>
  <c r="N82" i="27"/>
  <c r="S82" i="21"/>
  <c r="T82" i="21" s="1"/>
  <c r="N82" i="30"/>
  <c r="AC82" i="30"/>
  <c r="AD82" i="30"/>
  <c r="AE82" i="30"/>
  <c r="AF82" i="30"/>
  <c r="AG82" i="30"/>
  <c r="AH82" i="30"/>
  <c r="S82" i="18"/>
  <c r="T82" i="18" s="1"/>
  <c r="S82" i="1"/>
  <c r="AK82" i="25"/>
  <c r="AJ82" i="25"/>
  <c r="AI82" i="25"/>
  <c r="AH82" i="25"/>
  <c r="AG82" i="25"/>
  <c r="AH82" i="24" l="1"/>
  <c r="AI82" i="24"/>
  <c r="AJ82" i="24"/>
  <c r="AK82" i="24"/>
  <c r="AL82" i="24"/>
  <c r="AM82" i="24"/>
  <c r="AN82" i="24"/>
  <c r="AO82" i="24"/>
  <c r="AP82" i="24"/>
  <c r="N7" i="25" l="1"/>
  <c r="N7" i="24"/>
  <c r="S5"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4" i="1"/>
  <c r="AQ82" i="1"/>
  <c r="AP82" i="1"/>
  <c r="AO82" i="1"/>
  <c r="AN82" i="1"/>
  <c r="I9" i="32"/>
  <c r="G9" i="32"/>
  <c r="F9" i="32"/>
  <c r="N25" i="1"/>
  <c r="N15" i="1"/>
  <c r="AH82" i="1"/>
  <c r="AI82" i="1"/>
  <c r="AJ82" i="1"/>
  <c r="AK82" i="1"/>
  <c r="AL82" i="1"/>
  <c r="AM82" i="1"/>
  <c r="N5" i="1"/>
  <c r="N39" i="22"/>
  <c r="N45" i="22"/>
  <c r="N46" i="27"/>
  <c r="N44" i="27"/>
  <c r="N40" i="27"/>
  <c r="N43" i="27"/>
  <c r="N38" i="27"/>
  <c r="N46" i="22"/>
  <c r="N43" i="22"/>
  <c r="N42" i="22"/>
  <c r="N40" i="22"/>
  <c r="L81" i="31"/>
  <c r="L80" i="31"/>
  <c r="L79" i="31"/>
  <c r="L78" i="31"/>
  <c r="L77" i="31"/>
  <c r="L76" i="31"/>
  <c r="L75" i="31"/>
  <c r="L74" i="31"/>
  <c r="L73" i="31"/>
  <c r="L72" i="31"/>
  <c r="L71" i="31"/>
  <c r="L70" i="31"/>
  <c r="L69" i="31"/>
  <c r="L68" i="31"/>
  <c r="L67" i="31"/>
  <c r="L66" i="31"/>
  <c r="L65" i="31"/>
  <c r="L64" i="31"/>
  <c r="L63" i="31"/>
  <c r="L62" i="31"/>
  <c r="L61" i="31"/>
  <c r="L60" i="31"/>
  <c r="L59" i="31"/>
  <c r="L58" i="31"/>
  <c r="L57" i="31"/>
  <c r="L56" i="31"/>
  <c r="L55" i="31"/>
  <c r="L54" i="31"/>
  <c r="L53" i="31"/>
  <c r="L52" i="31"/>
  <c r="L51" i="31"/>
  <c r="L50" i="31"/>
  <c r="L49" i="31"/>
  <c r="L48" i="31"/>
  <c r="L47" i="31"/>
  <c r="L46" i="31"/>
  <c r="L45" i="31"/>
  <c r="L44" i="31"/>
  <c r="L43" i="31"/>
  <c r="L42" i="31"/>
  <c r="L41" i="31"/>
  <c r="L40" i="31"/>
  <c r="L39" i="31"/>
  <c r="L38" i="31"/>
  <c r="L37" i="31"/>
  <c r="L36" i="31"/>
  <c r="L35" i="31"/>
  <c r="L34" i="31"/>
  <c r="L33" i="31"/>
  <c r="L32" i="31"/>
  <c r="L31" i="31"/>
  <c r="L30" i="31"/>
  <c r="L29" i="31"/>
  <c r="L28" i="31"/>
  <c r="L27" i="31"/>
  <c r="L26" i="31"/>
  <c r="L25" i="31"/>
  <c r="L24" i="31"/>
  <c r="L23" i="31"/>
  <c r="L22" i="31"/>
  <c r="L21" i="31"/>
  <c r="L20" i="31"/>
  <c r="L19" i="31"/>
  <c r="L18" i="31"/>
  <c r="L17" i="31"/>
  <c r="L16" i="31"/>
  <c r="L15" i="31"/>
  <c r="L14" i="31"/>
  <c r="L13" i="31"/>
  <c r="L12" i="31"/>
  <c r="L11" i="31"/>
  <c r="L10" i="31"/>
  <c r="L9" i="31"/>
  <c r="L8" i="31"/>
  <c r="L7" i="31"/>
  <c r="L6" i="31"/>
  <c r="L5" i="31"/>
  <c r="L4" i="31"/>
  <c r="L81" i="30"/>
  <c r="L80" i="30"/>
  <c r="L79" i="30"/>
  <c r="L78" i="30"/>
  <c r="L77" i="30"/>
  <c r="L76" i="30"/>
  <c r="L75" i="30"/>
  <c r="L74" i="30"/>
  <c r="L73" i="30"/>
  <c r="L72" i="30"/>
  <c r="L71" i="30"/>
  <c r="L70" i="30"/>
  <c r="L69" i="30"/>
  <c r="L68" i="30"/>
  <c r="L67" i="30"/>
  <c r="L66" i="30"/>
  <c r="L65" i="30"/>
  <c r="L64" i="30"/>
  <c r="L63" i="30"/>
  <c r="L62" i="30"/>
  <c r="L61" i="30"/>
  <c r="L60" i="30"/>
  <c r="L59" i="30"/>
  <c r="L58" i="30"/>
  <c r="L57" i="30"/>
  <c r="L56" i="30"/>
  <c r="L55" i="30"/>
  <c r="L54" i="30"/>
  <c r="L53" i="30"/>
  <c r="L52" i="30"/>
  <c r="L51" i="30"/>
  <c r="L50" i="30"/>
  <c r="L49" i="30"/>
  <c r="L48" i="30"/>
  <c r="L47" i="30"/>
  <c r="L46" i="30"/>
  <c r="L45" i="30"/>
  <c r="L44" i="30"/>
  <c r="L43" i="30"/>
  <c r="L42" i="30"/>
  <c r="L41" i="30"/>
  <c r="L40" i="30"/>
  <c r="L39" i="30"/>
  <c r="L38" i="30"/>
  <c r="L37" i="30"/>
  <c r="L36" i="30"/>
  <c r="L35" i="30"/>
  <c r="L34" i="30"/>
  <c r="L33" i="30"/>
  <c r="L32" i="30"/>
  <c r="L31" i="30"/>
  <c r="L30" i="30"/>
  <c r="L29" i="30"/>
  <c r="L28" i="30"/>
  <c r="L27" i="30"/>
  <c r="L26" i="30"/>
  <c r="L25" i="30"/>
  <c r="L24" i="30"/>
  <c r="L23" i="30"/>
  <c r="L22" i="30"/>
  <c r="L21" i="30"/>
  <c r="L20" i="30"/>
  <c r="L19" i="30"/>
  <c r="L18" i="30"/>
  <c r="L17" i="30"/>
  <c r="L16" i="30"/>
  <c r="L15" i="30"/>
  <c r="L14" i="30"/>
  <c r="L13" i="30"/>
  <c r="L12" i="30"/>
  <c r="L11" i="30"/>
  <c r="L10" i="30"/>
  <c r="L9" i="30"/>
  <c r="L8" i="30"/>
  <c r="L7" i="30"/>
  <c r="L6" i="30"/>
  <c r="L5" i="30"/>
  <c r="L4" i="30"/>
  <c r="L81" i="29"/>
  <c r="L80" i="29"/>
  <c r="L79" i="29"/>
  <c r="L78" i="29"/>
  <c r="L77" i="29"/>
  <c r="L76" i="29"/>
  <c r="L75" i="29"/>
  <c r="L74" i="29"/>
  <c r="L73" i="29"/>
  <c r="L72" i="29"/>
  <c r="L71" i="29"/>
  <c r="L70" i="29"/>
  <c r="L69" i="29"/>
  <c r="L68" i="29"/>
  <c r="L67" i="29"/>
  <c r="L66" i="29"/>
  <c r="L65" i="29"/>
  <c r="L64" i="29"/>
  <c r="L63" i="29"/>
  <c r="L62" i="29"/>
  <c r="L61" i="29"/>
  <c r="L60" i="29"/>
  <c r="L59" i="29"/>
  <c r="L58" i="29"/>
  <c r="L57" i="29"/>
  <c r="L56" i="29"/>
  <c r="L55" i="29"/>
  <c r="L54" i="29"/>
  <c r="L53" i="29"/>
  <c r="L52" i="29"/>
  <c r="L51" i="29"/>
  <c r="L50" i="29"/>
  <c r="L49" i="29"/>
  <c r="L48" i="29"/>
  <c r="L47" i="29"/>
  <c r="L46" i="29"/>
  <c r="L45" i="29"/>
  <c r="L44" i="29"/>
  <c r="L43" i="29"/>
  <c r="L42" i="29"/>
  <c r="L41" i="29"/>
  <c r="L40" i="29"/>
  <c r="L39" i="29"/>
  <c r="L38" i="29"/>
  <c r="L37" i="29"/>
  <c r="L36" i="29"/>
  <c r="L35" i="29"/>
  <c r="L34" i="29"/>
  <c r="L33" i="29"/>
  <c r="L32" i="29"/>
  <c r="L31" i="29"/>
  <c r="L30" i="29"/>
  <c r="L29" i="29"/>
  <c r="L28" i="29"/>
  <c r="L27" i="29"/>
  <c r="L26" i="29"/>
  <c r="L25" i="29"/>
  <c r="L24" i="29"/>
  <c r="L23" i="29"/>
  <c r="L22" i="29"/>
  <c r="L21" i="29"/>
  <c r="L20" i="29"/>
  <c r="L19" i="29"/>
  <c r="L18" i="29"/>
  <c r="L17" i="29"/>
  <c r="L16" i="29"/>
  <c r="L15" i="29"/>
  <c r="L14" i="29"/>
  <c r="L13" i="29"/>
  <c r="L12" i="29"/>
  <c r="L11" i="29"/>
  <c r="L10" i="29"/>
  <c r="L9" i="29"/>
  <c r="L8" i="29"/>
  <c r="L7" i="29"/>
  <c r="L6" i="29"/>
  <c r="L5" i="29"/>
  <c r="L4" i="29"/>
  <c r="L81" i="28"/>
  <c r="L80" i="28"/>
  <c r="L79" i="28"/>
  <c r="L78" i="28"/>
  <c r="L77" i="28"/>
  <c r="L76" i="28"/>
  <c r="L75" i="28"/>
  <c r="L74" i="28"/>
  <c r="L73" i="28"/>
  <c r="L72" i="28"/>
  <c r="L71" i="28"/>
  <c r="L70" i="28"/>
  <c r="L69" i="28"/>
  <c r="L68" i="28"/>
  <c r="L67" i="28"/>
  <c r="L66" i="28"/>
  <c r="L65" i="28"/>
  <c r="L64" i="28"/>
  <c r="L63" i="28"/>
  <c r="L62" i="28"/>
  <c r="L61" i="28"/>
  <c r="L60" i="28"/>
  <c r="L59" i="28"/>
  <c r="L58" i="28"/>
  <c r="L57" i="28"/>
  <c r="L56" i="28"/>
  <c r="L55" i="28"/>
  <c r="L54" i="28"/>
  <c r="L53" i="28"/>
  <c r="L52" i="28"/>
  <c r="L51" i="28"/>
  <c r="L50" i="28"/>
  <c r="L49" i="28"/>
  <c r="L48" i="28"/>
  <c r="L47" i="28"/>
  <c r="L46" i="28"/>
  <c r="L45" i="28"/>
  <c r="L44" i="28"/>
  <c r="L43" i="28"/>
  <c r="L42" i="28"/>
  <c r="L41" i="28"/>
  <c r="L40" i="28"/>
  <c r="L39" i="28"/>
  <c r="L38" i="28"/>
  <c r="L37" i="28"/>
  <c r="L36" i="28"/>
  <c r="L35" i="28"/>
  <c r="L34" i="28"/>
  <c r="L33" i="28"/>
  <c r="L32" i="28"/>
  <c r="L31" i="28"/>
  <c r="L30" i="28"/>
  <c r="L29" i="28"/>
  <c r="L28" i="28"/>
  <c r="L27" i="28"/>
  <c r="L26" i="28"/>
  <c r="L25" i="28"/>
  <c r="L24" i="28"/>
  <c r="L23" i="28"/>
  <c r="L22" i="28"/>
  <c r="L21" i="28"/>
  <c r="L20" i="28"/>
  <c r="L19" i="28"/>
  <c r="L18" i="28"/>
  <c r="L17" i="28"/>
  <c r="L16" i="28"/>
  <c r="L15" i="28"/>
  <c r="L14" i="28"/>
  <c r="L13" i="28"/>
  <c r="L12" i="28"/>
  <c r="L11" i="28"/>
  <c r="L10" i="28"/>
  <c r="L9" i="28"/>
  <c r="L8" i="28"/>
  <c r="L7" i="28"/>
  <c r="L6" i="28"/>
  <c r="L5" i="28"/>
  <c r="L4" i="28"/>
  <c r="K82" i="22"/>
  <c r="K82" i="21"/>
  <c r="K82" i="18"/>
  <c r="L81" i="26"/>
  <c r="L80" i="26"/>
  <c r="L79" i="26"/>
  <c r="L78" i="26"/>
  <c r="L77" i="26"/>
  <c r="L76" i="26"/>
  <c r="L75" i="26"/>
  <c r="L74" i="26"/>
  <c r="L73" i="26"/>
  <c r="L72" i="26"/>
  <c r="L71" i="26"/>
  <c r="L70" i="26"/>
  <c r="L69" i="26"/>
  <c r="L68" i="26"/>
  <c r="L67" i="26"/>
  <c r="L66" i="26"/>
  <c r="L65" i="26"/>
  <c r="L64" i="26"/>
  <c r="L63" i="26"/>
  <c r="L62" i="26"/>
  <c r="L61" i="26"/>
  <c r="L60" i="26"/>
  <c r="L59" i="26"/>
  <c r="L58" i="26"/>
  <c r="L57" i="26"/>
  <c r="L56" i="26"/>
  <c r="L55" i="26"/>
  <c r="L54" i="26"/>
  <c r="L53" i="26"/>
  <c r="L52" i="26"/>
  <c r="L51" i="26"/>
  <c r="L50" i="26"/>
  <c r="L49" i="26"/>
  <c r="L48" i="26"/>
  <c r="L47" i="26"/>
  <c r="L46" i="26"/>
  <c r="L45" i="26"/>
  <c r="L44" i="26"/>
  <c r="L43" i="26"/>
  <c r="L42" i="26"/>
  <c r="L41" i="26"/>
  <c r="L40" i="26"/>
  <c r="L39" i="26"/>
  <c r="L38" i="26"/>
  <c r="L37" i="26"/>
  <c r="L36" i="26"/>
  <c r="L35" i="26"/>
  <c r="L34" i="26"/>
  <c r="L33" i="26"/>
  <c r="L32" i="26"/>
  <c r="L31" i="26"/>
  <c r="L30" i="26"/>
  <c r="L29" i="26"/>
  <c r="L28" i="26"/>
  <c r="L27" i="26"/>
  <c r="L26" i="26"/>
  <c r="L25" i="26"/>
  <c r="L24" i="26"/>
  <c r="L23" i="26"/>
  <c r="L22" i="26"/>
  <c r="L21" i="26"/>
  <c r="L20" i="26"/>
  <c r="L19" i="26"/>
  <c r="L18" i="26"/>
  <c r="L17" i="26"/>
  <c r="L16" i="26"/>
  <c r="L15" i="26"/>
  <c r="L14" i="26"/>
  <c r="L13" i="26"/>
  <c r="L12" i="26"/>
  <c r="L11" i="26"/>
  <c r="L10" i="26"/>
  <c r="L9" i="26"/>
  <c r="L8" i="26"/>
  <c r="L7" i="26"/>
  <c r="L6" i="26"/>
  <c r="L5" i="26"/>
  <c r="L4" i="26"/>
  <c r="L81" i="23"/>
  <c r="L80" i="23"/>
  <c r="L79" i="23"/>
  <c r="L78" i="23"/>
  <c r="L77" i="23"/>
  <c r="L76" i="23"/>
  <c r="L75" i="23"/>
  <c r="L74" i="23"/>
  <c r="L73" i="23"/>
  <c r="L72" i="23"/>
  <c r="L71" i="23"/>
  <c r="L70" i="23"/>
  <c r="L69" i="23"/>
  <c r="L68" i="23"/>
  <c r="L67" i="23"/>
  <c r="L66" i="23"/>
  <c r="L65" i="23"/>
  <c r="L64" i="23"/>
  <c r="L63" i="23"/>
  <c r="L62" i="23"/>
  <c r="L61" i="23"/>
  <c r="L60" i="23"/>
  <c r="L59" i="23"/>
  <c r="L58" i="23"/>
  <c r="L57" i="23"/>
  <c r="L56" i="23"/>
  <c r="L55" i="23"/>
  <c r="L54" i="23"/>
  <c r="L53" i="23"/>
  <c r="L52" i="23"/>
  <c r="L51" i="23"/>
  <c r="L50" i="23"/>
  <c r="L49" i="23"/>
  <c r="L48" i="23"/>
  <c r="L47" i="23"/>
  <c r="L46" i="23"/>
  <c r="L45" i="23"/>
  <c r="L44" i="23"/>
  <c r="L43" i="23"/>
  <c r="L42" i="23"/>
  <c r="L41" i="23"/>
  <c r="L40" i="23"/>
  <c r="L39" i="23"/>
  <c r="L38" i="23"/>
  <c r="L37" i="23"/>
  <c r="L36" i="23"/>
  <c r="L35" i="23"/>
  <c r="L34" i="23"/>
  <c r="L33" i="23"/>
  <c r="L32" i="23"/>
  <c r="L31" i="23"/>
  <c r="L30" i="23"/>
  <c r="L29" i="23"/>
  <c r="L28" i="23"/>
  <c r="L27" i="23"/>
  <c r="L26" i="23"/>
  <c r="L25" i="23"/>
  <c r="L24" i="23"/>
  <c r="L23" i="23"/>
  <c r="L22" i="23"/>
  <c r="L21" i="23"/>
  <c r="L20" i="23"/>
  <c r="L19" i="23"/>
  <c r="L18" i="23"/>
  <c r="L17" i="23"/>
  <c r="L16" i="23"/>
  <c r="L15" i="23"/>
  <c r="L14" i="23"/>
  <c r="L13" i="23"/>
  <c r="L12" i="23"/>
  <c r="L11" i="23"/>
  <c r="L10" i="23"/>
  <c r="L9" i="23"/>
  <c r="L8" i="23"/>
  <c r="L7" i="23"/>
  <c r="L6" i="23"/>
  <c r="L5" i="23"/>
  <c r="L4" i="23"/>
  <c r="L81" i="22"/>
  <c r="L80" i="22"/>
  <c r="L79" i="22"/>
  <c r="L78" i="22"/>
  <c r="L77" i="22"/>
  <c r="L76" i="22"/>
  <c r="L75" i="22"/>
  <c r="L74" i="22"/>
  <c r="L73" i="22"/>
  <c r="L72" i="22"/>
  <c r="L71" i="22"/>
  <c r="L70" i="22"/>
  <c r="L69" i="22"/>
  <c r="L68" i="22"/>
  <c r="L67" i="22"/>
  <c r="L66" i="22"/>
  <c r="L65" i="22"/>
  <c r="L64" i="22"/>
  <c r="L63" i="22"/>
  <c r="L62" i="22"/>
  <c r="L61" i="22"/>
  <c r="L60" i="22"/>
  <c r="L59" i="22"/>
  <c r="L58" i="22"/>
  <c r="L57" i="22"/>
  <c r="L56" i="22"/>
  <c r="L55" i="22"/>
  <c r="L54" i="22"/>
  <c r="L53" i="22"/>
  <c r="L52" i="22"/>
  <c r="L51" i="22"/>
  <c r="L50" i="22"/>
  <c r="L49" i="22"/>
  <c r="L48" i="22"/>
  <c r="L47" i="22"/>
  <c r="L46" i="22"/>
  <c r="L45" i="22"/>
  <c r="L44" i="22"/>
  <c r="L43" i="22"/>
  <c r="L42" i="22"/>
  <c r="L41" i="22"/>
  <c r="L40" i="22"/>
  <c r="L39" i="22"/>
  <c r="L38" i="22"/>
  <c r="L37" i="22"/>
  <c r="L36" i="22"/>
  <c r="L35" i="22"/>
  <c r="L34" i="22"/>
  <c r="L33" i="22"/>
  <c r="L32" i="22"/>
  <c r="L31" i="22"/>
  <c r="L30" i="22"/>
  <c r="L29" i="22"/>
  <c r="L28" i="22"/>
  <c r="L27" i="22"/>
  <c r="L26" i="22"/>
  <c r="L25" i="22"/>
  <c r="L24" i="22"/>
  <c r="L23" i="22"/>
  <c r="L22" i="22"/>
  <c r="L21" i="22"/>
  <c r="L20" i="22"/>
  <c r="L19" i="22"/>
  <c r="L18" i="22"/>
  <c r="L17" i="22"/>
  <c r="L16" i="22"/>
  <c r="L15" i="22"/>
  <c r="L14" i="22"/>
  <c r="L13" i="22"/>
  <c r="L12" i="22"/>
  <c r="L11" i="22"/>
  <c r="L10" i="22"/>
  <c r="L9" i="22"/>
  <c r="L8" i="22"/>
  <c r="L7" i="22"/>
  <c r="L6" i="22"/>
  <c r="L5" i="22"/>
  <c r="L4" i="22"/>
  <c r="L81" i="21"/>
  <c r="L80" i="21"/>
  <c r="L79" i="21"/>
  <c r="L78" i="21"/>
  <c r="L77" i="21"/>
  <c r="L76" i="21"/>
  <c r="L75" i="21"/>
  <c r="L74" i="21"/>
  <c r="L73" i="21"/>
  <c r="L72" i="21"/>
  <c r="L71" i="21"/>
  <c r="L70" i="21"/>
  <c r="L69" i="21"/>
  <c r="L68" i="21"/>
  <c r="L67" i="21"/>
  <c r="L66" i="21"/>
  <c r="L65" i="21"/>
  <c r="L64" i="21"/>
  <c r="L63" i="21"/>
  <c r="L62" i="21"/>
  <c r="L61" i="21"/>
  <c r="L60" i="21"/>
  <c r="L59" i="21"/>
  <c r="L58" i="21"/>
  <c r="L57" i="21"/>
  <c r="L56" i="21"/>
  <c r="L55" i="21"/>
  <c r="L54" i="21"/>
  <c r="L53" i="21"/>
  <c r="L52" i="21"/>
  <c r="L51" i="21"/>
  <c r="L50" i="21"/>
  <c r="L49" i="21"/>
  <c r="L48" i="21"/>
  <c r="L47" i="21"/>
  <c r="L46" i="21"/>
  <c r="L45" i="21"/>
  <c r="L44" i="21"/>
  <c r="L43" i="21"/>
  <c r="L42" i="21"/>
  <c r="L41" i="21"/>
  <c r="L40" i="21"/>
  <c r="L39" i="21"/>
  <c r="L38" i="21"/>
  <c r="L37" i="21"/>
  <c r="L36" i="21"/>
  <c r="L35" i="21"/>
  <c r="L34" i="21"/>
  <c r="L33" i="21"/>
  <c r="L32" i="21"/>
  <c r="L31" i="21"/>
  <c r="L30" i="21"/>
  <c r="L29" i="21"/>
  <c r="L28" i="21"/>
  <c r="L27" i="21"/>
  <c r="L26" i="21"/>
  <c r="L25" i="21"/>
  <c r="L24" i="21"/>
  <c r="L23" i="21"/>
  <c r="L22" i="21"/>
  <c r="L21" i="21"/>
  <c r="L20" i="21"/>
  <c r="L19" i="21"/>
  <c r="L18" i="21"/>
  <c r="L17" i="21"/>
  <c r="L16" i="21"/>
  <c r="L15" i="21"/>
  <c r="L14" i="21"/>
  <c r="L13" i="21"/>
  <c r="L12" i="21"/>
  <c r="L11" i="21"/>
  <c r="L10" i="21"/>
  <c r="L9" i="21"/>
  <c r="L8" i="21"/>
  <c r="L7" i="21"/>
  <c r="L6" i="21"/>
  <c r="L5" i="21"/>
  <c r="L4" i="21"/>
  <c r="L81" i="18"/>
  <c r="L80" i="18"/>
  <c r="L79" i="18"/>
  <c r="L78" i="18"/>
  <c r="L77" i="18"/>
  <c r="L76" i="18"/>
  <c r="L75" i="18"/>
  <c r="L74" i="18"/>
  <c r="L73" i="18"/>
  <c r="L72" i="18"/>
  <c r="L71" i="18"/>
  <c r="L70" i="18"/>
  <c r="L69" i="18"/>
  <c r="L68" i="18"/>
  <c r="L67" i="18"/>
  <c r="L66" i="18"/>
  <c r="L65" i="18"/>
  <c r="L64" i="18"/>
  <c r="L63" i="18"/>
  <c r="L62" i="18"/>
  <c r="L61" i="18"/>
  <c r="L60" i="18"/>
  <c r="L59" i="18"/>
  <c r="L58" i="18"/>
  <c r="L57" i="18"/>
  <c r="L56" i="18"/>
  <c r="L55" i="18"/>
  <c r="L54" i="18"/>
  <c r="L53" i="18"/>
  <c r="L52" i="18"/>
  <c r="L51" i="18"/>
  <c r="L50" i="18"/>
  <c r="L49" i="18"/>
  <c r="L48" i="18"/>
  <c r="L47" i="18"/>
  <c r="L46" i="18"/>
  <c r="L45" i="18"/>
  <c r="L44" i="18"/>
  <c r="L43" i="18"/>
  <c r="L42" i="18"/>
  <c r="L41" i="18"/>
  <c r="L40" i="18"/>
  <c r="L39" i="18"/>
  <c r="L38" i="18"/>
  <c r="L37" i="18"/>
  <c r="L36" i="18"/>
  <c r="L35" i="18"/>
  <c r="L34" i="18"/>
  <c r="L33" i="18"/>
  <c r="L32" i="18"/>
  <c r="L31" i="18"/>
  <c r="L30" i="18"/>
  <c r="L29" i="18"/>
  <c r="L28" i="18"/>
  <c r="L27" i="18"/>
  <c r="L26" i="18"/>
  <c r="L25" i="18"/>
  <c r="L24" i="18"/>
  <c r="L23" i="18"/>
  <c r="L22" i="18"/>
  <c r="L21" i="18"/>
  <c r="L20" i="18"/>
  <c r="L19" i="18"/>
  <c r="L18" i="18"/>
  <c r="L17" i="18"/>
  <c r="L16" i="18"/>
  <c r="L15" i="18"/>
  <c r="L14" i="18"/>
  <c r="L13" i="18"/>
  <c r="L12" i="18"/>
  <c r="L11" i="18"/>
  <c r="L10" i="18"/>
  <c r="L9" i="18"/>
  <c r="L8" i="18"/>
  <c r="L7" i="18"/>
  <c r="L6" i="18"/>
  <c r="L5" i="18"/>
  <c r="L4" i="18"/>
  <c r="L9" i="1"/>
  <c r="L10" i="1"/>
  <c r="L11" i="1"/>
  <c r="L12" i="1"/>
  <c r="L13" i="1"/>
  <c r="N14" i="29"/>
  <c r="V82" i="29"/>
  <c r="U82" i="29"/>
  <c r="N15" i="29"/>
  <c r="K15" i="29"/>
  <c r="K14" i="29"/>
  <c r="K82" i="29"/>
  <c r="K15" i="19"/>
  <c r="S15" i="19" s="1"/>
  <c r="K9" i="19"/>
  <c r="S9" i="19" s="1"/>
  <c r="K28" i="25"/>
  <c r="S28" i="25" s="1"/>
  <c r="U82" i="25"/>
  <c r="K7" i="25"/>
  <c r="S7" i="25" s="1"/>
  <c r="V82" i="23"/>
  <c r="W82" i="23"/>
  <c r="U82" i="23"/>
  <c r="K82" i="23"/>
  <c r="O82" i="23" s="1"/>
  <c r="S82" i="26"/>
  <c r="K82" i="26"/>
  <c r="O82" i="26" s="1"/>
  <c r="K24" i="20"/>
  <c r="L24" i="20" s="1"/>
  <c r="V82" i="20"/>
  <c r="W82" i="20"/>
  <c r="X82" i="20"/>
  <c r="Y82" i="20"/>
  <c r="Z82" i="20"/>
  <c r="AA82" i="20"/>
  <c r="U82" i="20"/>
  <c r="K7" i="28"/>
  <c r="U82" i="28"/>
  <c r="K82" i="28"/>
  <c r="O82" i="28"/>
  <c r="L9" i="19" l="1"/>
  <c r="L15" i="19"/>
  <c r="L28" i="25"/>
  <c r="L7" i="25"/>
  <c r="S42" i="27"/>
  <c r="S43" i="27"/>
  <c r="K46" i="27"/>
  <c r="L46" i="27" s="1"/>
  <c r="K45" i="27"/>
  <c r="L45" i="27" s="1"/>
  <c r="K44" i="27"/>
  <c r="L44" i="27" s="1"/>
  <c r="K43" i="27"/>
  <c r="L43" i="27" s="1"/>
  <c r="K42" i="27"/>
  <c r="L42" i="27" s="1"/>
  <c r="K40" i="27"/>
  <c r="L40" i="27" s="1"/>
  <c r="K39" i="27"/>
  <c r="L39" i="27" s="1"/>
  <c r="U82" i="27"/>
  <c r="V82" i="24"/>
  <c r="W82" i="24"/>
  <c r="X82" i="24"/>
  <c r="Y82" i="24"/>
  <c r="Z82" i="24"/>
  <c r="AA82" i="24"/>
  <c r="AB82" i="24"/>
  <c r="AC82" i="24"/>
  <c r="AD82" i="24"/>
  <c r="AE82" i="24"/>
  <c r="AF82" i="24"/>
  <c r="AG82" i="24"/>
  <c r="U82" i="24"/>
  <c r="K15" i="24"/>
  <c r="L15" i="24" s="1"/>
  <c r="K14" i="24"/>
  <c r="L14" i="24" s="1"/>
  <c r="S46" i="27" l="1"/>
  <c r="S40" i="27"/>
  <c r="S45" i="27"/>
  <c r="S44" i="27"/>
  <c r="K24" i="31"/>
  <c r="S81" i="31" l="1"/>
  <c r="K28" i="31"/>
  <c r="K82" i="31" s="1"/>
  <c r="O82" i="31" s="1"/>
  <c r="V82" i="31"/>
  <c r="W82" i="31"/>
  <c r="X82" i="31"/>
  <c r="Y82" i="31"/>
  <c r="Z82" i="31"/>
  <c r="U82" i="31"/>
  <c r="K48" i="31"/>
  <c r="S81" i="22"/>
  <c r="V82" i="22"/>
  <c r="W82" i="22"/>
  <c r="X82" i="22"/>
  <c r="Y82" i="22"/>
  <c r="Z82" i="22"/>
  <c r="U82" i="22"/>
  <c r="K46" i="22"/>
  <c r="O82" i="22" s="1"/>
  <c r="K45" i="22"/>
  <c r="K43" i="22"/>
  <c r="K42" i="22"/>
  <c r="K40" i="22"/>
  <c r="K39" i="22"/>
  <c r="K46" i="30"/>
  <c r="K45" i="30"/>
  <c r="K44" i="30"/>
  <c r="K42" i="30"/>
  <c r="K40" i="30"/>
  <c r="K28" i="30"/>
  <c r="N28" i="30"/>
  <c r="K82" i="30" l="1"/>
  <c r="O82" i="30" s="1"/>
  <c r="S81" i="30"/>
  <c r="V82" i="30"/>
  <c r="W82" i="30"/>
  <c r="X82" i="30"/>
  <c r="Y82" i="30"/>
  <c r="Z82" i="30"/>
  <c r="AA82" i="30"/>
  <c r="AB82" i="30"/>
  <c r="U82" i="30"/>
  <c r="S80" i="31"/>
  <c r="S79" i="31"/>
  <c r="S78" i="31"/>
  <c r="S77" i="31"/>
  <c r="S76" i="31"/>
  <c r="S75" i="31"/>
  <c r="S74" i="31"/>
  <c r="S73" i="31"/>
  <c r="S72" i="31"/>
  <c r="S71" i="31"/>
  <c r="S70" i="31"/>
  <c r="S69" i="31"/>
  <c r="S68" i="31"/>
  <c r="S67" i="31"/>
  <c r="S66" i="31"/>
  <c r="S65" i="31"/>
  <c r="S64" i="31"/>
  <c r="S63" i="31"/>
  <c r="S62" i="31"/>
  <c r="S61" i="31"/>
  <c r="S60" i="31"/>
  <c r="S59" i="31"/>
  <c r="S58" i="31"/>
  <c r="S57" i="31"/>
  <c r="S56" i="31"/>
  <c r="S55" i="31"/>
  <c r="S54" i="31"/>
  <c r="S53" i="31"/>
  <c r="S52" i="31"/>
  <c r="S51" i="31"/>
  <c r="S50" i="31"/>
  <c r="S49" i="31"/>
  <c r="S48" i="31"/>
  <c r="S47" i="31"/>
  <c r="S46" i="31"/>
  <c r="S45" i="31"/>
  <c r="S44" i="31"/>
  <c r="S43" i="31"/>
  <c r="S42" i="31"/>
  <c r="S41" i="31"/>
  <c r="S40" i="31"/>
  <c r="S39" i="31"/>
  <c r="S38" i="31"/>
  <c r="S37" i="31"/>
  <c r="S36" i="31"/>
  <c r="S35" i="31"/>
  <c r="S34" i="31"/>
  <c r="S33" i="31"/>
  <c r="S32" i="31"/>
  <c r="S31" i="31"/>
  <c r="S30" i="31"/>
  <c r="S29" i="31"/>
  <c r="S28" i="31"/>
  <c r="S27" i="31"/>
  <c r="S26" i="31"/>
  <c r="S25" i="31"/>
  <c r="S24" i="31"/>
  <c r="S23" i="31"/>
  <c r="S22" i="31"/>
  <c r="S21" i="31"/>
  <c r="S20" i="31"/>
  <c r="S19" i="31"/>
  <c r="S18" i="31"/>
  <c r="S17" i="31"/>
  <c r="S16" i="31"/>
  <c r="S15" i="31"/>
  <c r="S14" i="31"/>
  <c r="S13" i="31"/>
  <c r="S12" i="31"/>
  <c r="S11" i="31"/>
  <c r="S10" i="31"/>
  <c r="S9" i="31"/>
  <c r="S8" i="31"/>
  <c r="S7" i="31"/>
  <c r="S6" i="31"/>
  <c r="S5" i="31"/>
  <c r="S4" i="31"/>
  <c r="S80" i="30"/>
  <c r="S79" i="30"/>
  <c r="S78" i="30"/>
  <c r="S77" i="30"/>
  <c r="S76" i="30"/>
  <c r="S75" i="30"/>
  <c r="S74" i="30"/>
  <c r="S73" i="30"/>
  <c r="S72" i="30"/>
  <c r="S71" i="30"/>
  <c r="S70" i="30"/>
  <c r="S69" i="30"/>
  <c r="S68" i="30"/>
  <c r="S67" i="30"/>
  <c r="S66" i="30"/>
  <c r="S65" i="30"/>
  <c r="S64" i="30"/>
  <c r="S63" i="30"/>
  <c r="S62" i="30"/>
  <c r="S61" i="30"/>
  <c r="S60" i="30"/>
  <c r="S59" i="30"/>
  <c r="S58" i="30"/>
  <c r="S57" i="30"/>
  <c r="S56" i="30"/>
  <c r="S55" i="30"/>
  <c r="S54" i="30"/>
  <c r="S53" i="30"/>
  <c r="S52" i="30"/>
  <c r="S51" i="30"/>
  <c r="S50" i="30"/>
  <c r="S49" i="30"/>
  <c r="S48" i="30"/>
  <c r="S47" i="30"/>
  <c r="S46" i="30"/>
  <c r="S45" i="30"/>
  <c r="S44" i="30"/>
  <c r="S43" i="30"/>
  <c r="S42" i="30"/>
  <c r="S41" i="30"/>
  <c r="S40" i="30"/>
  <c r="S39" i="30"/>
  <c r="S38" i="30"/>
  <c r="S37" i="30"/>
  <c r="S36" i="30"/>
  <c r="S35" i="30"/>
  <c r="S34" i="30"/>
  <c r="S33" i="30"/>
  <c r="S32" i="30"/>
  <c r="S31" i="30"/>
  <c r="S30" i="30"/>
  <c r="S29" i="30"/>
  <c r="S28" i="30"/>
  <c r="S27" i="30"/>
  <c r="S26" i="30"/>
  <c r="S25" i="30"/>
  <c r="S24" i="30"/>
  <c r="S23" i="30"/>
  <c r="S22" i="30"/>
  <c r="S21" i="30"/>
  <c r="S20" i="30"/>
  <c r="S19" i="30"/>
  <c r="S18" i="30"/>
  <c r="S17" i="30"/>
  <c r="S16" i="30"/>
  <c r="S15" i="30"/>
  <c r="S14" i="30"/>
  <c r="S13" i="30"/>
  <c r="S12" i="30"/>
  <c r="S11" i="30"/>
  <c r="S10" i="30"/>
  <c r="S9" i="30"/>
  <c r="S8" i="30"/>
  <c r="S7" i="30"/>
  <c r="S6" i="30"/>
  <c r="S5" i="30"/>
  <c r="S4" i="30"/>
  <c r="S81" i="29"/>
  <c r="S80" i="29"/>
  <c r="S79" i="29"/>
  <c r="S78" i="29"/>
  <c r="S77" i="29"/>
  <c r="S76" i="29"/>
  <c r="S75" i="29"/>
  <c r="S74" i="29"/>
  <c r="S73" i="29"/>
  <c r="S72" i="29"/>
  <c r="S71" i="29"/>
  <c r="S70" i="29"/>
  <c r="S69" i="29"/>
  <c r="S68" i="29"/>
  <c r="S67" i="29"/>
  <c r="S66" i="29"/>
  <c r="S65" i="29"/>
  <c r="S64" i="29"/>
  <c r="S63" i="29"/>
  <c r="S62" i="29"/>
  <c r="S61" i="29"/>
  <c r="S60" i="29"/>
  <c r="S59" i="29"/>
  <c r="S58" i="29"/>
  <c r="S57" i="29"/>
  <c r="S56" i="29"/>
  <c r="S55" i="29"/>
  <c r="S54" i="29"/>
  <c r="S53" i="29"/>
  <c r="S52" i="29"/>
  <c r="S51" i="29"/>
  <c r="S50" i="29"/>
  <c r="S49" i="29"/>
  <c r="S48" i="29"/>
  <c r="S47" i="29"/>
  <c r="S46" i="29"/>
  <c r="S45" i="29"/>
  <c r="S44" i="29"/>
  <c r="S43" i="29"/>
  <c r="S42" i="29"/>
  <c r="S41" i="29"/>
  <c r="S40" i="29"/>
  <c r="S39" i="29"/>
  <c r="S38" i="29"/>
  <c r="S37" i="29"/>
  <c r="S36" i="29"/>
  <c r="S35" i="29"/>
  <c r="S34" i="29"/>
  <c r="S33" i="29"/>
  <c r="S32" i="29"/>
  <c r="S31" i="29"/>
  <c r="S30" i="29"/>
  <c r="S29" i="29"/>
  <c r="S28" i="29"/>
  <c r="S27" i="29"/>
  <c r="S26" i="29"/>
  <c r="S25" i="29"/>
  <c r="S24" i="29"/>
  <c r="S23" i="29"/>
  <c r="S22" i="29"/>
  <c r="S21" i="29"/>
  <c r="S20" i="29"/>
  <c r="S19" i="29"/>
  <c r="S18" i="29"/>
  <c r="S17" i="29"/>
  <c r="S16" i="29"/>
  <c r="S15" i="29"/>
  <c r="S14" i="29"/>
  <c r="S13" i="29"/>
  <c r="S12" i="29"/>
  <c r="S11" i="29"/>
  <c r="S10" i="29"/>
  <c r="S9" i="29"/>
  <c r="S8" i="29"/>
  <c r="S7" i="29"/>
  <c r="S6" i="29"/>
  <c r="S5" i="29"/>
  <c r="S4" i="29"/>
  <c r="S81" i="28"/>
  <c r="S80" i="28"/>
  <c r="S79" i="28"/>
  <c r="S78" i="28"/>
  <c r="S77" i="28"/>
  <c r="S76" i="28"/>
  <c r="S75" i="28"/>
  <c r="S74" i="28"/>
  <c r="S73" i="28"/>
  <c r="S72" i="28"/>
  <c r="S71" i="28"/>
  <c r="S70" i="28"/>
  <c r="S69" i="28"/>
  <c r="S68" i="28"/>
  <c r="S67" i="28"/>
  <c r="S66" i="28"/>
  <c r="S65" i="28"/>
  <c r="S64" i="28"/>
  <c r="S63" i="28"/>
  <c r="S62" i="28"/>
  <c r="S61" i="28"/>
  <c r="S60" i="28"/>
  <c r="S59" i="28"/>
  <c r="S58" i="28"/>
  <c r="S57" i="28"/>
  <c r="S56" i="28"/>
  <c r="S55" i="28"/>
  <c r="S54" i="28"/>
  <c r="S53" i="28"/>
  <c r="S52" i="28"/>
  <c r="S51" i="28"/>
  <c r="S50" i="28"/>
  <c r="S49" i="28"/>
  <c r="S48" i="28"/>
  <c r="S47" i="28"/>
  <c r="S46" i="28"/>
  <c r="S45" i="28"/>
  <c r="S44" i="28"/>
  <c r="S43" i="28"/>
  <c r="S42" i="28"/>
  <c r="S41" i="28"/>
  <c r="S40" i="28"/>
  <c r="S39" i="28"/>
  <c r="S38" i="28"/>
  <c r="S37" i="28"/>
  <c r="S36" i="28"/>
  <c r="S35" i="28"/>
  <c r="S34" i="28"/>
  <c r="S33" i="28"/>
  <c r="S32" i="28"/>
  <c r="S31" i="28"/>
  <c r="S30" i="28"/>
  <c r="S29" i="28"/>
  <c r="S28" i="28"/>
  <c r="S27" i="28"/>
  <c r="S26" i="28"/>
  <c r="S25" i="28"/>
  <c r="S24" i="28"/>
  <c r="S23" i="28"/>
  <c r="S22" i="28"/>
  <c r="S21" i="28"/>
  <c r="S20" i="28"/>
  <c r="S19" i="28"/>
  <c r="S18" i="28"/>
  <c r="S17" i="28"/>
  <c r="S16" i="28"/>
  <c r="S15" i="28"/>
  <c r="S14" i="28"/>
  <c r="S13" i="28"/>
  <c r="S12" i="28"/>
  <c r="S11" i="28"/>
  <c r="S10" i="28"/>
  <c r="S9" i="28"/>
  <c r="S8" i="28"/>
  <c r="S7" i="28"/>
  <c r="S6" i="28"/>
  <c r="S5" i="28"/>
  <c r="S4" i="28"/>
  <c r="S81" i="26"/>
  <c r="S80" i="26"/>
  <c r="S79" i="26"/>
  <c r="S78" i="26"/>
  <c r="S77" i="26"/>
  <c r="S76" i="26"/>
  <c r="S75" i="26"/>
  <c r="S74" i="26"/>
  <c r="S73" i="26"/>
  <c r="S72" i="26"/>
  <c r="S71" i="26"/>
  <c r="S70" i="26"/>
  <c r="S69" i="26"/>
  <c r="S68" i="26"/>
  <c r="S67" i="26"/>
  <c r="S66" i="26"/>
  <c r="S65" i="26"/>
  <c r="S64" i="26"/>
  <c r="S63" i="26"/>
  <c r="S62" i="26"/>
  <c r="S61" i="26"/>
  <c r="S60" i="26"/>
  <c r="S59" i="26"/>
  <c r="S58" i="26"/>
  <c r="S57" i="26"/>
  <c r="S56" i="26"/>
  <c r="S55" i="26"/>
  <c r="S54" i="26"/>
  <c r="S53" i="26"/>
  <c r="S52" i="26"/>
  <c r="S51" i="26"/>
  <c r="S50" i="26"/>
  <c r="S49" i="26"/>
  <c r="S48" i="26"/>
  <c r="S47" i="26"/>
  <c r="S46" i="26"/>
  <c r="S45" i="26"/>
  <c r="S44" i="26"/>
  <c r="S43" i="26"/>
  <c r="S42" i="26"/>
  <c r="S41" i="26"/>
  <c r="S40" i="26"/>
  <c r="S39" i="26"/>
  <c r="S38" i="26"/>
  <c r="S37" i="26"/>
  <c r="S36" i="26"/>
  <c r="S35" i="26"/>
  <c r="S34" i="26"/>
  <c r="S33" i="26"/>
  <c r="S32" i="26"/>
  <c r="S31" i="26"/>
  <c r="S30" i="26"/>
  <c r="S29" i="26"/>
  <c r="S28" i="26"/>
  <c r="S27" i="26"/>
  <c r="S26" i="26"/>
  <c r="S25" i="26"/>
  <c r="S24" i="26"/>
  <c r="S23" i="26"/>
  <c r="S22" i="26"/>
  <c r="S21" i="26"/>
  <c r="S20" i="26"/>
  <c r="S19" i="26"/>
  <c r="S18" i="26"/>
  <c r="S17" i="26"/>
  <c r="S16" i="26"/>
  <c r="S15" i="26"/>
  <c r="S14" i="26"/>
  <c r="S13" i="26"/>
  <c r="S12" i="26"/>
  <c r="S11" i="26"/>
  <c r="S10" i="26"/>
  <c r="S9" i="26"/>
  <c r="S8" i="26"/>
  <c r="S7" i="26"/>
  <c r="S6" i="26"/>
  <c r="S5" i="26"/>
  <c r="S4" i="26"/>
  <c r="S15" i="24"/>
  <c r="S14" i="24"/>
  <c r="S81" i="23"/>
  <c r="S80" i="23"/>
  <c r="S79" i="23"/>
  <c r="S78" i="23"/>
  <c r="S77" i="23"/>
  <c r="S76" i="23"/>
  <c r="S75" i="23"/>
  <c r="S74" i="23"/>
  <c r="S73" i="23"/>
  <c r="S72" i="23"/>
  <c r="S71" i="23"/>
  <c r="S70" i="23"/>
  <c r="S69" i="23"/>
  <c r="S68" i="23"/>
  <c r="S67" i="23"/>
  <c r="S66" i="23"/>
  <c r="S65" i="23"/>
  <c r="S64" i="23"/>
  <c r="S63" i="23"/>
  <c r="S62" i="23"/>
  <c r="S61" i="23"/>
  <c r="S60" i="23"/>
  <c r="S59" i="23"/>
  <c r="S58" i="23"/>
  <c r="S57" i="23"/>
  <c r="S56" i="23"/>
  <c r="S55" i="23"/>
  <c r="S54" i="23"/>
  <c r="S53" i="23"/>
  <c r="S52" i="23"/>
  <c r="S51" i="23"/>
  <c r="S50" i="23"/>
  <c r="S49" i="23"/>
  <c r="S48" i="23"/>
  <c r="S47" i="23"/>
  <c r="S46" i="23"/>
  <c r="S45" i="23"/>
  <c r="S44" i="23"/>
  <c r="S43" i="23"/>
  <c r="S42" i="23"/>
  <c r="S41" i="23"/>
  <c r="S40" i="23"/>
  <c r="S39" i="23"/>
  <c r="S38" i="23"/>
  <c r="S37" i="23"/>
  <c r="S36" i="23"/>
  <c r="S35" i="23"/>
  <c r="S34" i="23"/>
  <c r="S33" i="23"/>
  <c r="S32" i="23"/>
  <c r="S31" i="23"/>
  <c r="S30" i="23"/>
  <c r="S29" i="23"/>
  <c r="S28" i="23"/>
  <c r="S27" i="23"/>
  <c r="S26" i="23"/>
  <c r="S25" i="23"/>
  <c r="S24" i="23"/>
  <c r="S23" i="23"/>
  <c r="S22" i="23"/>
  <c r="S21" i="23"/>
  <c r="S20" i="23"/>
  <c r="S19" i="23"/>
  <c r="S18" i="23"/>
  <c r="S17" i="23"/>
  <c r="S16" i="23"/>
  <c r="S15" i="23"/>
  <c r="S14" i="23"/>
  <c r="S13" i="23"/>
  <c r="S12" i="23"/>
  <c r="S11" i="23"/>
  <c r="S10" i="23"/>
  <c r="S9" i="23"/>
  <c r="S8" i="23"/>
  <c r="S7" i="23"/>
  <c r="S6" i="23"/>
  <c r="S5" i="23"/>
  <c r="S4" i="23"/>
  <c r="S80" i="22"/>
  <c r="S79" i="22"/>
  <c r="S78" i="22"/>
  <c r="S77" i="22"/>
  <c r="S76" i="22"/>
  <c r="S75" i="22"/>
  <c r="S74" i="22"/>
  <c r="S73" i="22"/>
  <c r="S72" i="22"/>
  <c r="S71" i="22"/>
  <c r="S70" i="22"/>
  <c r="S69" i="22"/>
  <c r="S68" i="22"/>
  <c r="S67" i="22"/>
  <c r="S66" i="22"/>
  <c r="S65" i="22"/>
  <c r="S64" i="22"/>
  <c r="S63" i="22"/>
  <c r="S62" i="22"/>
  <c r="S61" i="22"/>
  <c r="S60" i="22"/>
  <c r="S59" i="22"/>
  <c r="S58" i="22"/>
  <c r="S57" i="22"/>
  <c r="S56" i="22"/>
  <c r="S55" i="22"/>
  <c r="S54" i="22"/>
  <c r="S53" i="22"/>
  <c r="S52" i="22"/>
  <c r="S51" i="22"/>
  <c r="S50" i="22"/>
  <c r="S49" i="22"/>
  <c r="S48" i="22"/>
  <c r="S47" i="22"/>
  <c r="S46" i="22"/>
  <c r="S45" i="22"/>
  <c r="S44" i="22"/>
  <c r="S43" i="22"/>
  <c r="S42" i="22"/>
  <c r="S41" i="22"/>
  <c r="S40" i="22"/>
  <c r="S39" i="22"/>
  <c r="S38" i="22"/>
  <c r="S37" i="22"/>
  <c r="S36" i="22"/>
  <c r="S35" i="22"/>
  <c r="S34" i="22"/>
  <c r="S33" i="22"/>
  <c r="S32" i="22"/>
  <c r="S31" i="22"/>
  <c r="S30" i="22"/>
  <c r="S29" i="22"/>
  <c r="S28" i="22"/>
  <c r="S27" i="22"/>
  <c r="S26" i="22"/>
  <c r="S25" i="22"/>
  <c r="S24" i="22"/>
  <c r="S23" i="22"/>
  <c r="S22" i="22"/>
  <c r="S21" i="22"/>
  <c r="S20" i="22"/>
  <c r="S19" i="22"/>
  <c r="S18" i="22"/>
  <c r="S17" i="22"/>
  <c r="S16" i="22"/>
  <c r="S15" i="22"/>
  <c r="S14" i="22"/>
  <c r="S13" i="22"/>
  <c r="S12" i="22"/>
  <c r="S11" i="22"/>
  <c r="S10" i="22"/>
  <c r="S9" i="22"/>
  <c r="S8" i="22"/>
  <c r="S7" i="22"/>
  <c r="S6" i="22"/>
  <c r="S5" i="22"/>
  <c r="S4" i="22"/>
  <c r="S81" i="21"/>
  <c r="S80" i="21"/>
  <c r="S79" i="21"/>
  <c r="S78" i="21"/>
  <c r="S77" i="21"/>
  <c r="S76" i="21"/>
  <c r="S75" i="21"/>
  <c r="S74" i="21"/>
  <c r="S73" i="21"/>
  <c r="S72" i="21"/>
  <c r="S71" i="21"/>
  <c r="S70" i="21"/>
  <c r="S69" i="21"/>
  <c r="S68" i="21"/>
  <c r="S67" i="21"/>
  <c r="S66" i="21"/>
  <c r="S65" i="21"/>
  <c r="S64" i="21"/>
  <c r="S63" i="21"/>
  <c r="S62" i="21"/>
  <c r="S61" i="21"/>
  <c r="S60" i="21"/>
  <c r="S59" i="21"/>
  <c r="S58" i="21"/>
  <c r="S57" i="21"/>
  <c r="S56" i="21"/>
  <c r="S55" i="21"/>
  <c r="S54" i="21"/>
  <c r="S53" i="21"/>
  <c r="S52" i="21"/>
  <c r="S51" i="21"/>
  <c r="S50" i="21"/>
  <c r="S49" i="21"/>
  <c r="S48" i="21"/>
  <c r="S47" i="21"/>
  <c r="S46" i="21"/>
  <c r="S45" i="21"/>
  <c r="S44" i="21"/>
  <c r="S43" i="21"/>
  <c r="S42" i="21"/>
  <c r="S41" i="21"/>
  <c r="S40" i="21"/>
  <c r="S39" i="21"/>
  <c r="S38" i="21"/>
  <c r="S37" i="21"/>
  <c r="S36" i="21"/>
  <c r="S35" i="21"/>
  <c r="S34" i="21"/>
  <c r="S33" i="21"/>
  <c r="S32" i="21"/>
  <c r="S31" i="21"/>
  <c r="S30" i="21"/>
  <c r="S29" i="21"/>
  <c r="S28" i="21"/>
  <c r="S27" i="21"/>
  <c r="S26" i="21"/>
  <c r="S25" i="21"/>
  <c r="S24" i="21"/>
  <c r="S23" i="21"/>
  <c r="S22" i="21"/>
  <c r="S21" i="21"/>
  <c r="S20" i="21"/>
  <c r="S19" i="21"/>
  <c r="S18" i="21"/>
  <c r="S17" i="21"/>
  <c r="S16" i="21"/>
  <c r="S15" i="21"/>
  <c r="S14" i="21"/>
  <c r="S13" i="21"/>
  <c r="S12" i="21"/>
  <c r="S11" i="21"/>
  <c r="S10" i="21"/>
  <c r="S9" i="21"/>
  <c r="S8" i="21"/>
  <c r="S7" i="21"/>
  <c r="S6" i="21"/>
  <c r="S5" i="21"/>
  <c r="S4" i="21"/>
  <c r="S24" i="20"/>
  <c r="S81" i="18"/>
  <c r="S80" i="18"/>
  <c r="S79" i="18"/>
  <c r="S78" i="18"/>
  <c r="S77" i="18"/>
  <c r="S76" i="18"/>
  <c r="S75" i="18"/>
  <c r="S74" i="18"/>
  <c r="S73" i="18"/>
  <c r="S72" i="18"/>
  <c r="S71" i="18"/>
  <c r="S70" i="18"/>
  <c r="S69" i="18"/>
  <c r="S68" i="18"/>
  <c r="S67" i="18"/>
  <c r="S66" i="18"/>
  <c r="S65" i="18"/>
  <c r="S64" i="18"/>
  <c r="S63" i="18"/>
  <c r="S62" i="18"/>
  <c r="S61" i="18"/>
  <c r="S60" i="18"/>
  <c r="S59" i="18"/>
  <c r="S58" i="18"/>
  <c r="S57" i="18"/>
  <c r="S56" i="18"/>
  <c r="S55" i="18"/>
  <c r="S54" i="18"/>
  <c r="S53" i="18"/>
  <c r="S52" i="18"/>
  <c r="S51" i="18"/>
  <c r="S50" i="18"/>
  <c r="S49" i="18"/>
  <c r="S48" i="18"/>
  <c r="S47" i="18"/>
  <c r="S46" i="18"/>
  <c r="S45" i="18"/>
  <c r="S44" i="18"/>
  <c r="S43" i="18"/>
  <c r="S42" i="18"/>
  <c r="S41" i="18"/>
  <c r="S40" i="18"/>
  <c r="S39" i="18"/>
  <c r="S38" i="18"/>
  <c r="S37" i="18"/>
  <c r="S36" i="18"/>
  <c r="S35" i="18"/>
  <c r="S34" i="18"/>
  <c r="S33" i="18"/>
  <c r="S32" i="18"/>
  <c r="S31" i="18"/>
  <c r="S30" i="18"/>
  <c r="S29" i="18"/>
  <c r="S28" i="18"/>
  <c r="S27" i="18"/>
  <c r="S26" i="18"/>
  <c r="S25" i="18"/>
  <c r="S24" i="18"/>
  <c r="S23" i="18"/>
  <c r="S22" i="18"/>
  <c r="S21" i="18"/>
  <c r="S20" i="18"/>
  <c r="S19" i="18"/>
  <c r="S18" i="18"/>
  <c r="S17" i="18"/>
  <c r="S16" i="18"/>
  <c r="S15" i="18"/>
  <c r="S14" i="18"/>
  <c r="S13" i="18"/>
  <c r="S12" i="18"/>
  <c r="S11" i="18"/>
  <c r="S10" i="18"/>
  <c r="S9" i="18"/>
  <c r="S8" i="18"/>
  <c r="S7" i="18"/>
  <c r="S6" i="18"/>
  <c r="S5" i="18"/>
  <c r="S4" i="18"/>
  <c r="O5" i="14"/>
  <c r="R5" i="14" s="1"/>
  <c r="O6" i="14"/>
  <c r="R6" i="14" s="1"/>
  <c r="O7" i="14"/>
  <c r="R7" i="14" s="1"/>
  <c r="O8" i="14"/>
  <c r="R8" i="14" s="1"/>
  <c r="O9" i="14"/>
  <c r="R9" i="14" s="1"/>
  <c r="O10" i="14"/>
  <c r="R10" i="14" s="1"/>
  <c r="O11" i="14"/>
  <c r="R11" i="14" s="1"/>
  <c r="O12" i="14"/>
  <c r="R12" i="14" s="1"/>
  <c r="O13" i="14"/>
  <c r="R13" i="14" s="1"/>
  <c r="O14" i="14"/>
  <c r="R14" i="14" s="1"/>
  <c r="O15" i="14"/>
  <c r="R15" i="14" s="1"/>
  <c r="O16" i="14"/>
  <c r="R16" i="14" s="1"/>
  <c r="O17" i="14"/>
  <c r="R17" i="14" s="1"/>
  <c r="O18" i="14"/>
  <c r="R18" i="14" s="1"/>
  <c r="O19" i="14"/>
  <c r="R19" i="14" s="1"/>
  <c r="O20" i="14"/>
  <c r="R20" i="14" s="1"/>
  <c r="O21" i="14"/>
  <c r="R21" i="14" s="1"/>
  <c r="O22" i="14"/>
  <c r="R22" i="14" s="1"/>
  <c r="O23" i="14"/>
  <c r="R23" i="14" s="1"/>
  <c r="O24" i="14"/>
  <c r="R24" i="14" s="1"/>
  <c r="O25" i="14"/>
  <c r="R25" i="14" s="1"/>
  <c r="O26" i="14"/>
  <c r="R26" i="14" s="1"/>
  <c r="O27" i="14"/>
  <c r="R27" i="14" s="1"/>
  <c r="O28" i="14"/>
  <c r="R28" i="14" s="1"/>
  <c r="O29" i="14"/>
  <c r="R29" i="14" s="1"/>
  <c r="O30" i="14"/>
  <c r="R30" i="14" s="1"/>
  <c r="O31" i="14"/>
  <c r="R31" i="14" s="1"/>
  <c r="O32" i="14"/>
  <c r="R32" i="14" s="1"/>
  <c r="O33" i="14"/>
  <c r="R33" i="14" s="1"/>
  <c r="O34" i="14"/>
  <c r="R34" i="14" s="1"/>
  <c r="O35" i="14"/>
  <c r="R35" i="14" s="1"/>
  <c r="O36" i="14"/>
  <c r="R36" i="14" s="1"/>
  <c r="O37" i="14"/>
  <c r="R37" i="14" s="1"/>
  <c r="O38" i="14"/>
  <c r="R38" i="14" s="1"/>
  <c r="O39" i="14"/>
  <c r="R39" i="14" s="1"/>
  <c r="O40" i="14"/>
  <c r="R40" i="14" s="1"/>
  <c r="O41" i="14"/>
  <c r="R41" i="14" s="1"/>
  <c r="O42" i="14"/>
  <c r="R42" i="14" s="1"/>
  <c r="O43" i="14"/>
  <c r="R43" i="14" s="1"/>
  <c r="O44" i="14"/>
  <c r="R44" i="14" s="1"/>
  <c r="O45" i="14"/>
  <c r="R45" i="14" s="1"/>
  <c r="O46" i="14"/>
  <c r="R46" i="14" s="1"/>
  <c r="O47" i="14"/>
  <c r="R47" i="14" s="1"/>
  <c r="O48" i="14"/>
  <c r="R48" i="14" s="1"/>
  <c r="O49" i="14"/>
  <c r="R49" i="14" s="1"/>
  <c r="O50" i="14"/>
  <c r="R50" i="14" s="1"/>
  <c r="O51" i="14"/>
  <c r="R51" i="14" s="1"/>
  <c r="O52" i="14"/>
  <c r="R52" i="14" s="1"/>
  <c r="O53" i="14"/>
  <c r="R53" i="14" s="1"/>
  <c r="O54" i="14"/>
  <c r="R54" i="14" s="1"/>
  <c r="O55" i="14"/>
  <c r="R55" i="14" s="1"/>
  <c r="O56" i="14"/>
  <c r="R56" i="14" s="1"/>
  <c r="O57" i="14"/>
  <c r="R57" i="14" s="1"/>
  <c r="O58" i="14"/>
  <c r="R58" i="14" s="1"/>
  <c r="O59" i="14"/>
  <c r="R59" i="14" s="1"/>
  <c r="O60" i="14"/>
  <c r="R60" i="14" s="1"/>
  <c r="O61" i="14"/>
  <c r="R61" i="14" s="1"/>
  <c r="O62" i="14"/>
  <c r="R62" i="14" s="1"/>
  <c r="O63" i="14"/>
  <c r="R63" i="14" s="1"/>
  <c r="O64" i="14"/>
  <c r="R64" i="14" s="1"/>
  <c r="O65" i="14"/>
  <c r="R65" i="14" s="1"/>
  <c r="O66" i="14"/>
  <c r="R66" i="14" s="1"/>
  <c r="O67" i="14"/>
  <c r="R67" i="14" s="1"/>
  <c r="O68" i="14"/>
  <c r="R68" i="14" s="1"/>
  <c r="O69" i="14"/>
  <c r="R69" i="14" s="1"/>
  <c r="O70" i="14"/>
  <c r="R70" i="14" s="1"/>
  <c r="O71" i="14"/>
  <c r="R71" i="14" s="1"/>
  <c r="O72" i="14"/>
  <c r="R72" i="14" s="1"/>
  <c r="O73" i="14"/>
  <c r="R73" i="14" s="1"/>
  <c r="O74" i="14"/>
  <c r="R74" i="14" s="1"/>
  <c r="O75" i="14"/>
  <c r="R75" i="14" s="1"/>
  <c r="O76" i="14"/>
  <c r="R76" i="14" s="1"/>
  <c r="O77" i="14"/>
  <c r="R77" i="14" s="1"/>
  <c r="O78" i="14"/>
  <c r="R78" i="14" s="1"/>
  <c r="O79" i="14"/>
  <c r="R79" i="14" s="1"/>
  <c r="O80" i="14"/>
  <c r="R80" i="14" s="1"/>
  <c r="O81" i="14"/>
  <c r="O4" i="14"/>
  <c r="R4" i="14" s="1"/>
  <c r="K83" i="31"/>
  <c r="K83" i="30"/>
  <c r="K83" i="29"/>
  <c r="K83" i="28"/>
  <c r="K83" i="26"/>
  <c r="K83" i="23"/>
  <c r="K83" i="22"/>
  <c r="K83" i="21"/>
  <c r="K83" i="18"/>
  <c r="O81" i="31"/>
  <c r="M81" i="31"/>
  <c r="O80" i="31"/>
  <c r="M80" i="31"/>
  <c r="O79" i="31"/>
  <c r="M79" i="31"/>
  <c r="O78" i="31"/>
  <c r="M78" i="31"/>
  <c r="O77" i="31"/>
  <c r="M77" i="31"/>
  <c r="O76" i="31"/>
  <c r="M76" i="31"/>
  <c r="O75" i="31"/>
  <c r="M75" i="31"/>
  <c r="O74" i="31"/>
  <c r="M74" i="31"/>
  <c r="O73" i="31"/>
  <c r="M73" i="31"/>
  <c r="O72" i="31"/>
  <c r="M72" i="31"/>
  <c r="O71" i="31"/>
  <c r="M71" i="31"/>
  <c r="O70" i="31"/>
  <c r="M70" i="31"/>
  <c r="O69" i="31"/>
  <c r="M69" i="31"/>
  <c r="O68" i="31"/>
  <c r="M68" i="31"/>
  <c r="O67" i="31"/>
  <c r="M67" i="31"/>
  <c r="O66" i="31"/>
  <c r="M66" i="31"/>
  <c r="O65" i="31"/>
  <c r="M65" i="31"/>
  <c r="O64" i="31"/>
  <c r="M64" i="31"/>
  <c r="O63" i="31"/>
  <c r="M63" i="31"/>
  <c r="O62" i="31"/>
  <c r="M62" i="31"/>
  <c r="O61" i="31"/>
  <c r="M61" i="31"/>
  <c r="O60" i="31"/>
  <c r="M60" i="31"/>
  <c r="O59" i="31"/>
  <c r="M59" i="31"/>
  <c r="O58" i="31"/>
  <c r="M58" i="31"/>
  <c r="O57" i="31"/>
  <c r="M57" i="31"/>
  <c r="O56" i="31"/>
  <c r="M56" i="31"/>
  <c r="O55" i="31"/>
  <c r="M55" i="31"/>
  <c r="O54" i="31"/>
  <c r="M54" i="31"/>
  <c r="O53" i="31"/>
  <c r="M53" i="31"/>
  <c r="O52" i="31"/>
  <c r="M52" i="31"/>
  <c r="O51" i="31"/>
  <c r="M51" i="31"/>
  <c r="O50" i="31"/>
  <c r="M50" i="31"/>
  <c r="O49" i="31"/>
  <c r="M49" i="31"/>
  <c r="O48" i="31"/>
  <c r="M48" i="31"/>
  <c r="O47" i="31"/>
  <c r="M47" i="31"/>
  <c r="O46" i="31"/>
  <c r="M46" i="31"/>
  <c r="O45" i="31"/>
  <c r="M45" i="31"/>
  <c r="O44" i="31"/>
  <c r="M44" i="31"/>
  <c r="O43" i="31"/>
  <c r="M43" i="31"/>
  <c r="O42" i="31"/>
  <c r="M42" i="31"/>
  <c r="O41" i="31"/>
  <c r="M41" i="31"/>
  <c r="O40" i="31"/>
  <c r="M40" i="31"/>
  <c r="O39" i="31"/>
  <c r="M39" i="31"/>
  <c r="O38" i="31"/>
  <c r="M38" i="31"/>
  <c r="O37" i="31"/>
  <c r="M37" i="31"/>
  <c r="O36" i="31"/>
  <c r="M36" i="31"/>
  <c r="O35" i="31"/>
  <c r="M35" i="31"/>
  <c r="O34" i="31"/>
  <c r="M34" i="31"/>
  <c r="O33" i="31"/>
  <c r="M33" i="31"/>
  <c r="O32" i="31"/>
  <c r="M32" i="31"/>
  <c r="O31" i="31"/>
  <c r="M31" i="31"/>
  <c r="O30" i="31"/>
  <c r="M30" i="31"/>
  <c r="O29" i="31"/>
  <c r="M29" i="31"/>
  <c r="O28" i="31"/>
  <c r="M28" i="31"/>
  <c r="O27" i="31"/>
  <c r="M27" i="31"/>
  <c r="O26" i="31"/>
  <c r="M26" i="31"/>
  <c r="O25" i="31"/>
  <c r="M25" i="31"/>
  <c r="O24" i="31"/>
  <c r="M24" i="31"/>
  <c r="O23" i="31"/>
  <c r="M23" i="31"/>
  <c r="O22" i="31"/>
  <c r="M22" i="31"/>
  <c r="O21" i="31"/>
  <c r="M21" i="31"/>
  <c r="O20" i="31"/>
  <c r="M20" i="31"/>
  <c r="O19" i="31"/>
  <c r="M19" i="31"/>
  <c r="O18" i="31"/>
  <c r="M18" i="31"/>
  <c r="O17" i="31"/>
  <c r="M17" i="31"/>
  <c r="O16" i="31"/>
  <c r="M16" i="31"/>
  <c r="O15" i="31"/>
  <c r="M15" i="31"/>
  <c r="O14" i="31"/>
  <c r="M14" i="31"/>
  <c r="O13" i="31"/>
  <c r="M13" i="31"/>
  <c r="O12" i="31"/>
  <c r="M12" i="31"/>
  <c r="O11" i="31"/>
  <c r="M11" i="31"/>
  <c r="O10" i="31"/>
  <c r="M10" i="31"/>
  <c r="O9" i="31"/>
  <c r="M9" i="31"/>
  <c r="O8" i="31"/>
  <c r="M8" i="31"/>
  <c r="O7" i="31"/>
  <c r="M7" i="31"/>
  <c r="O6" i="31"/>
  <c r="M6" i="31"/>
  <c r="O5" i="31"/>
  <c r="M5" i="31"/>
  <c r="O4" i="31"/>
  <c r="M4" i="31"/>
  <c r="L83" i="31"/>
  <c r="O81" i="30"/>
  <c r="M81" i="30"/>
  <c r="O80" i="30"/>
  <c r="M80" i="30"/>
  <c r="O79" i="30"/>
  <c r="M79" i="30"/>
  <c r="O78" i="30"/>
  <c r="M78" i="30"/>
  <c r="O77" i="30"/>
  <c r="M77" i="30"/>
  <c r="O76" i="30"/>
  <c r="M76" i="30"/>
  <c r="O75" i="30"/>
  <c r="M75" i="30"/>
  <c r="O74" i="30"/>
  <c r="M74" i="30"/>
  <c r="O73" i="30"/>
  <c r="M73" i="30"/>
  <c r="O72" i="30"/>
  <c r="M72" i="30"/>
  <c r="O71" i="30"/>
  <c r="M71" i="30"/>
  <c r="O70" i="30"/>
  <c r="M70" i="30"/>
  <c r="O69" i="30"/>
  <c r="M69" i="30"/>
  <c r="O68" i="30"/>
  <c r="M68" i="30"/>
  <c r="O67" i="30"/>
  <c r="M67" i="30"/>
  <c r="O66" i="30"/>
  <c r="M66" i="30"/>
  <c r="O65" i="30"/>
  <c r="M65" i="30"/>
  <c r="O64" i="30"/>
  <c r="M64" i="30"/>
  <c r="O63" i="30"/>
  <c r="M63" i="30"/>
  <c r="O62" i="30"/>
  <c r="M62" i="30"/>
  <c r="O61" i="30"/>
  <c r="M61" i="30"/>
  <c r="O60" i="30"/>
  <c r="M60" i="30"/>
  <c r="O59" i="30"/>
  <c r="M59" i="30"/>
  <c r="O58" i="30"/>
  <c r="M58" i="30"/>
  <c r="O57" i="30"/>
  <c r="M57" i="30"/>
  <c r="O56" i="30"/>
  <c r="M56" i="30"/>
  <c r="O55" i="30"/>
  <c r="M55" i="30"/>
  <c r="O54" i="30"/>
  <c r="M54" i="30"/>
  <c r="O53" i="30"/>
  <c r="M53" i="30"/>
  <c r="O52" i="30"/>
  <c r="M52" i="30"/>
  <c r="O51" i="30"/>
  <c r="M51" i="30"/>
  <c r="O50" i="30"/>
  <c r="M50" i="30"/>
  <c r="O49" i="30"/>
  <c r="M49" i="30"/>
  <c r="O48" i="30"/>
  <c r="M48" i="30"/>
  <c r="O47" i="30"/>
  <c r="M47" i="30"/>
  <c r="O46" i="30"/>
  <c r="M46" i="30"/>
  <c r="O45" i="30"/>
  <c r="M45" i="30"/>
  <c r="O44" i="30"/>
  <c r="M44" i="30"/>
  <c r="O43" i="30"/>
  <c r="M43" i="30"/>
  <c r="O42" i="30"/>
  <c r="M42" i="30"/>
  <c r="O41" i="30"/>
  <c r="M41" i="30"/>
  <c r="O40" i="30"/>
  <c r="M40" i="30"/>
  <c r="O39" i="30"/>
  <c r="M39" i="30"/>
  <c r="O38" i="30"/>
  <c r="M38" i="30"/>
  <c r="O37" i="30"/>
  <c r="M37" i="30"/>
  <c r="O36" i="30"/>
  <c r="M36" i="30"/>
  <c r="O35" i="30"/>
  <c r="M35" i="30"/>
  <c r="O34" i="30"/>
  <c r="M34" i="30"/>
  <c r="O33" i="30"/>
  <c r="M33" i="30"/>
  <c r="O32" i="30"/>
  <c r="M32" i="30"/>
  <c r="O31" i="30"/>
  <c r="M31" i="30"/>
  <c r="O30" i="30"/>
  <c r="M30" i="30"/>
  <c r="O29" i="30"/>
  <c r="M29" i="30"/>
  <c r="O28" i="30"/>
  <c r="M28" i="30"/>
  <c r="O27" i="30"/>
  <c r="M27" i="30"/>
  <c r="O26" i="30"/>
  <c r="M26" i="30"/>
  <c r="O25" i="30"/>
  <c r="M25" i="30"/>
  <c r="O24" i="30"/>
  <c r="M24" i="30"/>
  <c r="O23" i="30"/>
  <c r="M23" i="30"/>
  <c r="O22" i="30"/>
  <c r="M22" i="30"/>
  <c r="O21" i="30"/>
  <c r="M21" i="30"/>
  <c r="O20" i="30"/>
  <c r="M20" i="30"/>
  <c r="O19" i="30"/>
  <c r="M19" i="30"/>
  <c r="O18" i="30"/>
  <c r="M18" i="30"/>
  <c r="O17" i="30"/>
  <c r="M17" i="30"/>
  <c r="O16" i="30"/>
  <c r="M16" i="30"/>
  <c r="O15" i="30"/>
  <c r="M15" i="30"/>
  <c r="O14" i="30"/>
  <c r="M14" i="30"/>
  <c r="O13" i="30"/>
  <c r="M13" i="30"/>
  <c r="O12" i="30"/>
  <c r="M12" i="30"/>
  <c r="O11" i="30"/>
  <c r="M11" i="30"/>
  <c r="O10" i="30"/>
  <c r="M10" i="30"/>
  <c r="O9" i="30"/>
  <c r="M9" i="30"/>
  <c r="O8" i="30"/>
  <c r="M8" i="30"/>
  <c r="O7" i="30"/>
  <c r="M7" i="30"/>
  <c r="O6" i="30"/>
  <c r="M6" i="30"/>
  <c r="O5" i="30"/>
  <c r="M5" i="30"/>
  <c r="O4" i="30"/>
  <c r="M4" i="30"/>
  <c r="O81" i="29"/>
  <c r="M81" i="29"/>
  <c r="O80" i="29"/>
  <c r="M80" i="29"/>
  <c r="O79" i="29"/>
  <c r="M79" i="29"/>
  <c r="O78" i="29"/>
  <c r="M78" i="29"/>
  <c r="O77" i="29"/>
  <c r="M77" i="29"/>
  <c r="O76" i="29"/>
  <c r="M76" i="29"/>
  <c r="O75" i="29"/>
  <c r="M75" i="29"/>
  <c r="O74" i="29"/>
  <c r="M74" i="29"/>
  <c r="O73" i="29"/>
  <c r="M73" i="29"/>
  <c r="O72" i="29"/>
  <c r="M72" i="29"/>
  <c r="O71" i="29"/>
  <c r="M71" i="29"/>
  <c r="O70" i="29"/>
  <c r="M70" i="29"/>
  <c r="O69" i="29"/>
  <c r="M69" i="29"/>
  <c r="O68" i="29"/>
  <c r="M68" i="29"/>
  <c r="O67" i="29"/>
  <c r="M67" i="29"/>
  <c r="O66" i="29"/>
  <c r="M66" i="29"/>
  <c r="O65" i="29"/>
  <c r="M65" i="29"/>
  <c r="O64" i="29"/>
  <c r="M64" i="29"/>
  <c r="O63" i="29"/>
  <c r="M63" i="29"/>
  <c r="O62" i="29"/>
  <c r="M62" i="29"/>
  <c r="O61" i="29"/>
  <c r="M61" i="29"/>
  <c r="O60" i="29"/>
  <c r="M60" i="29"/>
  <c r="O59" i="29"/>
  <c r="M59" i="29"/>
  <c r="O58" i="29"/>
  <c r="M58" i="29"/>
  <c r="O57" i="29"/>
  <c r="M57" i="29"/>
  <c r="O56" i="29"/>
  <c r="M56" i="29"/>
  <c r="O55" i="29"/>
  <c r="M55" i="29"/>
  <c r="O54" i="29"/>
  <c r="M54" i="29"/>
  <c r="O53" i="29"/>
  <c r="M53" i="29"/>
  <c r="O52" i="29"/>
  <c r="M52" i="29"/>
  <c r="O51" i="29"/>
  <c r="M51" i="29"/>
  <c r="O50" i="29"/>
  <c r="M50" i="29"/>
  <c r="O49" i="29"/>
  <c r="M49" i="29"/>
  <c r="O48" i="29"/>
  <c r="M48" i="29"/>
  <c r="O47" i="29"/>
  <c r="M47" i="29"/>
  <c r="O46" i="29"/>
  <c r="M46" i="29"/>
  <c r="O45" i="29"/>
  <c r="M45" i="29"/>
  <c r="O44" i="29"/>
  <c r="M44" i="29"/>
  <c r="O43" i="29"/>
  <c r="M43" i="29"/>
  <c r="O42" i="29"/>
  <c r="M42" i="29"/>
  <c r="O41" i="29"/>
  <c r="M41" i="29"/>
  <c r="O40" i="29"/>
  <c r="M40" i="29"/>
  <c r="O39" i="29"/>
  <c r="M39" i="29"/>
  <c r="O38" i="29"/>
  <c r="M38" i="29"/>
  <c r="O37" i="29"/>
  <c r="M37" i="29"/>
  <c r="O36" i="29"/>
  <c r="M36" i="29"/>
  <c r="O35" i="29"/>
  <c r="M35" i="29"/>
  <c r="O34" i="29"/>
  <c r="M34" i="29"/>
  <c r="O33" i="29"/>
  <c r="M33" i="29"/>
  <c r="O32" i="29"/>
  <c r="M32" i="29"/>
  <c r="O31" i="29"/>
  <c r="M31" i="29"/>
  <c r="O30" i="29"/>
  <c r="M30" i="29"/>
  <c r="O29" i="29"/>
  <c r="M29" i="29"/>
  <c r="O28" i="29"/>
  <c r="M28" i="29"/>
  <c r="O27" i="29"/>
  <c r="M27" i="29"/>
  <c r="O26" i="29"/>
  <c r="M26" i="29"/>
  <c r="O25" i="29"/>
  <c r="M25" i="29"/>
  <c r="O24" i="29"/>
  <c r="M24" i="29"/>
  <c r="O23" i="29"/>
  <c r="M23" i="29"/>
  <c r="O22" i="29"/>
  <c r="M22" i="29"/>
  <c r="O21" i="29"/>
  <c r="M21" i="29"/>
  <c r="O20" i="29"/>
  <c r="M20" i="29"/>
  <c r="O19" i="29"/>
  <c r="M19" i="29"/>
  <c r="O18" i="29"/>
  <c r="M18" i="29"/>
  <c r="O17" i="29"/>
  <c r="M17" i="29"/>
  <c r="O16" i="29"/>
  <c r="M16" i="29"/>
  <c r="O15" i="29"/>
  <c r="M15" i="29"/>
  <c r="O14" i="29"/>
  <c r="M14" i="29"/>
  <c r="O13" i="29"/>
  <c r="M13" i="29"/>
  <c r="O12" i="29"/>
  <c r="M12" i="29"/>
  <c r="O11" i="29"/>
  <c r="M11" i="29"/>
  <c r="O10" i="29"/>
  <c r="M10" i="29"/>
  <c r="O9" i="29"/>
  <c r="M9" i="29"/>
  <c r="O8" i="29"/>
  <c r="M8" i="29"/>
  <c r="O7" i="29"/>
  <c r="M7" i="29"/>
  <c r="O6" i="29"/>
  <c r="M6" i="29"/>
  <c r="O5" i="29"/>
  <c r="M5" i="29"/>
  <c r="O4" i="29"/>
  <c r="M4" i="29"/>
  <c r="M83" i="29" s="1"/>
  <c r="O81" i="28"/>
  <c r="M81" i="28"/>
  <c r="O80" i="28"/>
  <c r="M80" i="28"/>
  <c r="O79" i="28"/>
  <c r="M79" i="28"/>
  <c r="O78" i="28"/>
  <c r="M78" i="28"/>
  <c r="O77" i="28"/>
  <c r="M77" i="28"/>
  <c r="O76" i="28"/>
  <c r="M76" i="28"/>
  <c r="O75" i="28"/>
  <c r="M75" i="28"/>
  <c r="O74" i="28"/>
  <c r="M74" i="28"/>
  <c r="O73" i="28"/>
  <c r="M73" i="28"/>
  <c r="O72" i="28"/>
  <c r="M72" i="28"/>
  <c r="O71" i="28"/>
  <c r="M71" i="28"/>
  <c r="O70" i="28"/>
  <c r="M70" i="28"/>
  <c r="O69" i="28"/>
  <c r="M69" i="28"/>
  <c r="O68" i="28"/>
  <c r="M68" i="28"/>
  <c r="O67" i="28"/>
  <c r="M67" i="28"/>
  <c r="O66" i="28"/>
  <c r="M66" i="28"/>
  <c r="O65" i="28"/>
  <c r="M65" i="28"/>
  <c r="O64" i="28"/>
  <c r="M64" i="28"/>
  <c r="O63" i="28"/>
  <c r="M63" i="28"/>
  <c r="O62" i="28"/>
  <c r="M62" i="28"/>
  <c r="O61" i="28"/>
  <c r="M61" i="28"/>
  <c r="O60" i="28"/>
  <c r="M60" i="28"/>
  <c r="O59" i="28"/>
  <c r="M59" i="28"/>
  <c r="O58" i="28"/>
  <c r="M58" i="28"/>
  <c r="O57" i="28"/>
  <c r="M57" i="28"/>
  <c r="O56" i="28"/>
  <c r="M56" i="28"/>
  <c r="O55" i="28"/>
  <c r="M55" i="28"/>
  <c r="O54" i="28"/>
  <c r="M54" i="28"/>
  <c r="O53" i="28"/>
  <c r="M53" i="28"/>
  <c r="O52" i="28"/>
  <c r="M52" i="28"/>
  <c r="O51" i="28"/>
  <c r="M51" i="28"/>
  <c r="O50" i="28"/>
  <c r="M50" i="28"/>
  <c r="O49" i="28"/>
  <c r="M49" i="28"/>
  <c r="O48" i="28"/>
  <c r="M48" i="28"/>
  <c r="O47" i="28"/>
  <c r="M47" i="28"/>
  <c r="O46" i="28"/>
  <c r="M46" i="28"/>
  <c r="O45" i="28"/>
  <c r="M45" i="28"/>
  <c r="O44" i="28"/>
  <c r="M44" i="28"/>
  <c r="O43" i="28"/>
  <c r="M43" i="28"/>
  <c r="O42" i="28"/>
  <c r="M42" i="28"/>
  <c r="O41" i="28"/>
  <c r="M41" i="28"/>
  <c r="O40" i="28"/>
  <c r="M40" i="28"/>
  <c r="O39" i="28"/>
  <c r="M39" i="28"/>
  <c r="O38" i="28"/>
  <c r="M38" i="28"/>
  <c r="O37" i="28"/>
  <c r="M37" i="28"/>
  <c r="O36" i="28"/>
  <c r="M36" i="28"/>
  <c r="O35" i="28"/>
  <c r="M35" i="28"/>
  <c r="O34" i="28"/>
  <c r="M34" i="28"/>
  <c r="O33" i="28"/>
  <c r="M33" i="28"/>
  <c r="O32" i="28"/>
  <c r="M32" i="28"/>
  <c r="O31" i="28"/>
  <c r="M31" i="28"/>
  <c r="O30" i="28"/>
  <c r="M30" i="28"/>
  <c r="O29" i="28"/>
  <c r="M29" i="28"/>
  <c r="O28" i="28"/>
  <c r="M28" i="28"/>
  <c r="O27" i="28"/>
  <c r="M27" i="28"/>
  <c r="O26" i="28"/>
  <c r="M26" i="28"/>
  <c r="O25" i="28"/>
  <c r="M25" i="28"/>
  <c r="O24" i="28"/>
  <c r="M24" i="28"/>
  <c r="O23" i="28"/>
  <c r="M23" i="28"/>
  <c r="O22" i="28"/>
  <c r="M22" i="28"/>
  <c r="O21" i="28"/>
  <c r="M21" i="28"/>
  <c r="O20" i="28"/>
  <c r="M20" i="28"/>
  <c r="O19" i="28"/>
  <c r="M19" i="28"/>
  <c r="O18" i="28"/>
  <c r="M18" i="28"/>
  <c r="O17" i="28"/>
  <c r="M17" i="28"/>
  <c r="O16" i="28"/>
  <c r="M16" i="28"/>
  <c r="O15" i="28"/>
  <c r="M15" i="28"/>
  <c r="O14" i="28"/>
  <c r="M14" i="28"/>
  <c r="O13" i="28"/>
  <c r="M13" i="28"/>
  <c r="O12" i="28"/>
  <c r="M12" i="28"/>
  <c r="O11" i="28"/>
  <c r="M11" i="28"/>
  <c r="O10" i="28"/>
  <c r="M10" i="28"/>
  <c r="O9" i="28"/>
  <c r="M9" i="28"/>
  <c r="O8" i="28"/>
  <c r="M8" i="28"/>
  <c r="O7" i="28"/>
  <c r="M7" i="28"/>
  <c r="O6" i="28"/>
  <c r="M6" i="28"/>
  <c r="O5" i="28"/>
  <c r="M5" i="28"/>
  <c r="O4" i="28"/>
  <c r="M4" i="28"/>
  <c r="M81" i="27"/>
  <c r="M80" i="27"/>
  <c r="M79" i="27"/>
  <c r="M78" i="27"/>
  <c r="M77" i="27"/>
  <c r="M76" i="27"/>
  <c r="M75" i="27"/>
  <c r="M74" i="27"/>
  <c r="M73" i="27"/>
  <c r="M72" i="27"/>
  <c r="M71" i="27"/>
  <c r="M70" i="27"/>
  <c r="M69" i="27"/>
  <c r="M68" i="27"/>
  <c r="M67" i="27"/>
  <c r="M66" i="27"/>
  <c r="M65" i="27"/>
  <c r="M64" i="27"/>
  <c r="M63" i="27"/>
  <c r="M62" i="27"/>
  <c r="M61" i="27"/>
  <c r="M60" i="27"/>
  <c r="M59" i="27"/>
  <c r="M58" i="27"/>
  <c r="M57" i="27"/>
  <c r="M56" i="27"/>
  <c r="M55" i="27"/>
  <c r="M54" i="27"/>
  <c r="M53" i="27"/>
  <c r="M52" i="27"/>
  <c r="M51" i="27"/>
  <c r="M50" i="27"/>
  <c r="M49" i="27"/>
  <c r="M48" i="27"/>
  <c r="M47" i="27"/>
  <c r="O46" i="27"/>
  <c r="M46" i="27"/>
  <c r="O45" i="27"/>
  <c r="M45" i="27"/>
  <c r="O44" i="27"/>
  <c r="M44" i="27"/>
  <c r="O43" i="27"/>
  <c r="M43" i="27"/>
  <c r="O42" i="27"/>
  <c r="M42" i="27"/>
  <c r="M41" i="27"/>
  <c r="O40" i="27"/>
  <c r="M40" i="27"/>
  <c r="O39" i="27"/>
  <c r="M39" i="27"/>
  <c r="M38" i="27"/>
  <c r="M37" i="27"/>
  <c r="M36" i="27"/>
  <c r="M35" i="27"/>
  <c r="M34" i="27"/>
  <c r="M33" i="27"/>
  <c r="M32" i="27"/>
  <c r="M31" i="27"/>
  <c r="M30" i="27"/>
  <c r="M29" i="27"/>
  <c r="M28" i="27"/>
  <c r="M27" i="27"/>
  <c r="M26" i="27"/>
  <c r="M25" i="27"/>
  <c r="M24" i="27"/>
  <c r="M23" i="27"/>
  <c r="M22" i="27"/>
  <c r="M21" i="27"/>
  <c r="M20" i="27"/>
  <c r="M19" i="27"/>
  <c r="M18" i="27"/>
  <c r="M17" i="27"/>
  <c r="M16" i="27"/>
  <c r="M15" i="27"/>
  <c r="M14" i="27"/>
  <c r="M13" i="27"/>
  <c r="M12" i="27"/>
  <c r="M11" i="27"/>
  <c r="M10" i="27"/>
  <c r="M9" i="27"/>
  <c r="M8" i="27"/>
  <c r="M7" i="27"/>
  <c r="M6" i="27"/>
  <c r="M5" i="27"/>
  <c r="M4" i="27"/>
  <c r="O81" i="26"/>
  <c r="M81" i="26"/>
  <c r="O80" i="26"/>
  <c r="M80" i="26"/>
  <c r="O79" i="26"/>
  <c r="M79" i="26"/>
  <c r="O78" i="26"/>
  <c r="M78" i="26"/>
  <c r="O77" i="26"/>
  <c r="M77" i="26"/>
  <c r="O76" i="26"/>
  <c r="M76" i="26"/>
  <c r="O75" i="26"/>
  <c r="M75" i="26"/>
  <c r="O74" i="26"/>
  <c r="M74" i="26"/>
  <c r="O73" i="26"/>
  <c r="M73" i="26"/>
  <c r="O72" i="26"/>
  <c r="M72" i="26"/>
  <c r="O71" i="26"/>
  <c r="M71" i="26"/>
  <c r="O70" i="26"/>
  <c r="M70" i="26"/>
  <c r="O69" i="26"/>
  <c r="M69" i="26"/>
  <c r="O68" i="26"/>
  <c r="M68" i="26"/>
  <c r="O67" i="26"/>
  <c r="M67" i="26"/>
  <c r="O66" i="26"/>
  <c r="M66" i="26"/>
  <c r="O65" i="26"/>
  <c r="M65" i="26"/>
  <c r="O64" i="26"/>
  <c r="M64" i="26"/>
  <c r="O63" i="26"/>
  <c r="M63" i="26"/>
  <c r="O62" i="26"/>
  <c r="M62" i="26"/>
  <c r="O61" i="26"/>
  <c r="M61" i="26"/>
  <c r="O60" i="26"/>
  <c r="M60" i="26"/>
  <c r="O59" i="26"/>
  <c r="M59" i="26"/>
  <c r="O58" i="26"/>
  <c r="M58" i="26"/>
  <c r="O57" i="26"/>
  <c r="M57" i="26"/>
  <c r="O56" i="26"/>
  <c r="M56" i="26"/>
  <c r="O55" i="26"/>
  <c r="M55" i="26"/>
  <c r="O54" i="26"/>
  <c r="M54" i="26"/>
  <c r="O53" i="26"/>
  <c r="M53" i="26"/>
  <c r="O52" i="26"/>
  <c r="M52" i="26"/>
  <c r="O51" i="26"/>
  <c r="M51" i="26"/>
  <c r="O50" i="26"/>
  <c r="M50" i="26"/>
  <c r="O49" i="26"/>
  <c r="M49" i="26"/>
  <c r="O48" i="26"/>
  <c r="M48" i="26"/>
  <c r="O47" i="26"/>
  <c r="M47" i="26"/>
  <c r="O46" i="26"/>
  <c r="M46" i="26"/>
  <c r="O45" i="26"/>
  <c r="M45" i="26"/>
  <c r="O44" i="26"/>
  <c r="M44" i="26"/>
  <c r="O43" i="26"/>
  <c r="M43" i="26"/>
  <c r="O42" i="26"/>
  <c r="M42" i="26"/>
  <c r="O41" i="26"/>
  <c r="M41" i="26"/>
  <c r="O40" i="26"/>
  <c r="M40" i="26"/>
  <c r="O39" i="26"/>
  <c r="M39" i="26"/>
  <c r="O38" i="26"/>
  <c r="M38" i="26"/>
  <c r="O37" i="26"/>
  <c r="M37" i="26"/>
  <c r="O36" i="26"/>
  <c r="M36" i="26"/>
  <c r="O35" i="26"/>
  <c r="M35" i="26"/>
  <c r="O34" i="26"/>
  <c r="M34" i="26"/>
  <c r="O33" i="26"/>
  <c r="M33" i="26"/>
  <c r="O32" i="26"/>
  <c r="M32" i="26"/>
  <c r="O31" i="26"/>
  <c r="M31" i="26"/>
  <c r="O30" i="26"/>
  <c r="M30" i="26"/>
  <c r="O29" i="26"/>
  <c r="M29" i="26"/>
  <c r="O28" i="26"/>
  <c r="M28" i="26"/>
  <c r="O27" i="26"/>
  <c r="M27" i="26"/>
  <c r="O26" i="26"/>
  <c r="M26" i="26"/>
  <c r="O25" i="26"/>
  <c r="M25" i="26"/>
  <c r="O24" i="26"/>
  <c r="M24" i="26"/>
  <c r="O23" i="26"/>
  <c r="M23" i="26"/>
  <c r="O22" i="26"/>
  <c r="M22" i="26"/>
  <c r="O21" i="26"/>
  <c r="M21" i="26"/>
  <c r="O20" i="26"/>
  <c r="M20" i="26"/>
  <c r="O19" i="26"/>
  <c r="M19" i="26"/>
  <c r="O18" i="26"/>
  <c r="M18" i="26"/>
  <c r="O17" i="26"/>
  <c r="M17" i="26"/>
  <c r="O16" i="26"/>
  <c r="M16" i="26"/>
  <c r="O15" i="26"/>
  <c r="M15" i="26"/>
  <c r="O14" i="26"/>
  <c r="M14" i="26"/>
  <c r="O13" i="26"/>
  <c r="M13" i="26"/>
  <c r="O12" i="26"/>
  <c r="M12" i="26"/>
  <c r="O11" i="26"/>
  <c r="M11" i="26"/>
  <c r="O10" i="26"/>
  <c r="M10" i="26"/>
  <c r="O9" i="26"/>
  <c r="M9" i="26"/>
  <c r="O8" i="26"/>
  <c r="M8" i="26"/>
  <c r="O7" i="26"/>
  <c r="M7" i="26"/>
  <c r="O6" i="26"/>
  <c r="M6" i="26"/>
  <c r="O5" i="26"/>
  <c r="M5" i="26"/>
  <c r="O4" i="26"/>
  <c r="M4" i="26"/>
  <c r="M83" i="26" s="1"/>
  <c r="L83" i="26"/>
  <c r="M81" i="25"/>
  <c r="M80" i="25"/>
  <c r="M79" i="25"/>
  <c r="M78" i="25"/>
  <c r="M77" i="25"/>
  <c r="M76" i="25"/>
  <c r="M75" i="25"/>
  <c r="M74" i="25"/>
  <c r="M73" i="25"/>
  <c r="M72" i="25"/>
  <c r="M71" i="25"/>
  <c r="M70" i="25"/>
  <c r="M69" i="25"/>
  <c r="M68" i="25"/>
  <c r="M67" i="25"/>
  <c r="M66" i="25"/>
  <c r="M65" i="25"/>
  <c r="M64" i="25"/>
  <c r="M63" i="25"/>
  <c r="M62" i="25"/>
  <c r="M61" i="25"/>
  <c r="M60" i="25"/>
  <c r="M59" i="25"/>
  <c r="M58" i="25"/>
  <c r="M57" i="25"/>
  <c r="M56" i="25"/>
  <c r="M55" i="25"/>
  <c r="M54" i="25"/>
  <c r="M53" i="25"/>
  <c r="M52" i="25"/>
  <c r="M51" i="25"/>
  <c r="M50" i="25"/>
  <c r="M49" i="25"/>
  <c r="M48" i="25"/>
  <c r="M47" i="25"/>
  <c r="M46" i="25"/>
  <c r="M45" i="25"/>
  <c r="M44" i="25"/>
  <c r="M43" i="25"/>
  <c r="M42" i="25"/>
  <c r="M41" i="25"/>
  <c r="M40" i="25"/>
  <c r="M39" i="25"/>
  <c r="M38" i="25"/>
  <c r="M37" i="25"/>
  <c r="M36" i="25"/>
  <c r="M35" i="25"/>
  <c r="M34" i="25"/>
  <c r="M33" i="25"/>
  <c r="M32" i="25"/>
  <c r="M31" i="25"/>
  <c r="M30" i="25"/>
  <c r="M29" i="25"/>
  <c r="M28" i="25"/>
  <c r="M27" i="25"/>
  <c r="M26" i="25"/>
  <c r="M25" i="25"/>
  <c r="M24" i="25"/>
  <c r="M23" i="25"/>
  <c r="M22" i="25"/>
  <c r="M21" i="25"/>
  <c r="M20" i="25"/>
  <c r="M19" i="25"/>
  <c r="M18" i="25"/>
  <c r="M17" i="25"/>
  <c r="M16" i="25"/>
  <c r="M15" i="25"/>
  <c r="M14" i="25"/>
  <c r="M13" i="25"/>
  <c r="M12" i="25"/>
  <c r="M11" i="25"/>
  <c r="M10" i="25"/>
  <c r="M9" i="25"/>
  <c r="M8" i="25"/>
  <c r="O7" i="25"/>
  <c r="M7" i="25"/>
  <c r="M6" i="25"/>
  <c r="M5" i="25"/>
  <c r="M4" i="25"/>
  <c r="M81" i="24"/>
  <c r="M80" i="24"/>
  <c r="M79" i="24"/>
  <c r="M78" i="24"/>
  <c r="M77" i="24"/>
  <c r="M76" i="24"/>
  <c r="M75" i="24"/>
  <c r="M74" i="24"/>
  <c r="M73" i="24"/>
  <c r="M72" i="24"/>
  <c r="M71" i="24"/>
  <c r="M70" i="24"/>
  <c r="M69" i="24"/>
  <c r="M68" i="24"/>
  <c r="M67" i="24"/>
  <c r="M66" i="24"/>
  <c r="M65" i="24"/>
  <c r="M64" i="24"/>
  <c r="M63" i="24"/>
  <c r="M62" i="24"/>
  <c r="M61" i="24"/>
  <c r="M60" i="24"/>
  <c r="M59" i="24"/>
  <c r="M58" i="24"/>
  <c r="M57" i="24"/>
  <c r="M56" i="24"/>
  <c r="M55" i="24"/>
  <c r="M54" i="24"/>
  <c r="M53" i="24"/>
  <c r="M52" i="24"/>
  <c r="M51" i="24"/>
  <c r="M50" i="24"/>
  <c r="M49" i="24"/>
  <c r="M48" i="24"/>
  <c r="M47" i="24"/>
  <c r="M46" i="24"/>
  <c r="M45" i="24"/>
  <c r="M44" i="24"/>
  <c r="M43" i="24"/>
  <c r="M42" i="24"/>
  <c r="M41" i="24"/>
  <c r="M40" i="24"/>
  <c r="M39" i="24"/>
  <c r="M38" i="24"/>
  <c r="M37" i="24"/>
  <c r="M36" i="24"/>
  <c r="M35" i="24"/>
  <c r="M34" i="24"/>
  <c r="M33" i="24"/>
  <c r="M32" i="24"/>
  <c r="M31" i="24"/>
  <c r="M30" i="24"/>
  <c r="M29" i="24"/>
  <c r="M28" i="24"/>
  <c r="M27" i="24"/>
  <c r="M26" i="24"/>
  <c r="M25" i="24"/>
  <c r="M24" i="24"/>
  <c r="M23" i="24"/>
  <c r="M22" i="24"/>
  <c r="M21" i="24"/>
  <c r="M20" i="24"/>
  <c r="M19" i="24"/>
  <c r="M18" i="24"/>
  <c r="M17" i="24"/>
  <c r="M16" i="24"/>
  <c r="O15" i="24"/>
  <c r="M15" i="24"/>
  <c r="O14" i="24"/>
  <c r="M14" i="24"/>
  <c r="M13" i="24"/>
  <c r="M12" i="24"/>
  <c r="M11" i="24"/>
  <c r="M10" i="24"/>
  <c r="M9" i="24"/>
  <c r="M8" i="24"/>
  <c r="M7" i="24"/>
  <c r="M6" i="24"/>
  <c r="M5" i="24"/>
  <c r="M4" i="24"/>
  <c r="O81" i="23"/>
  <c r="M81" i="23"/>
  <c r="O80" i="23"/>
  <c r="M80" i="23"/>
  <c r="O79" i="23"/>
  <c r="M79" i="23"/>
  <c r="O78" i="23"/>
  <c r="M78" i="23"/>
  <c r="O77" i="23"/>
  <c r="M77" i="23"/>
  <c r="O76" i="23"/>
  <c r="M76" i="23"/>
  <c r="O75" i="23"/>
  <c r="M75" i="23"/>
  <c r="O74" i="23"/>
  <c r="M74" i="23"/>
  <c r="O73" i="23"/>
  <c r="M73" i="23"/>
  <c r="O72" i="23"/>
  <c r="M72" i="23"/>
  <c r="O71" i="23"/>
  <c r="M71" i="23"/>
  <c r="O70" i="23"/>
  <c r="M70" i="23"/>
  <c r="O69" i="23"/>
  <c r="M69" i="23"/>
  <c r="O68" i="23"/>
  <c r="M68" i="23"/>
  <c r="O67" i="23"/>
  <c r="M67" i="23"/>
  <c r="O66" i="23"/>
  <c r="M66" i="23"/>
  <c r="O65" i="23"/>
  <c r="M65" i="23"/>
  <c r="O64" i="23"/>
  <c r="M64" i="23"/>
  <c r="O63" i="23"/>
  <c r="M63" i="23"/>
  <c r="O62" i="23"/>
  <c r="M62" i="23"/>
  <c r="O61" i="23"/>
  <c r="M61" i="23"/>
  <c r="O60" i="23"/>
  <c r="M60" i="23"/>
  <c r="O59" i="23"/>
  <c r="M59" i="23"/>
  <c r="O58" i="23"/>
  <c r="M58" i="23"/>
  <c r="O57" i="23"/>
  <c r="M57" i="23"/>
  <c r="O56" i="23"/>
  <c r="M56" i="23"/>
  <c r="O55" i="23"/>
  <c r="M55" i="23"/>
  <c r="O54" i="23"/>
  <c r="M54" i="23"/>
  <c r="O53" i="23"/>
  <c r="M53" i="23"/>
  <c r="O52" i="23"/>
  <c r="M52" i="23"/>
  <c r="O51" i="23"/>
  <c r="M51" i="23"/>
  <c r="O50" i="23"/>
  <c r="M50" i="23"/>
  <c r="O49" i="23"/>
  <c r="M49" i="23"/>
  <c r="O48" i="23"/>
  <c r="M48" i="23"/>
  <c r="O47" i="23"/>
  <c r="M47" i="23"/>
  <c r="O46" i="23"/>
  <c r="M46" i="23"/>
  <c r="O45" i="23"/>
  <c r="M45" i="23"/>
  <c r="O44" i="23"/>
  <c r="M44" i="23"/>
  <c r="O43" i="23"/>
  <c r="M43" i="23"/>
  <c r="O42" i="23"/>
  <c r="M42" i="23"/>
  <c r="O41" i="23"/>
  <c r="M41" i="23"/>
  <c r="O40" i="23"/>
  <c r="M40" i="23"/>
  <c r="O39" i="23"/>
  <c r="M39" i="23"/>
  <c r="O38" i="23"/>
  <c r="M38" i="23"/>
  <c r="O37" i="23"/>
  <c r="M37" i="23"/>
  <c r="O36" i="23"/>
  <c r="M36" i="23"/>
  <c r="O35" i="23"/>
  <c r="M35" i="23"/>
  <c r="O34" i="23"/>
  <c r="M34" i="23"/>
  <c r="O33" i="23"/>
  <c r="M33" i="23"/>
  <c r="O32" i="23"/>
  <c r="M32" i="23"/>
  <c r="O31" i="23"/>
  <c r="M31" i="23"/>
  <c r="O30" i="23"/>
  <c r="M30" i="23"/>
  <c r="O29" i="23"/>
  <c r="M29" i="23"/>
  <c r="O28" i="23"/>
  <c r="M28" i="23"/>
  <c r="O27" i="23"/>
  <c r="M27" i="23"/>
  <c r="O26" i="23"/>
  <c r="M26" i="23"/>
  <c r="O25" i="23"/>
  <c r="M25" i="23"/>
  <c r="O24" i="23"/>
  <c r="M24" i="23"/>
  <c r="O23" i="23"/>
  <c r="M23" i="23"/>
  <c r="O22" i="23"/>
  <c r="M22" i="23"/>
  <c r="O21" i="23"/>
  <c r="M21" i="23"/>
  <c r="O20" i="23"/>
  <c r="M20" i="23"/>
  <c r="O19" i="23"/>
  <c r="M19" i="23"/>
  <c r="O18" i="23"/>
  <c r="M18" i="23"/>
  <c r="O17" i="23"/>
  <c r="M17" i="23"/>
  <c r="O16" i="23"/>
  <c r="M16" i="23"/>
  <c r="O15" i="23"/>
  <c r="M15" i="23"/>
  <c r="O14" i="23"/>
  <c r="M14" i="23"/>
  <c r="O13" i="23"/>
  <c r="M13" i="23"/>
  <c r="O12" i="23"/>
  <c r="M12" i="23"/>
  <c r="O11" i="23"/>
  <c r="M11" i="23"/>
  <c r="O10" i="23"/>
  <c r="M10" i="23"/>
  <c r="O9" i="23"/>
  <c r="M9" i="23"/>
  <c r="O8" i="23"/>
  <c r="M8" i="23"/>
  <c r="O7" i="23"/>
  <c r="M7" i="23"/>
  <c r="O6" i="23"/>
  <c r="M6" i="23"/>
  <c r="O5" i="23"/>
  <c r="M5" i="23"/>
  <c r="O4" i="23"/>
  <c r="M4" i="23"/>
  <c r="M83" i="23" s="1"/>
  <c r="O81" i="22"/>
  <c r="M81" i="22"/>
  <c r="O80" i="22"/>
  <c r="M80" i="22"/>
  <c r="O79" i="22"/>
  <c r="M79" i="22"/>
  <c r="O78" i="22"/>
  <c r="M78" i="22"/>
  <c r="O77" i="22"/>
  <c r="M77" i="22"/>
  <c r="O76" i="22"/>
  <c r="M76" i="22"/>
  <c r="O75" i="22"/>
  <c r="M75" i="22"/>
  <c r="O74" i="22"/>
  <c r="M74" i="22"/>
  <c r="O73" i="22"/>
  <c r="M73" i="22"/>
  <c r="O72" i="22"/>
  <c r="M72" i="22"/>
  <c r="O71" i="22"/>
  <c r="M71" i="22"/>
  <c r="O70" i="22"/>
  <c r="M70" i="22"/>
  <c r="O69" i="22"/>
  <c r="M69" i="22"/>
  <c r="O68" i="22"/>
  <c r="M68" i="22"/>
  <c r="O67" i="22"/>
  <c r="M67" i="22"/>
  <c r="O66" i="22"/>
  <c r="M66" i="22"/>
  <c r="O65" i="22"/>
  <c r="M65" i="22"/>
  <c r="O64" i="22"/>
  <c r="M64" i="22"/>
  <c r="O63" i="22"/>
  <c r="M63" i="22"/>
  <c r="O62" i="22"/>
  <c r="M62" i="22"/>
  <c r="O61" i="22"/>
  <c r="M61" i="22"/>
  <c r="O60" i="22"/>
  <c r="M60" i="22"/>
  <c r="O59" i="22"/>
  <c r="M59" i="22"/>
  <c r="O58" i="22"/>
  <c r="M58" i="22"/>
  <c r="O57" i="22"/>
  <c r="M57" i="22"/>
  <c r="O56" i="22"/>
  <c r="M56" i="22"/>
  <c r="O55" i="22"/>
  <c r="M55" i="22"/>
  <c r="O54" i="22"/>
  <c r="M54" i="22"/>
  <c r="O53" i="22"/>
  <c r="M53" i="22"/>
  <c r="O52" i="22"/>
  <c r="M52" i="22"/>
  <c r="O51" i="22"/>
  <c r="M51" i="22"/>
  <c r="O50" i="22"/>
  <c r="M50" i="22"/>
  <c r="O49" i="22"/>
  <c r="M49" i="22"/>
  <c r="O48" i="22"/>
  <c r="M48" i="22"/>
  <c r="O47" i="22"/>
  <c r="M47" i="22"/>
  <c r="O46" i="22"/>
  <c r="M46" i="22"/>
  <c r="O45" i="22"/>
  <c r="M45" i="22"/>
  <c r="O44" i="22"/>
  <c r="M44" i="22"/>
  <c r="O43" i="22"/>
  <c r="M43" i="22"/>
  <c r="O42" i="22"/>
  <c r="M42" i="22"/>
  <c r="O41" i="22"/>
  <c r="M41" i="22"/>
  <c r="O40" i="22"/>
  <c r="M40" i="22"/>
  <c r="O39" i="22"/>
  <c r="M39" i="22"/>
  <c r="O38" i="22"/>
  <c r="M38" i="22"/>
  <c r="O37" i="22"/>
  <c r="M37" i="22"/>
  <c r="O36" i="22"/>
  <c r="M36" i="22"/>
  <c r="O35" i="22"/>
  <c r="M35" i="22"/>
  <c r="O34" i="22"/>
  <c r="M34" i="22"/>
  <c r="O33" i="22"/>
  <c r="M33" i="22"/>
  <c r="O32" i="22"/>
  <c r="M32" i="22"/>
  <c r="O31" i="22"/>
  <c r="M31" i="22"/>
  <c r="O30" i="22"/>
  <c r="M30" i="22"/>
  <c r="O29" i="22"/>
  <c r="M29" i="22"/>
  <c r="O28" i="22"/>
  <c r="M28" i="22"/>
  <c r="O27" i="22"/>
  <c r="M27" i="22"/>
  <c r="O26" i="22"/>
  <c r="M26" i="22"/>
  <c r="O25" i="22"/>
  <c r="M25" i="22"/>
  <c r="O24" i="22"/>
  <c r="M24" i="22"/>
  <c r="O23" i="22"/>
  <c r="M23" i="22"/>
  <c r="O22" i="22"/>
  <c r="M22" i="22"/>
  <c r="O21" i="22"/>
  <c r="M21" i="22"/>
  <c r="O20" i="22"/>
  <c r="M20" i="22"/>
  <c r="O19" i="22"/>
  <c r="M19" i="22"/>
  <c r="O18" i="22"/>
  <c r="M18" i="22"/>
  <c r="O17" i="22"/>
  <c r="M17" i="22"/>
  <c r="O16" i="22"/>
  <c r="M16" i="22"/>
  <c r="O15" i="22"/>
  <c r="M15" i="22"/>
  <c r="O14" i="22"/>
  <c r="M14" i="22"/>
  <c r="O13" i="22"/>
  <c r="M13" i="22"/>
  <c r="O12" i="22"/>
  <c r="M12" i="22"/>
  <c r="O11" i="22"/>
  <c r="M11" i="22"/>
  <c r="O10" i="22"/>
  <c r="M10" i="22"/>
  <c r="O9" i="22"/>
  <c r="M9" i="22"/>
  <c r="O8" i="22"/>
  <c r="M8" i="22"/>
  <c r="O7" i="22"/>
  <c r="M7" i="22"/>
  <c r="O6" i="22"/>
  <c r="M6" i="22"/>
  <c r="O5" i="22"/>
  <c r="M5" i="22"/>
  <c r="O4" i="22"/>
  <c r="M4" i="22"/>
  <c r="O81" i="21"/>
  <c r="M81" i="21"/>
  <c r="O80" i="21"/>
  <c r="M80" i="21"/>
  <c r="O79" i="21"/>
  <c r="M79" i="21"/>
  <c r="O78" i="21"/>
  <c r="M78" i="21"/>
  <c r="O77" i="21"/>
  <c r="M77" i="21"/>
  <c r="O76" i="21"/>
  <c r="M76" i="21"/>
  <c r="O75" i="21"/>
  <c r="M75" i="21"/>
  <c r="O74" i="21"/>
  <c r="M74" i="21"/>
  <c r="O73" i="21"/>
  <c r="M73" i="21"/>
  <c r="O72" i="21"/>
  <c r="M72" i="21"/>
  <c r="O71" i="21"/>
  <c r="M71" i="21"/>
  <c r="O70" i="21"/>
  <c r="M70" i="21"/>
  <c r="O69" i="21"/>
  <c r="M69" i="21"/>
  <c r="O68" i="21"/>
  <c r="M68" i="21"/>
  <c r="O67" i="21"/>
  <c r="M67" i="21"/>
  <c r="O66" i="21"/>
  <c r="M66" i="21"/>
  <c r="O65" i="21"/>
  <c r="M65" i="21"/>
  <c r="O64" i="21"/>
  <c r="M64" i="21"/>
  <c r="O63" i="21"/>
  <c r="M63" i="21"/>
  <c r="O62" i="21"/>
  <c r="M62" i="21"/>
  <c r="O61" i="21"/>
  <c r="M61" i="21"/>
  <c r="O60" i="21"/>
  <c r="M60" i="21"/>
  <c r="O59" i="21"/>
  <c r="M59" i="21"/>
  <c r="O58" i="21"/>
  <c r="M58" i="21"/>
  <c r="O57" i="21"/>
  <c r="M57" i="21"/>
  <c r="O56" i="21"/>
  <c r="M56" i="21"/>
  <c r="O55" i="21"/>
  <c r="M55" i="21"/>
  <c r="O54" i="21"/>
  <c r="M54" i="21"/>
  <c r="O53" i="21"/>
  <c r="M53" i="21"/>
  <c r="O52" i="21"/>
  <c r="M52" i="21"/>
  <c r="O51" i="21"/>
  <c r="M51" i="21"/>
  <c r="O50" i="21"/>
  <c r="M50" i="21"/>
  <c r="O49" i="21"/>
  <c r="M49" i="21"/>
  <c r="O48" i="21"/>
  <c r="M48" i="21"/>
  <c r="O47" i="21"/>
  <c r="M47" i="21"/>
  <c r="O46" i="21"/>
  <c r="M46" i="21"/>
  <c r="O45" i="21"/>
  <c r="M45" i="21"/>
  <c r="O44" i="21"/>
  <c r="M44" i="21"/>
  <c r="O43" i="21"/>
  <c r="M43" i="21"/>
  <c r="O42" i="21"/>
  <c r="M42" i="21"/>
  <c r="O41" i="21"/>
  <c r="M41" i="21"/>
  <c r="O40" i="21"/>
  <c r="M40" i="21"/>
  <c r="O39" i="21"/>
  <c r="M39" i="21"/>
  <c r="O38" i="21"/>
  <c r="M38" i="21"/>
  <c r="O37" i="21"/>
  <c r="M37" i="21"/>
  <c r="O36" i="21"/>
  <c r="M36" i="21"/>
  <c r="O35" i="21"/>
  <c r="M35" i="21"/>
  <c r="O34" i="21"/>
  <c r="M34" i="21"/>
  <c r="O33" i="21"/>
  <c r="M33" i="21"/>
  <c r="O32" i="21"/>
  <c r="M32" i="21"/>
  <c r="O31" i="21"/>
  <c r="M31" i="21"/>
  <c r="O30" i="21"/>
  <c r="M30" i="21"/>
  <c r="O29" i="21"/>
  <c r="M29" i="21"/>
  <c r="O28" i="21"/>
  <c r="M28" i="21"/>
  <c r="O27" i="21"/>
  <c r="M27" i="21"/>
  <c r="O26" i="21"/>
  <c r="M26" i="21"/>
  <c r="O25" i="21"/>
  <c r="M25" i="21"/>
  <c r="O24" i="21"/>
  <c r="M24" i="21"/>
  <c r="O23" i="21"/>
  <c r="M23" i="21"/>
  <c r="O22" i="21"/>
  <c r="M22" i="21"/>
  <c r="O21" i="21"/>
  <c r="M21" i="21"/>
  <c r="O20" i="21"/>
  <c r="M20" i="21"/>
  <c r="O19" i="21"/>
  <c r="M19" i="21"/>
  <c r="O18" i="21"/>
  <c r="M18" i="21"/>
  <c r="O17" i="21"/>
  <c r="M17" i="21"/>
  <c r="O16" i="21"/>
  <c r="M16" i="21"/>
  <c r="O15" i="21"/>
  <c r="M15" i="21"/>
  <c r="O14" i="21"/>
  <c r="M14" i="21"/>
  <c r="O13" i="21"/>
  <c r="M13" i="21"/>
  <c r="O12" i="21"/>
  <c r="M12" i="21"/>
  <c r="O11" i="21"/>
  <c r="M11" i="21"/>
  <c r="O10" i="21"/>
  <c r="M10" i="21"/>
  <c r="O9" i="21"/>
  <c r="M9" i="21"/>
  <c r="O8" i="21"/>
  <c r="M8" i="21"/>
  <c r="O7" i="21"/>
  <c r="M7" i="21"/>
  <c r="O6" i="21"/>
  <c r="M6" i="21"/>
  <c r="O5" i="21"/>
  <c r="M5" i="21"/>
  <c r="O4" i="21"/>
  <c r="M4" i="21"/>
  <c r="M83" i="21" s="1"/>
  <c r="L83" i="21"/>
  <c r="M81" i="20"/>
  <c r="M80" i="20"/>
  <c r="M79" i="20"/>
  <c r="M78" i="20"/>
  <c r="M77" i="20"/>
  <c r="M76" i="20"/>
  <c r="M75" i="20"/>
  <c r="M74" i="20"/>
  <c r="M73" i="20"/>
  <c r="M72" i="20"/>
  <c r="M71" i="20"/>
  <c r="M70" i="20"/>
  <c r="M69" i="20"/>
  <c r="M68" i="20"/>
  <c r="M67" i="20"/>
  <c r="M66" i="20"/>
  <c r="M65" i="20"/>
  <c r="M64" i="20"/>
  <c r="M63" i="20"/>
  <c r="M62" i="20"/>
  <c r="M61" i="20"/>
  <c r="M60" i="20"/>
  <c r="M59" i="20"/>
  <c r="M58" i="20"/>
  <c r="M57" i="20"/>
  <c r="M56" i="20"/>
  <c r="M55" i="20"/>
  <c r="M54" i="20"/>
  <c r="M53" i="20"/>
  <c r="M52" i="20"/>
  <c r="M51" i="20"/>
  <c r="M50" i="20"/>
  <c r="M49" i="20"/>
  <c r="M48" i="20"/>
  <c r="M47" i="20"/>
  <c r="M46" i="20"/>
  <c r="M45" i="20"/>
  <c r="M44" i="20"/>
  <c r="M43" i="20"/>
  <c r="M42" i="20"/>
  <c r="M41" i="20"/>
  <c r="M40" i="20"/>
  <c r="M39" i="20"/>
  <c r="M38" i="20"/>
  <c r="M37" i="20"/>
  <c r="M36" i="20"/>
  <c r="M35" i="20"/>
  <c r="M34" i="20"/>
  <c r="M33" i="20"/>
  <c r="M32" i="20"/>
  <c r="M31" i="20"/>
  <c r="M30" i="20"/>
  <c r="M29" i="20"/>
  <c r="M28" i="20"/>
  <c r="M27" i="20"/>
  <c r="M26" i="20"/>
  <c r="M25" i="20"/>
  <c r="O24" i="20"/>
  <c r="M24" i="20"/>
  <c r="M23" i="20"/>
  <c r="M22" i="20"/>
  <c r="M21" i="20"/>
  <c r="M20" i="20"/>
  <c r="M19" i="20"/>
  <c r="M18" i="20"/>
  <c r="M17" i="20"/>
  <c r="M16" i="20"/>
  <c r="M15" i="20"/>
  <c r="M14" i="20"/>
  <c r="M13" i="20"/>
  <c r="M12" i="20"/>
  <c r="M11" i="20"/>
  <c r="M10" i="20"/>
  <c r="M9" i="20"/>
  <c r="M8" i="20"/>
  <c r="M7" i="20"/>
  <c r="M6" i="20"/>
  <c r="M5" i="20"/>
  <c r="M4" i="20"/>
  <c r="M81" i="19"/>
  <c r="M80" i="19"/>
  <c r="M79" i="19"/>
  <c r="M78" i="19"/>
  <c r="M77" i="19"/>
  <c r="M76" i="19"/>
  <c r="M75" i="19"/>
  <c r="M74" i="19"/>
  <c r="M73" i="19"/>
  <c r="M72" i="19"/>
  <c r="M71" i="19"/>
  <c r="M70" i="19"/>
  <c r="M69" i="19"/>
  <c r="M68" i="19"/>
  <c r="M67" i="19"/>
  <c r="M66" i="19"/>
  <c r="M65" i="19"/>
  <c r="M64" i="19"/>
  <c r="M63" i="19"/>
  <c r="M62" i="19"/>
  <c r="M61" i="19"/>
  <c r="M60" i="19"/>
  <c r="M59" i="19"/>
  <c r="M58" i="19"/>
  <c r="M57" i="19"/>
  <c r="M56" i="19"/>
  <c r="M55" i="19"/>
  <c r="M54" i="19"/>
  <c r="M53" i="19"/>
  <c r="M52" i="19"/>
  <c r="M51" i="19"/>
  <c r="M50" i="19"/>
  <c r="M49" i="19"/>
  <c r="M48" i="19"/>
  <c r="M47" i="19"/>
  <c r="M46" i="19"/>
  <c r="M45" i="19"/>
  <c r="M44" i="19"/>
  <c r="M43" i="19"/>
  <c r="M42" i="19"/>
  <c r="M41" i="19"/>
  <c r="M40" i="19"/>
  <c r="M39" i="19"/>
  <c r="M38" i="19"/>
  <c r="M37" i="19"/>
  <c r="M36" i="19"/>
  <c r="M35" i="19"/>
  <c r="M34" i="19"/>
  <c r="M33" i="19"/>
  <c r="M32" i="19"/>
  <c r="M31" i="19"/>
  <c r="M30" i="19"/>
  <c r="M29" i="19"/>
  <c r="M28" i="19"/>
  <c r="M27" i="19"/>
  <c r="M26" i="19"/>
  <c r="M25" i="19"/>
  <c r="M24" i="19"/>
  <c r="M23" i="19"/>
  <c r="M22" i="19"/>
  <c r="M21" i="19"/>
  <c r="M20" i="19"/>
  <c r="M19" i="19"/>
  <c r="M18" i="19"/>
  <c r="M17" i="19"/>
  <c r="M16" i="19"/>
  <c r="O15" i="19"/>
  <c r="M15" i="19"/>
  <c r="M14" i="19"/>
  <c r="M13" i="19"/>
  <c r="M12" i="19"/>
  <c r="M11" i="19"/>
  <c r="M10" i="19"/>
  <c r="O9" i="19"/>
  <c r="M9" i="19"/>
  <c r="M8" i="19"/>
  <c r="M7" i="19"/>
  <c r="M6" i="19"/>
  <c r="M5" i="19"/>
  <c r="M4" i="19"/>
  <c r="O81" i="18"/>
  <c r="M81" i="18"/>
  <c r="O80" i="18"/>
  <c r="M80" i="18"/>
  <c r="O79" i="18"/>
  <c r="M79" i="18"/>
  <c r="O78" i="18"/>
  <c r="M78" i="18"/>
  <c r="O77" i="18"/>
  <c r="M77" i="18"/>
  <c r="O76" i="18"/>
  <c r="M76" i="18"/>
  <c r="O75" i="18"/>
  <c r="M75" i="18"/>
  <c r="O74" i="18"/>
  <c r="M74" i="18"/>
  <c r="O73" i="18"/>
  <c r="M73" i="18"/>
  <c r="O72" i="18"/>
  <c r="M72" i="18"/>
  <c r="O71" i="18"/>
  <c r="M71" i="18"/>
  <c r="O70" i="18"/>
  <c r="M70" i="18"/>
  <c r="O69" i="18"/>
  <c r="M69" i="18"/>
  <c r="O68" i="18"/>
  <c r="M68" i="18"/>
  <c r="O67" i="18"/>
  <c r="M67" i="18"/>
  <c r="O66" i="18"/>
  <c r="M66" i="18"/>
  <c r="O65" i="18"/>
  <c r="M65" i="18"/>
  <c r="O64" i="18"/>
  <c r="M64" i="18"/>
  <c r="O63" i="18"/>
  <c r="M63" i="18"/>
  <c r="O62" i="18"/>
  <c r="M62" i="18"/>
  <c r="O61" i="18"/>
  <c r="M61" i="18"/>
  <c r="O60" i="18"/>
  <c r="M60" i="18"/>
  <c r="O59" i="18"/>
  <c r="M59" i="18"/>
  <c r="O58" i="18"/>
  <c r="M58" i="18"/>
  <c r="O57" i="18"/>
  <c r="M57" i="18"/>
  <c r="O56" i="18"/>
  <c r="M56" i="18"/>
  <c r="O55" i="18"/>
  <c r="M55" i="18"/>
  <c r="O54" i="18"/>
  <c r="M54" i="18"/>
  <c r="O53" i="18"/>
  <c r="M53" i="18"/>
  <c r="O52" i="18"/>
  <c r="M52" i="18"/>
  <c r="O51" i="18"/>
  <c r="M51" i="18"/>
  <c r="O50" i="18"/>
  <c r="M50" i="18"/>
  <c r="O49" i="18"/>
  <c r="M49" i="18"/>
  <c r="O48" i="18"/>
  <c r="M48" i="18"/>
  <c r="O47" i="18"/>
  <c r="M47" i="18"/>
  <c r="O46" i="18"/>
  <c r="M46" i="18"/>
  <c r="O45" i="18"/>
  <c r="M45" i="18"/>
  <c r="O44" i="18"/>
  <c r="M44" i="18"/>
  <c r="O43" i="18"/>
  <c r="M43" i="18"/>
  <c r="O42" i="18"/>
  <c r="M42" i="18"/>
  <c r="O41" i="18"/>
  <c r="M41" i="18"/>
  <c r="O40" i="18"/>
  <c r="M40" i="18"/>
  <c r="O39" i="18"/>
  <c r="M39" i="18"/>
  <c r="O38" i="18"/>
  <c r="M38" i="18"/>
  <c r="O37" i="18"/>
  <c r="M37" i="18"/>
  <c r="O36" i="18"/>
  <c r="M36" i="18"/>
  <c r="O35" i="18"/>
  <c r="M35" i="18"/>
  <c r="O34" i="18"/>
  <c r="M34" i="18"/>
  <c r="O33" i="18"/>
  <c r="M33" i="18"/>
  <c r="O32" i="18"/>
  <c r="M32" i="18"/>
  <c r="O31" i="18"/>
  <c r="M31" i="18"/>
  <c r="O30" i="18"/>
  <c r="M30" i="18"/>
  <c r="O29" i="18"/>
  <c r="M29" i="18"/>
  <c r="O28" i="18"/>
  <c r="M28" i="18"/>
  <c r="O27" i="18"/>
  <c r="M27" i="18"/>
  <c r="O26" i="18"/>
  <c r="M26" i="18"/>
  <c r="O25" i="18"/>
  <c r="M25" i="18"/>
  <c r="O24" i="18"/>
  <c r="M24" i="18"/>
  <c r="O23" i="18"/>
  <c r="M23" i="18"/>
  <c r="O22" i="18"/>
  <c r="M22" i="18"/>
  <c r="O21" i="18"/>
  <c r="M21" i="18"/>
  <c r="O20" i="18"/>
  <c r="M20" i="18"/>
  <c r="O19" i="18"/>
  <c r="M19" i="18"/>
  <c r="O18" i="18"/>
  <c r="M18" i="18"/>
  <c r="O17" i="18"/>
  <c r="M17" i="18"/>
  <c r="O16" i="18"/>
  <c r="M16" i="18"/>
  <c r="O15" i="18"/>
  <c r="M15" i="18"/>
  <c r="O14" i="18"/>
  <c r="M14" i="18"/>
  <c r="O13" i="18"/>
  <c r="M13" i="18"/>
  <c r="O12" i="18"/>
  <c r="M12" i="18"/>
  <c r="O11" i="18"/>
  <c r="M11" i="18"/>
  <c r="O10" i="18"/>
  <c r="M10" i="18"/>
  <c r="O9" i="18"/>
  <c r="M9" i="18"/>
  <c r="O8" i="18"/>
  <c r="M8" i="18"/>
  <c r="O7" i="18"/>
  <c r="M7" i="18"/>
  <c r="O6" i="18"/>
  <c r="M6" i="18"/>
  <c r="O5" i="18"/>
  <c r="M5" i="18"/>
  <c r="O4" i="18"/>
  <c r="M4" i="18"/>
  <c r="M83" i="18" s="1"/>
  <c r="L83" i="18"/>
  <c r="M5" i="1"/>
  <c r="M6" i="1"/>
  <c r="M7" i="1"/>
  <c r="M8" i="1"/>
  <c r="M9" i="1"/>
  <c r="O9" i="1"/>
  <c r="M10" i="1"/>
  <c r="O10" i="1"/>
  <c r="M11" i="1"/>
  <c r="O11" i="1"/>
  <c r="M12" i="1"/>
  <c r="O12" i="1"/>
  <c r="M13" i="1"/>
  <c r="O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4" i="1"/>
  <c r="M83" i="1" l="1"/>
  <c r="S82" i="29"/>
  <c r="T82" i="29" s="1"/>
  <c r="L83" i="29"/>
  <c r="M83" i="19"/>
  <c r="M83" i="25"/>
  <c r="S82" i="23"/>
  <c r="T82" i="23" s="1"/>
  <c r="L83" i="23"/>
  <c r="M83" i="20"/>
  <c r="S82" i="28"/>
  <c r="T82" i="28" s="1"/>
  <c r="L83" i="28"/>
  <c r="M83" i="28"/>
  <c r="M83" i="27"/>
  <c r="M83" i="24"/>
  <c r="S82" i="31"/>
  <c r="T82" i="31" s="1"/>
  <c r="M83" i="31"/>
  <c r="M83" i="22"/>
  <c r="L83" i="22"/>
  <c r="S82" i="22"/>
  <c r="T82" i="22" s="1"/>
  <c r="S82" i="30"/>
  <c r="R81" i="14"/>
  <c r="R82" i="14" s="1"/>
  <c r="S88" i="14" s="1"/>
  <c r="M83" i="30"/>
  <c r="L83" i="30"/>
  <c r="AC82" i="1"/>
  <c r="I4" i="32"/>
  <c r="F4" i="32"/>
  <c r="G4" i="32" s="1"/>
  <c r="V82" i="21"/>
  <c r="W82" i="21"/>
  <c r="X82" i="21"/>
  <c r="Y82" i="21"/>
  <c r="Z82" i="21"/>
  <c r="AA82" i="21"/>
  <c r="AB82" i="21"/>
  <c r="AC82" i="21"/>
  <c r="AD82" i="21"/>
  <c r="AE82" i="21"/>
  <c r="AF82" i="21"/>
  <c r="AG82" i="21"/>
  <c r="AH82" i="21"/>
  <c r="U82" i="21"/>
  <c r="O28" i="25" l="1"/>
  <c r="K48" i="18"/>
  <c r="F8" i="32"/>
  <c r="G8" i="32" s="1"/>
  <c r="I8" i="32"/>
  <c r="W44" i="18" l="1"/>
  <c r="K44" i="18" l="1"/>
  <c r="K44" i="1"/>
  <c r="V88" i="18"/>
  <c r="V87" i="18"/>
  <c r="L44" i="1" l="1"/>
  <c r="O44" i="1"/>
  <c r="F10" i="32"/>
  <c r="G10" i="32" s="1"/>
  <c r="F11" i="32"/>
  <c r="G11" i="32" s="1"/>
  <c r="F6" i="32"/>
  <c r="G6" i="32" s="1"/>
  <c r="I6" i="32"/>
  <c r="I7" i="32"/>
  <c r="I10" i="32"/>
  <c r="I11" i="32"/>
  <c r="L13" i="32"/>
  <c r="M13" i="32"/>
  <c r="N13" i="32"/>
  <c r="O13" i="32"/>
  <c r="P13" i="32"/>
  <c r="Q13" i="32"/>
  <c r="R13" i="32"/>
  <c r="K13" i="32"/>
  <c r="K14" i="21"/>
  <c r="K15" i="21" l="1"/>
  <c r="T15" i="21" s="1"/>
  <c r="T15" i="29"/>
  <c r="K9" i="21"/>
  <c r="T9" i="21" s="1"/>
  <c r="T15" i="24"/>
  <c r="J13" i="32"/>
  <c r="I5" i="32"/>
  <c r="F7" i="32"/>
  <c r="G7" i="32" s="1"/>
  <c r="F18" i="32"/>
  <c r="F17" i="32"/>
  <c r="F16" i="32"/>
  <c r="H13" i="32"/>
  <c r="F5" i="32"/>
  <c r="G5" i="32" s="1"/>
  <c r="K50" i="31"/>
  <c r="K51" i="31"/>
  <c r="T51" i="31" s="1"/>
  <c r="K52" i="31"/>
  <c r="T52" i="31" s="1"/>
  <c r="K53" i="31"/>
  <c r="T53" i="31" s="1"/>
  <c r="K54" i="31"/>
  <c r="T54" i="31" s="1"/>
  <c r="K55" i="31"/>
  <c r="K56" i="31"/>
  <c r="T56" i="31" s="1"/>
  <c r="K57" i="31"/>
  <c r="T57" i="31" s="1"/>
  <c r="K58" i="31"/>
  <c r="T58" i="31" s="1"/>
  <c r="K59" i="31"/>
  <c r="T59" i="31" s="1"/>
  <c r="K60" i="31"/>
  <c r="T60" i="31" s="1"/>
  <c r="K61" i="31"/>
  <c r="T61" i="31" s="1"/>
  <c r="K62" i="31"/>
  <c r="T62" i="31" s="1"/>
  <c r="K63" i="31"/>
  <c r="T63" i="31" s="1"/>
  <c r="K64" i="31"/>
  <c r="T64" i="31" s="1"/>
  <c r="K65" i="31"/>
  <c r="T65" i="31" s="1"/>
  <c r="K66" i="31"/>
  <c r="K67" i="31"/>
  <c r="K68" i="31"/>
  <c r="T68" i="31" s="1"/>
  <c r="K69" i="31"/>
  <c r="T69" i="31" s="1"/>
  <c r="K70" i="31"/>
  <c r="T70" i="31" s="1"/>
  <c r="K71" i="31"/>
  <c r="T71" i="31" s="1"/>
  <c r="K72" i="31"/>
  <c r="T72" i="31" s="1"/>
  <c r="K73" i="31"/>
  <c r="T73" i="31" s="1"/>
  <c r="K74" i="31"/>
  <c r="T74" i="31" s="1"/>
  <c r="K75" i="31"/>
  <c r="T75" i="31" s="1"/>
  <c r="K76" i="31"/>
  <c r="T76" i="31" s="1"/>
  <c r="K77" i="31"/>
  <c r="T77" i="31" s="1"/>
  <c r="K78" i="31"/>
  <c r="T78" i="31" s="1"/>
  <c r="K79" i="31"/>
  <c r="K80" i="31"/>
  <c r="T80" i="31" s="1"/>
  <c r="K81" i="31"/>
  <c r="T81" i="31" s="1"/>
  <c r="K49" i="31"/>
  <c r="T49" i="31" s="1"/>
  <c r="K47" i="31"/>
  <c r="T47" i="31" s="1"/>
  <c r="K46" i="31"/>
  <c r="K45" i="31"/>
  <c r="T45" i="31" s="1"/>
  <c r="K44" i="31"/>
  <c r="K43" i="31"/>
  <c r="T43" i="31" s="1"/>
  <c r="K42" i="31"/>
  <c r="T42" i="31" s="1"/>
  <c r="K41" i="31"/>
  <c r="T41" i="31" s="1"/>
  <c r="K40" i="31"/>
  <c r="K39" i="31"/>
  <c r="T39" i="31" s="1"/>
  <c r="K32" i="31"/>
  <c r="K33" i="31"/>
  <c r="T33" i="31" s="1"/>
  <c r="K34" i="31"/>
  <c r="T34" i="31" s="1"/>
  <c r="K35" i="31"/>
  <c r="T35" i="31" s="1"/>
  <c r="K36" i="31"/>
  <c r="T36" i="31" s="1"/>
  <c r="K37" i="31"/>
  <c r="T37" i="31" s="1"/>
  <c r="K38" i="31"/>
  <c r="T38" i="31" s="1"/>
  <c r="K31" i="31"/>
  <c r="K30" i="31"/>
  <c r="K29" i="31"/>
  <c r="T29" i="31" s="1"/>
  <c r="K27" i="31"/>
  <c r="K26" i="31"/>
  <c r="K25" i="31"/>
  <c r="K23" i="31"/>
  <c r="T23" i="31" s="1"/>
  <c r="K22" i="31"/>
  <c r="T22" i="31" s="1"/>
  <c r="K21" i="31"/>
  <c r="T21" i="31" s="1"/>
  <c r="K20" i="31"/>
  <c r="K19" i="31"/>
  <c r="K18" i="31"/>
  <c r="K17" i="31"/>
  <c r="T17" i="31" s="1"/>
  <c r="K16" i="31"/>
  <c r="T16" i="31" s="1"/>
  <c r="K15" i="31"/>
  <c r="T15" i="31" s="1"/>
  <c r="K14" i="31"/>
  <c r="T14" i="31" s="1"/>
  <c r="K13" i="31"/>
  <c r="K12" i="31"/>
  <c r="K11" i="31"/>
  <c r="T11" i="31" s="1"/>
  <c r="K10" i="31"/>
  <c r="T10" i="31" s="1"/>
  <c r="K9" i="31"/>
  <c r="T9" i="31" s="1"/>
  <c r="K8" i="31"/>
  <c r="T8" i="31" s="1"/>
  <c r="K7" i="31"/>
  <c r="K6" i="31"/>
  <c r="K5" i="31"/>
  <c r="K4" i="31"/>
  <c r="AH82" i="31"/>
  <c r="AG82" i="31"/>
  <c r="AF82" i="31"/>
  <c r="AE82" i="31"/>
  <c r="AD82" i="31"/>
  <c r="AC82" i="31"/>
  <c r="AB82" i="31"/>
  <c r="AA82" i="31"/>
  <c r="T79" i="31"/>
  <c r="T67" i="31"/>
  <c r="T66" i="31"/>
  <c r="T55" i="31"/>
  <c r="T50" i="31"/>
  <c r="T48" i="31"/>
  <c r="T46" i="31"/>
  <c r="T44" i="31"/>
  <c r="T40" i="31"/>
  <c r="T32" i="31"/>
  <c r="T31" i="31"/>
  <c r="T30" i="31"/>
  <c r="T28" i="31"/>
  <c r="T27" i="31"/>
  <c r="T26" i="31"/>
  <c r="T25" i="31"/>
  <c r="T24" i="31"/>
  <c r="T20" i="31"/>
  <c r="T19" i="31"/>
  <c r="T18" i="31"/>
  <c r="T13" i="31"/>
  <c r="T12" i="31"/>
  <c r="T6" i="31"/>
  <c r="T5" i="31"/>
  <c r="T4" i="31"/>
  <c r="K73" i="30"/>
  <c r="T73" i="30" s="1"/>
  <c r="K74" i="30"/>
  <c r="T74" i="30" s="1"/>
  <c r="K75" i="30"/>
  <c r="T75" i="30" s="1"/>
  <c r="K76" i="30"/>
  <c r="T76" i="30" s="1"/>
  <c r="K77" i="30"/>
  <c r="T77" i="30" s="1"/>
  <c r="K78" i="30"/>
  <c r="T78" i="30" s="1"/>
  <c r="K79" i="30"/>
  <c r="T79" i="30" s="1"/>
  <c r="K80" i="30"/>
  <c r="T80" i="30" s="1"/>
  <c r="K81" i="30"/>
  <c r="K62" i="30"/>
  <c r="T62" i="30" s="1"/>
  <c r="K63" i="30"/>
  <c r="K64" i="30"/>
  <c r="T64" i="30" s="1"/>
  <c r="K65" i="30"/>
  <c r="T65" i="30" s="1"/>
  <c r="K66" i="30"/>
  <c r="T66" i="30" s="1"/>
  <c r="K67" i="30"/>
  <c r="T67" i="30" s="1"/>
  <c r="K68" i="30"/>
  <c r="T68" i="30" s="1"/>
  <c r="K69" i="30"/>
  <c r="T69" i="30" s="1"/>
  <c r="K70" i="30"/>
  <c r="T70" i="30" s="1"/>
  <c r="K71" i="30"/>
  <c r="T71" i="30" s="1"/>
  <c r="K72" i="30"/>
  <c r="T72" i="30" s="1"/>
  <c r="K54" i="30"/>
  <c r="T54" i="30" s="1"/>
  <c r="K55" i="30"/>
  <c r="T55" i="30" s="1"/>
  <c r="K56" i="30"/>
  <c r="K57" i="30"/>
  <c r="K58" i="30"/>
  <c r="T58" i="30" s="1"/>
  <c r="K59" i="30"/>
  <c r="T59" i="30" s="1"/>
  <c r="K60" i="30"/>
  <c r="T60" i="30" s="1"/>
  <c r="K61" i="30"/>
  <c r="T61" i="30" s="1"/>
  <c r="K48" i="30"/>
  <c r="K49" i="30"/>
  <c r="T49" i="30" s="1"/>
  <c r="K50" i="30"/>
  <c r="T50" i="30" s="1"/>
  <c r="K51" i="30"/>
  <c r="T51" i="30" s="1"/>
  <c r="K52" i="30"/>
  <c r="T52" i="30" s="1"/>
  <c r="K53" i="30"/>
  <c r="T53" i="30" s="1"/>
  <c r="K47" i="30"/>
  <c r="T47" i="30" s="1"/>
  <c r="T46" i="30"/>
  <c r="K43" i="30"/>
  <c r="T43" i="30" s="1"/>
  <c r="K41" i="30"/>
  <c r="T41" i="30" s="1"/>
  <c r="K39" i="30"/>
  <c r="T39" i="30" s="1"/>
  <c r="K38" i="30"/>
  <c r="T38" i="30" s="1"/>
  <c r="K31" i="30"/>
  <c r="K32" i="30"/>
  <c r="T32" i="30" s="1"/>
  <c r="K33" i="30"/>
  <c r="T33" i="30" s="1"/>
  <c r="K34" i="30"/>
  <c r="T34" i="30" s="1"/>
  <c r="K35" i="30"/>
  <c r="T35" i="30" s="1"/>
  <c r="K36" i="30"/>
  <c r="T36" i="30" s="1"/>
  <c r="K37" i="30"/>
  <c r="T37" i="30" s="1"/>
  <c r="K30" i="30"/>
  <c r="T30" i="30" s="1"/>
  <c r="K29" i="30"/>
  <c r="K27" i="30"/>
  <c r="T27" i="30" s="1"/>
  <c r="K26" i="30"/>
  <c r="K25" i="30"/>
  <c r="T25" i="30" s="1"/>
  <c r="K23" i="30"/>
  <c r="K24" i="30"/>
  <c r="T24" i="30" s="1"/>
  <c r="K22" i="30"/>
  <c r="T22" i="30" s="1"/>
  <c r="K21" i="30"/>
  <c r="T21" i="30" s="1"/>
  <c r="K20" i="30"/>
  <c r="T20" i="30" s="1"/>
  <c r="K19" i="30"/>
  <c r="T19" i="30" s="1"/>
  <c r="K17" i="30"/>
  <c r="T17" i="30" s="1"/>
  <c r="K18" i="30"/>
  <c r="T18" i="30" s="1"/>
  <c r="K16" i="30"/>
  <c r="T16" i="30" s="1"/>
  <c r="K15" i="30"/>
  <c r="T15" i="30" s="1"/>
  <c r="K11" i="30"/>
  <c r="T11" i="30" s="1"/>
  <c r="K12" i="30"/>
  <c r="T12" i="30" s="1"/>
  <c r="K13" i="30"/>
  <c r="K14" i="30"/>
  <c r="T14" i="30" s="1"/>
  <c r="K10" i="30"/>
  <c r="T10" i="30" s="1"/>
  <c r="K9" i="30"/>
  <c r="T9" i="30" s="1"/>
  <c r="K7" i="30"/>
  <c r="K8" i="30"/>
  <c r="T8" i="30" s="1"/>
  <c r="K6" i="30"/>
  <c r="T6" i="30" s="1"/>
  <c r="K5" i="30"/>
  <c r="T5" i="30" s="1"/>
  <c r="K4" i="30"/>
  <c r="T4" i="30" s="1"/>
  <c r="T81" i="30"/>
  <c r="T63" i="30"/>
  <c r="T57" i="30"/>
  <c r="T56" i="30"/>
  <c r="T48" i="30"/>
  <c r="T45" i="30"/>
  <c r="T44" i="30"/>
  <c r="T42" i="30"/>
  <c r="T40" i="30"/>
  <c r="T31" i="30"/>
  <c r="T29" i="30"/>
  <c r="T28" i="30"/>
  <c r="T26" i="30"/>
  <c r="T23" i="30"/>
  <c r="T13" i="30"/>
  <c r="K81" i="29"/>
  <c r="K80" i="29"/>
  <c r="K79" i="29"/>
  <c r="K73" i="29"/>
  <c r="T73" i="29" s="1"/>
  <c r="K74" i="29"/>
  <c r="K75" i="29"/>
  <c r="T75" i="29" s="1"/>
  <c r="K76" i="29"/>
  <c r="T76" i="29" s="1"/>
  <c r="K77" i="29"/>
  <c r="T77" i="29" s="1"/>
  <c r="K78" i="29"/>
  <c r="T78" i="29" s="1"/>
  <c r="K62" i="29"/>
  <c r="T62" i="29" s="1"/>
  <c r="K63" i="29"/>
  <c r="K64" i="29"/>
  <c r="T64" i="29" s="1"/>
  <c r="K65" i="29"/>
  <c r="T65" i="29" s="1"/>
  <c r="K66" i="29"/>
  <c r="T66" i="29" s="1"/>
  <c r="K67" i="29"/>
  <c r="T67" i="29" s="1"/>
  <c r="K68" i="29"/>
  <c r="T68" i="29" s="1"/>
  <c r="K69" i="29"/>
  <c r="K70" i="29"/>
  <c r="T70" i="29" s="1"/>
  <c r="K71" i="29"/>
  <c r="T71" i="29" s="1"/>
  <c r="K72" i="29"/>
  <c r="K55" i="29"/>
  <c r="K56" i="29"/>
  <c r="T56" i="29" s="1"/>
  <c r="K57" i="29"/>
  <c r="T57" i="29" s="1"/>
  <c r="K58" i="29"/>
  <c r="T58" i="29" s="1"/>
  <c r="K59" i="29"/>
  <c r="K60" i="29"/>
  <c r="T60" i="29" s="1"/>
  <c r="K61" i="29"/>
  <c r="T61" i="29" s="1"/>
  <c r="K44" i="29"/>
  <c r="T44" i="29" s="1"/>
  <c r="K45" i="29"/>
  <c r="K46" i="29"/>
  <c r="T46" i="29" s="1"/>
  <c r="K47" i="29"/>
  <c r="T47" i="29" s="1"/>
  <c r="K48" i="29"/>
  <c r="K49" i="29"/>
  <c r="K50" i="29"/>
  <c r="T50" i="29" s="1"/>
  <c r="K51" i="29"/>
  <c r="K52" i="29"/>
  <c r="T52" i="29" s="1"/>
  <c r="K53" i="29"/>
  <c r="T53" i="29" s="1"/>
  <c r="K54" i="29"/>
  <c r="T54" i="29" s="1"/>
  <c r="K36" i="29"/>
  <c r="K37" i="29"/>
  <c r="T37" i="29" s="1"/>
  <c r="K38" i="29"/>
  <c r="K39" i="29"/>
  <c r="T39" i="29" s="1"/>
  <c r="K40" i="29"/>
  <c r="K41" i="29"/>
  <c r="T41" i="29" s="1"/>
  <c r="K42" i="29"/>
  <c r="K43" i="29"/>
  <c r="T43" i="29" s="1"/>
  <c r="K28" i="29"/>
  <c r="K29" i="29"/>
  <c r="T29" i="29" s="1"/>
  <c r="K30" i="29"/>
  <c r="K31" i="29"/>
  <c r="T31" i="29" s="1"/>
  <c r="K32" i="29"/>
  <c r="K33" i="29"/>
  <c r="T33" i="29" s="1"/>
  <c r="K34" i="29"/>
  <c r="K35" i="29"/>
  <c r="T35" i="29" s="1"/>
  <c r="K23" i="29"/>
  <c r="K24" i="29"/>
  <c r="T24" i="29" s="1"/>
  <c r="K25" i="29"/>
  <c r="K26" i="29"/>
  <c r="T26" i="29" s="1"/>
  <c r="K27" i="29"/>
  <c r="K16" i="29"/>
  <c r="T16" i="29" s="1"/>
  <c r="K17" i="29"/>
  <c r="T17" i="29" s="1"/>
  <c r="K18" i="29"/>
  <c r="T18" i="29" s="1"/>
  <c r="K19" i="29"/>
  <c r="K20" i="29"/>
  <c r="T20" i="29" s="1"/>
  <c r="K21" i="29"/>
  <c r="K22" i="29"/>
  <c r="T22" i="29" s="1"/>
  <c r="K9" i="29"/>
  <c r="T9" i="29" s="1"/>
  <c r="K10" i="29"/>
  <c r="K11" i="29"/>
  <c r="K12" i="29"/>
  <c r="T12" i="29" s="1"/>
  <c r="K13" i="29"/>
  <c r="K8" i="29"/>
  <c r="T8" i="29" s="1"/>
  <c r="K7" i="29"/>
  <c r="T7" i="29" s="1"/>
  <c r="K5" i="29"/>
  <c r="T5" i="29" s="1"/>
  <c r="K6" i="29"/>
  <c r="K4" i="29"/>
  <c r="AH82" i="29"/>
  <c r="AG82" i="29"/>
  <c r="AF82" i="29"/>
  <c r="AE82" i="29"/>
  <c r="AD82" i="29"/>
  <c r="AC82" i="29"/>
  <c r="AB82" i="29"/>
  <c r="AA82" i="29"/>
  <c r="Z82" i="29"/>
  <c r="Y82" i="29"/>
  <c r="X82" i="29"/>
  <c r="W82" i="29"/>
  <c r="T81" i="29"/>
  <c r="T80" i="29"/>
  <c r="T79" i="29"/>
  <c r="T74" i="29"/>
  <c r="T72" i="29"/>
  <c r="T69" i="29"/>
  <c r="T63" i="29"/>
  <c r="T59" i="29"/>
  <c r="T55" i="29"/>
  <c r="T51" i="29"/>
  <c r="T49" i="29"/>
  <c r="T48" i="29"/>
  <c r="T45" i="29"/>
  <c r="T42" i="29"/>
  <c r="T40" i="29"/>
  <c r="T38" i="29"/>
  <c r="T36" i="29"/>
  <c r="T34" i="29"/>
  <c r="T32" i="29"/>
  <c r="T30" i="29"/>
  <c r="T28" i="29"/>
  <c r="T27" i="29"/>
  <c r="T25" i="29"/>
  <c r="T23" i="29"/>
  <c r="T21" i="29"/>
  <c r="T19" i="29"/>
  <c r="T13" i="29"/>
  <c r="T11" i="29"/>
  <c r="T10" i="29"/>
  <c r="T6" i="29"/>
  <c r="K79" i="28"/>
  <c r="K80" i="28"/>
  <c r="T80" i="28" s="1"/>
  <c r="K81" i="28"/>
  <c r="T81" i="28" s="1"/>
  <c r="K73" i="28"/>
  <c r="T73" i="28" s="1"/>
  <c r="K74" i="28"/>
  <c r="T74" i="28" s="1"/>
  <c r="K75" i="28"/>
  <c r="T75" i="28" s="1"/>
  <c r="K76" i="28"/>
  <c r="K77" i="28"/>
  <c r="T77" i="28" s="1"/>
  <c r="K78" i="28"/>
  <c r="T78" i="28" s="1"/>
  <c r="K66" i="28"/>
  <c r="T66" i="28" s="1"/>
  <c r="K67" i="28"/>
  <c r="T67" i="28" s="1"/>
  <c r="K68" i="28"/>
  <c r="T68" i="28" s="1"/>
  <c r="K69" i="28"/>
  <c r="K70" i="28"/>
  <c r="K71" i="28"/>
  <c r="T71" i="28" s="1"/>
  <c r="K72" i="28"/>
  <c r="T72" i="28" s="1"/>
  <c r="K56" i="28"/>
  <c r="K57" i="28"/>
  <c r="T57" i="28" s="1"/>
  <c r="K58" i="28"/>
  <c r="K59" i="28"/>
  <c r="T59" i="28" s="1"/>
  <c r="K60" i="28"/>
  <c r="T60" i="28" s="1"/>
  <c r="K61" i="28"/>
  <c r="T61" i="28" s="1"/>
  <c r="K62" i="28"/>
  <c r="K63" i="28"/>
  <c r="T63" i="28" s="1"/>
  <c r="K64" i="28"/>
  <c r="K65" i="28"/>
  <c r="T65" i="28" s="1"/>
  <c r="K48" i="28"/>
  <c r="T48" i="28" s="1"/>
  <c r="K49" i="28"/>
  <c r="T49" i="28" s="1"/>
  <c r="K50" i="28"/>
  <c r="T50" i="28" s="1"/>
  <c r="K51" i="28"/>
  <c r="T51" i="28" s="1"/>
  <c r="K52" i="28"/>
  <c r="K53" i="28"/>
  <c r="T53" i="28" s="1"/>
  <c r="K54" i="28"/>
  <c r="T54" i="28" s="1"/>
  <c r="K55" i="28"/>
  <c r="T55" i="28" s="1"/>
  <c r="K47" i="28"/>
  <c r="K46" i="28"/>
  <c r="T46" i="28" s="1"/>
  <c r="K45" i="28"/>
  <c r="K44" i="28"/>
  <c r="T44" i="28" s="1"/>
  <c r="K43" i="28"/>
  <c r="T43" i="28" s="1"/>
  <c r="K42" i="28"/>
  <c r="T42" i="28" s="1"/>
  <c r="K41" i="28"/>
  <c r="T41" i="28" s="1"/>
  <c r="K40" i="28"/>
  <c r="K39" i="28"/>
  <c r="K38" i="28"/>
  <c r="T38" i="28" s="1"/>
  <c r="K35" i="28"/>
  <c r="T35" i="28" s="1"/>
  <c r="K36" i="28"/>
  <c r="T36" i="28" s="1"/>
  <c r="K37" i="28"/>
  <c r="T37" i="28" s="1"/>
  <c r="K34" i="28"/>
  <c r="K33" i="28"/>
  <c r="K32" i="28"/>
  <c r="T32" i="28" s="1"/>
  <c r="K27" i="28"/>
  <c r="K28" i="28"/>
  <c r="T28" i="28" s="1"/>
  <c r="K29" i="28"/>
  <c r="K30" i="28"/>
  <c r="T30" i="28" s="1"/>
  <c r="K31" i="28"/>
  <c r="K26" i="28"/>
  <c r="T26" i="28" s="1"/>
  <c r="K25" i="28"/>
  <c r="T25" i="28" s="1"/>
  <c r="K23" i="28"/>
  <c r="T23" i="28" s="1"/>
  <c r="K24" i="28"/>
  <c r="K22" i="28"/>
  <c r="K21" i="28"/>
  <c r="K20" i="28"/>
  <c r="K19" i="28"/>
  <c r="T19" i="28" s="1"/>
  <c r="K18" i="28"/>
  <c r="T18" i="28" s="1"/>
  <c r="K15" i="28"/>
  <c r="K16" i="28"/>
  <c r="T16" i="28" s="1"/>
  <c r="K17" i="28"/>
  <c r="K14" i="28"/>
  <c r="K13" i="28"/>
  <c r="T13" i="28" s="1"/>
  <c r="K12" i="28"/>
  <c r="T12" i="28" s="1"/>
  <c r="K11" i="28"/>
  <c r="T11" i="28" s="1"/>
  <c r="K10" i="28"/>
  <c r="K9" i="28"/>
  <c r="K8" i="28"/>
  <c r="T8" i="28" s="1"/>
  <c r="K6" i="28"/>
  <c r="T6" i="28" s="1"/>
  <c r="K5" i="28"/>
  <c r="T5" i="28" s="1"/>
  <c r="K4" i="28"/>
  <c r="AH82" i="28"/>
  <c r="AG82" i="28"/>
  <c r="AF82" i="28"/>
  <c r="AE82" i="28"/>
  <c r="AD82" i="28"/>
  <c r="AC82" i="28"/>
  <c r="AB82" i="28"/>
  <c r="AA82" i="28"/>
  <c r="Z82" i="28"/>
  <c r="Y82" i="28"/>
  <c r="X82" i="28"/>
  <c r="W82" i="28"/>
  <c r="V82" i="28"/>
  <c r="T79" i="28"/>
  <c r="T76" i="28"/>
  <c r="T70" i="28"/>
  <c r="T69" i="28"/>
  <c r="T64" i="28"/>
  <c r="T62" i="28"/>
  <c r="T58" i="28"/>
  <c r="T56" i="28"/>
  <c r="T52" i="28"/>
  <c r="T47" i="28"/>
  <c r="T45" i="28"/>
  <c r="T40" i="28"/>
  <c r="T39" i="28"/>
  <c r="T34" i="28"/>
  <c r="T33" i="28"/>
  <c r="T31" i="28"/>
  <c r="T29" i="28"/>
  <c r="T27" i="28"/>
  <c r="T24" i="28"/>
  <c r="T22" i="28"/>
  <c r="T21" i="28"/>
  <c r="T20" i="28"/>
  <c r="T17" i="28"/>
  <c r="T15" i="28"/>
  <c r="T14" i="28"/>
  <c r="T10" i="28"/>
  <c r="T9" i="28"/>
  <c r="T4" i="28"/>
  <c r="K77" i="27"/>
  <c r="K78" i="27"/>
  <c r="K79" i="27"/>
  <c r="K80" i="27"/>
  <c r="K81" i="27"/>
  <c r="K67" i="27"/>
  <c r="K68" i="27"/>
  <c r="K69" i="27"/>
  <c r="K70" i="27"/>
  <c r="K71" i="27"/>
  <c r="K72" i="27"/>
  <c r="K73" i="27"/>
  <c r="K74" i="27"/>
  <c r="K75" i="27"/>
  <c r="K76" i="27"/>
  <c r="K59" i="27"/>
  <c r="K60" i="27"/>
  <c r="K61" i="27"/>
  <c r="K62" i="27"/>
  <c r="K63" i="27"/>
  <c r="K64" i="27"/>
  <c r="K65" i="27"/>
  <c r="K66" i="27"/>
  <c r="K52" i="27"/>
  <c r="K53" i="27"/>
  <c r="K54" i="27"/>
  <c r="K55" i="27"/>
  <c r="K56" i="27"/>
  <c r="K57" i="27"/>
  <c r="K58" i="27"/>
  <c r="K47" i="27"/>
  <c r="K48" i="27"/>
  <c r="K49" i="27"/>
  <c r="K50" i="27"/>
  <c r="K51" i="27"/>
  <c r="T45" i="27"/>
  <c r="T43" i="27"/>
  <c r="K41" i="27"/>
  <c r="T39" i="27"/>
  <c r="K38" i="27"/>
  <c r="K35" i="27"/>
  <c r="K36" i="27"/>
  <c r="K37" i="27"/>
  <c r="K34" i="27"/>
  <c r="K33" i="27"/>
  <c r="K32" i="27"/>
  <c r="K31" i="27"/>
  <c r="K30" i="27"/>
  <c r="K29" i="27"/>
  <c r="K28" i="27"/>
  <c r="K27" i="27"/>
  <c r="K26" i="27"/>
  <c r="K25" i="27"/>
  <c r="K24" i="27"/>
  <c r="K23" i="27"/>
  <c r="K22" i="27"/>
  <c r="K21" i="27"/>
  <c r="K20" i="27"/>
  <c r="K16" i="27"/>
  <c r="K17" i="27"/>
  <c r="K18" i="27"/>
  <c r="K19" i="27"/>
  <c r="K15" i="27"/>
  <c r="K14" i="27"/>
  <c r="K13" i="27"/>
  <c r="K12" i="27"/>
  <c r="K11" i="27"/>
  <c r="K10" i="27"/>
  <c r="K9" i="27"/>
  <c r="K8" i="27"/>
  <c r="K7" i="27"/>
  <c r="K6" i="27"/>
  <c r="K5" i="27"/>
  <c r="K4" i="27"/>
  <c r="AG82" i="27"/>
  <c r="AF82" i="27"/>
  <c r="AE82" i="27"/>
  <c r="T46" i="27"/>
  <c r="T44" i="27"/>
  <c r="T42" i="27"/>
  <c r="T40" i="27"/>
  <c r="K77" i="26"/>
  <c r="T77" i="26" s="1"/>
  <c r="K78" i="26"/>
  <c r="T78" i="26" s="1"/>
  <c r="K79" i="26"/>
  <c r="K80" i="26"/>
  <c r="K81" i="26"/>
  <c r="K70" i="26"/>
  <c r="K71" i="26"/>
  <c r="K72" i="26"/>
  <c r="T72" i="26" s="1"/>
  <c r="K73" i="26"/>
  <c r="K74" i="26"/>
  <c r="T74" i="26" s="1"/>
  <c r="K75" i="26"/>
  <c r="K76" i="26"/>
  <c r="K69" i="26"/>
  <c r="T69" i="26" s="1"/>
  <c r="K68" i="26"/>
  <c r="T68" i="26" s="1"/>
  <c r="K67" i="26"/>
  <c r="K66" i="26"/>
  <c r="T66" i="26" s="1"/>
  <c r="K65" i="26"/>
  <c r="K64" i="26"/>
  <c r="K63" i="26"/>
  <c r="K62" i="26"/>
  <c r="T62" i="26" s="1"/>
  <c r="K61" i="26"/>
  <c r="K58" i="26"/>
  <c r="T58" i="26" s="1"/>
  <c r="K59" i="26"/>
  <c r="K60" i="26"/>
  <c r="K48" i="26"/>
  <c r="T48" i="26" s="1"/>
  <c r="K49" i="26"/>
  <c r="T49" i="26" s="1"/>
  <c r="K50" i="26"/>
  <c r="K51" i="26"/>
  <c r="T51" i="26" s="1"/>
  <c r="K52" i="26"/>
  <c r="T52" i="26" s="1"/>
  <c r="K53" i="26"/>
  <c r="T53" i="26" s="1"/>
  <c r="K54" i="26"/>
  <c r="K55" i="26"/>
  <c r="T55" i="26" s="1"/>
  <c r="K56" i="26"/>
  <c r="K57" i="26"/>
  <c r="T57" i="26" s="1"/>
  <c r="K39" i="26"/>
  <c r="K40" i="26"/>
  <c r="K41" i="26"/>
  <c r="K42" i="26"/>
  <c r="T42" i="26" s="1"/>
  <c r="K43" i="26"/>
  <c r="K44" i="26"/>
  <c r="T44" i="26" s="1"/>
  <c r="K45" i="26"/>
  <c r="K46" i="26"/>
  <c r="T46" i="26" s="1"/>
  <c r="K47" i="26"/>
  <c r="K33" i="26"/>
  <c r="T33" i="26" s="1"/>
  <c r="K34" i="26"/>
  <c r="K35" i="26"/>
  <c r="T35" i="26" s="1"/>
  <c r="K36" i="26"/>
  <c r="K37" i="26"/>
  <c r="K38" i="26"/>
  <c r="T38" i="26" s="1"/>
  <c r="K22" i="26"/>
  <c r="T22" i="26" s="1"/>
  <c r="K23" i="26"/>
  <c r="K24" i="26"/>
  <c r="T24" i="26" s="1"/>
  <c r="K25" i="26"/>
  <c r="K26" i="26"/>
  <c r="T26" i="26" s="1"/>
  <c r="K27" i="26"/>
  <c r="T27" i="26" s="1"/>
  <c r="K28" i="26"/>
  <c r="T28" i="26" s="1"/>
  <c r="K29" i="26"/>
  <c r="K30" i="26"/>
  <c r="T30" i="26" s="1"/>
  <c r="K31" i="26"/>
  <c r="K32" i="26"/>
  <c r="K11" i="26"/>
  <c r="K12" i="26"/>
  <c r="T12" i="26" s="1"/>
  <c r="K13" i="26"/>
  <c r="K14" i="26"/>
  <c r="T14" i="26" s="1"/>
  <c r="K15" i="26"/>
  <c r="T15" i="26" s="1"/>
  <c r="K16" i="26"/>
  <c r="T16" i="26" s="1"/>
  <c r="K17" i="26"/>
  <c r="T17" i="26" s="1"/>
  <c r="K18" i="26"/>
  <c r="T18" i="26" s="1"/>
  <c r="K19" i="26"/>
  <c r="K20" i="26"/>
  <c r="T20" i="26" s="1"/>
  <c r="K21" i="26"/>
  <c r="K10" i="26"/>
  <c r="K9" i="26"/>
  <c r="T9" i="26" s="1"/>
  <c r="K8" i="26"/>
  <c r="T8" i="26" s="1"/>
  <c r="K7" i="26"/>
  <c r="K6" i="26"/>
  <c r="T6" i="26" s="1"/>
  <c r="K5" i="26"/>
  <c r="K4" i="26"/>
  <c r="AH82" i="26"/>
  <c r="AG82" i="26"/>
  <c r="AF82" i="26"/>
  <c r="AE82" i="26"/>
  <c r="AD82" i="26"/>
  <c r="AC82" i="26"/>
  <c r="AB82" i="26"/>
  <c r="AA82" i="26"/>
  <c r="Z82" i="26"/>
  <c r="Y82" i="26"/>
  <c r="X82" i="26"/>
  <c r="W82" i="26"/>
  <c r="V82" i="26"/>
  <c r="U82" i="26"/>
  <c r="T81" i="26"/>
  <c r="T80" i="26"/>
  <c r="T79" i="26"/>
  <c r="T76" i="26"/>
  <c r="T75" i="26"/>
  <c r="T73" i="26"/>
  <c r="T71" i="26"/>
  <c r="T70" i="26"/>
  <c r="T67" i="26"/>
  <c r="T65" i="26"/>
  <c r="T64" i="26"/>
  <c r="T63" i="26"/>
  <c r="T61" i="26"/>
  <c r="T60" i="26"/>
  <c r="T59" i="26"/>
  <c r="T56" i="26"/>
  <c r="T54" i="26"/>
  <c r="T50" i="26"/>
  <c r="T47" i="26"/>
  <c r="T45" i="26"/>
  <c r="T43" i="26"/>
  <c r="T41" i="26"/>
  <c r="T40" i="26"/>
  <c r="T39" i="26"/>
  <c r="T37" i="26"/>
  <c r="T36" i="26"/>
  <c r="T34" i="26"/>
  <c r="T32" i="26"/>
  <c r="T31" i="26"/>
  <c r="T29" i="26"/>
  <c r="T25" i="26"/>
  <c r="T23" i="26"/>
  <c r="T21" i="26"/>
  <c r="T19" i="26"/>
  <c r="T13" i="26"/>
  <c r="T11" i="26"/>
  <c r="T10" i="26"/>
  <c r="T7" i="26"/>
  <c r="T5" i="26"/>
  <c r="T4" i="26"/>
  <c r="K80" i="25"/>
  <c r="K81" i="25"/>
  <c r="K79" i="25"/>
  <c r="K78" i="25"/>
  <c r="K77" i="25"/>
  <c r="K76" i="25"/>
  <c r="K75" i="25"/>
  <c r="K74" i="25"/>
  <c r="K73" i="25"/>
  <c r="K72" i="25"/>
  <c r="K71" i="25"/>
  <c r="K70" i="25"/>
  <c r="K69" i="25"/>
  <c r="K61" i="25"/>
  <c r="K62" i="25"/>
  <c r="K63" i="25"/>
  <c r="K64" i="25"/>
  <c r="K65" i="25"/>
  <c r="K66" i="25"/>
  <c r="K67" i="25"/>
  <c r="K68" i="25"/>
  <c r="K53" i="25"/>
  <c r="K54" i="25"/>
  <c r="K55" i="25"/>
  <c r="K56" i="25"/>
  <c r="K57" i="25"/>
  <c r="K58" i="25"/>
  <c r="K59" i="25"/>
  <c r="K60" i="25"/>
  <c r="K45" i="25"/>
  <c r="K46" i="25"/>
  <c r="K47" i="25"/>
  <c r="K48" i="25"/>
  <c r="K49" i="25"/>
  <c r="K50" i="25"/>
  <c r="K51" i="25"/>
  <c r="K52" i="25"/>
  <c r="K39" i="25"/>
  <c r="K40" i="25"/>
  <c r="K41" i="25"/>
  <c r="K42" i="25"/>
  <c r="K43" i="25"/>
  <c r="K44" i="25"/>
  <c r="K38" i="25"/>
  <c r="K37" i="25"/>
  <c r="K36" i="25"/>
  <c r="K35" i="25"/>
  <c r="K34" i="25"/>
  <c r="K32" i="25"/>
  <c r="K33" i="25"/>
  <c r="K31" i="25"/>
  <c r="K30" i="25"/>
  <c r="K29" i="25"/>
  <c r="K27" i="25"/>
  <c r="K26" i="25"/>
  <c r="K25" i="25"/>
  <c r="K23" i="25"/>
  <c r="K24" i="25"/>
  <c r="K22" i="25"/>
  <c r="K21" i="25"/>
  <c r="K20" i="25"/>
  <c r="K19" i="25"/>
  <c r="K18" i="25"/>
  <c r="K17" i="25"/>
  <c r="K16" i="25"/>
  <c r="K15" i="25"/>
  <c r="K14" i="25"/>
  <c r="K13" i="25"/>
  <c r="K12" i="25"/>
  <c r="K11" i="25"/>
  <c r="K10" i="25"/>
  <c r="K9" i="25"/>
  <c r="K8" i="25"/>
  <c r="K6" i="25"/>
  <c r="K5" i="25"/>
  <c r="K4" i="25"/>
  <c r="K80" i="24"/>
  <c r="K81" i="24"/>
  <c r="K71" i="24"/>
  <c r="K72" i="24"/>
  <c r="K73" i="24"/>
  <c r="K74" i="24"/>
  <c r="K75" i="24"/>
  <c r="K76" i="24"/>
  <c r="K77" i="24"/>
  <c r="K78" i="24"/>
  <c r="K79" i="24"/>
  <c r="K60" i="24"/>
  <c r="K61" i="24"/>
  <c r="K62" i="24"/>
  <c r="K63" i="24"/>
  <c r="K64" i="24"/>
  <c r="K65" i="24"/>
  <c r="K66" i="24"/>
  <c r="K67" i="24"/>
  <c r="K68" i="24"/>
  <c r="K69" i="24"/>
  <c r="K70" i="24"/>
  <c r="K50" i="24"/>
  <c r="K51" i="24"/>
  <c r="K52" i="24"/>
  <c r="K53" i="24"/>
  <c r="K54" i="24"/>
  <c r="K55" i="24"/>
  <c r="K56" i="24"/>
  <c r="K57" i="24"/>
  <c r="K58" i="24"/>
  <c r="K59" i="24"/>
  <c r="K49" i="24"/>
  <c r="K48" i="24"/>
  <c r="K47" i="24"/>
  <c r="K46" i="24"/>
  <c r="K45" i="24"/>
  <c r="K44" i="24"/>
  <c r="K43" i="24"/>
  <c r="K42" i="24"/>
  <c r="K41" i="24"/>
  <c r="K40" i="24"/>
  <c r="K39" i="24"/>
  <c r="K38" i="24"/>
  <c r="K35" i="24"/>
  <c r="K36" i="24"/>
  <c r="K37" i="24"/>
  <c r="K34" i="24"/>
  <c r="K33" i="24"/>
  <c r="K32" i="24"/>
  <c r="K31" i="24"/>
  <c r="K30" i="24"/>
  <c r="K29" i="24"/>
  <c r="K28" i="24"/>
  <c r="K27" i="24"/>
  <c r="K26" i="24"/>
  <c r="K25" i="24"/>
  <c r="K24" i="24"/>
  <c r="K23" i="24"/>
  <c r="K22" i="24"/>
  <c r="K21" i="24"/>
  <c r="K20" i="24"/>
  <c r="K19" i="24"/>
  <c r="K18" i="24"/>
  <c r="K17" i="24"/>
  <c r="K16" i="24"/>
  <c r="K13" i="24"/>
  <c r="K11" i="24"/>
  <c r="K12" i="24"/>
  <c r="K10" i="24"/>
  <c r="K9" i="24"/>
  <c r="K8" i="24"/>
  <c r="K7" i="24"/>
  <c r="K6" i="24"/>
  <c r="K5" i="24"/>
  <c r="K4" i="24"/>
  <c r="T14" i="24"/>
  <c r="K78" i="23"/>
  <c r="T78" i="23" s="1"/>
  <c r="K79" i="23"/>
  <c r="T79" i="23" s="1"/>
  <c r="K80" i="23"/>
  <c r="T80" i="23" s="1"/>
  <c r="K81" i="23"/>
  <c r="K68" i="23"/>
  <c r="T68" i="23" s="1"/>
  <c r="K69" i="23"/>
  <c r="K70" i="23"/>
  <c r="T70" i="23" s="1"/>
  <c r="K71" i="23"/>
  <c r="T71" i="23" s="1"/>
  <c r="K72" i="23"/>
  <c r="T72" i="23" s="1"/>
  <c r="K73" i="23"/>
  <c r="T73" i="23" s="1"/>
  <c r="K74" i="23"/>
  <c r="T74" i="23" s="1"/>
  <c r="K75" i="23"/>
  <c r="T75" i="23" s="1"/>
  <c r="K76" i="23"/>
  <c r="T76" i="23" s="1"/>
  <c r="K77" i="23"/>
  <c r="T77" i="23" s="1"/>
  <c r="K57" i="23"/>
  <c r="T57" i="23" s="1"/>
  <c r="K58" i="23"/>
  <c r="K59" i="23"/>
  <c r="T59" i="23" s="1"/>
  <c r="K60" i="23"/>
  <c r="K61" i="23"/>
  <c r="T61" i="23" s="1"/>
  <c r="K62" i="23"/>
  <c r="T62" i="23" s="1"/>
  <c r="K63" i="23"/>
  <c r="T63" i="23" s="1"/>
  <c r="K64" i="23"/>
  <c r="T64" i="23" s="1"/>
  <c r="K65" i="23"/>
  <c r="K66" i="23"/>
  <c r="K67" i="23"/>
  <c r="K49" i="23"/>
  <c r="K50" i="23"/>
  <c r="T50" i="23" s="1"/>
  <c r="K51" i="23"/>
  <c r="T51" i="23" s="1"/>
  <c r="K52" i="23"/>
  <c r="T52" i="23" s="1"/>
  <c r="K53" i="23"/>
  <c r="K54" i="23"/>
  <c r="T54" i="23" s="1"/>
  <c r="K55" i="23"/>
  <c r="T55" i="23" s="1"/>
  <c r="K56" i="23"/>
  <c r="T56" i="23" s="1"/>
  <c r="K48" i="23"/>
  <c r="K47" i="23"/>
  <c r="T47" i="23" s="1"/>
  <c r="K46" i="23"/>
  <c r="T46" i="23" s="1"/>
  <c r="K45" i="23"/>
  <c r="T45" i="23" s="1"/>
  <c r="K44" i="23"/>
  <c r="T44" i="23" s="1"/>
  <c r="K43" i="23"/>
  <c r="T43" i="23" s="1"/>
  <c r="K42" i="23"/>
  <c r="K41" i="23"/>
  <c r="T41" i="23" s="1"/>
  <c r="K40" i="23"/>
  <c r="K39" i="23"/>
  <c r="K34" i="23"/>
  <c r="T34" i="23" s="1"/>
  <c r="K35" i="23"/>
  <c r="T35" i="23" s="1"/>
  <c r="K36" i="23"/>
  <c r="K37" i="23"/>
  <c r="T37" i="23" s="1"/>
  <c r="K38" i="23"/>
  <c r="K33" i="23"/>
  <c r="K32" i="23"/>
  <c r="T32" i="23" s="1"/>
  <c r="K24" i="23"/>
  <c r="T24" i="23" s="1"/>
  <c r="K25" i="23"/>
  <c r="K26" i="23"/>
  <c r="T26" i="23" s="1"/>
  <c r="K27" i="23"/>
  <c r="T27" i="23" s="1"/>
  <c r="K28" i="23"/>
  <c r="T28" i="23" s="1"/>
  <c r="K29" i="23"/>
  <c r="T29" i="23" s="1"/>
  <c r="K30" i="23"/>
  <c r="T30" i="23" s="1"/>
  <c r="K31" i="23"/>
  <c r="T31" i="23" s="1"/>
  <c r="K16" i="23"/>
  <c r="K17" i="23"/>
  <c r="K18" i="23"/>
  <c r="T18" i="23" s="1"/>
  <c r="K19" i="23"/>
  <c r="T19" i="23" s="1"/>
  <c r="K20" i="23"/>
  <c r="T20" i="23" s="1"/>
  <c r="K21" i="23"/>
  <c r="K22" i="23"/>
  <c r="T22" i="23" s="1"/>
  <c r="K23" i="23"/>
  <c r="T23" i="23" s="1"/>
  <c r="K15" i="23"/>
  <c r="T15" i="23" s="1"/>
  <c r="K14" i="23"/>
  <c r="T14" i="23" s="1"/>
  <c r="K10" i="23"/>
  <c r="T10" i="23" s="1"/>
  <c r="K11" i="23"/>
  <c r="K12" i="23"/>
  <c r="T12" i="23" s="1"/>
  <c r="K13" i="23"/>
  <c r="K9" i="23"/>
  <c r="T9" i="23" s="1"/>
  <c r="K8" i="23"/>
  <c r="K7" i="23"/>
  <c r="T7" i="23" s="1"/>
  <c r="K6" i="23"/>
  <c r="K5" i="23"/>
  <c r="T5" i="23" s="1"/>
  <c r="K4" i="23"/>
  <c r="AH82" i="23"/>
  <c r="AG82" i="23"/>
  <c r="AF82" i="23"/>
  <c r="AE82" i="23"/>
  <c r="AD82" i="23"/>
  <c r="AC82" i="23"/>
  <c r="AB82" i="23"/>
  <c r="AA82" i="23"/>
  <c r="T81" i="23"/>
  <c r="T69" i="23"/>
  <c r="T67" i="23"/>
  <c r="T66" i="23"/>
  <c r="T65" i="23"/>
  <c r="T60" i="23"/>
  <c r="T58" i="23"/>
  <c r="T53" i="23"/>
  <c r="T49" i="23"/>
  <c r="T48" i="23"/>
  <c r="T42" i="23"/>
  <c r="T40" i="23"/>
  <c r="T39" i="23"/>
  <c r="T38" i="23"/>
  <c r="T36" i="23"/>
  <c r="T33" i="23"/>
  <c r="T25" i="23"/>
  <c r="T21" i="23"/>
  <c r="T17" i="23"/>
  <c r="T16" i="23"/>
  <c r="T13" i="23"/>
  <c r="T11" i="23"/>
  <c r="T8" i="23"/>
  <c r="T6" i="23"/>
  <c r="T4" i="23"/>
  <c r="K80" i="22"/>
  <c r="T80" i="22" s="1"/>
  <c r="K81" i="22"/>
  <c r="T81" i="22" s="1"/>
  <c r="K74" i="22"/>
  <c r="T74" i="22" s="1"/>
  <c r="K75" i="22"/>
  <c r="T75" i="22" s="1"/>
  <c r="K76" i="22"/>
  <c r="T76" i="22" s="1"/>
  <c r="K77" i="22"/>
  <c r="K78" i="22"/>
  <c r="T78" i="22" s="1"/>
  <c r="K79" i="22"/>
  <c r="T79" i="22" s="1"/>
  <c r="K68" i="22"/>
  <c r="T68" i="22" s="1"/>
  <c r="K69" i="22"/>
  <c r="T69" i="22" s="1"/>
  <c r="K70" i="22"/>
  <c r="T70" i="22" s="1"/>
  <c r="K71" i="22"/>
  <c r="K72" i="22"/>
  <c r="K73" i="22"/>
  <c r="T73" i="22" s="1"/>
  <c r="K62" i="22"/>
  <c r="T62" i="22" s="1"/>
  <c r="K63" i="22"/>
  <c r="T63" i="22" s="1"/>
  <c r="K64" i="22"/>
  <c r="T64" i="22" s="1"/>
  <c r="K65" i="22"/>
  <c r="K66" i="22"/>
  <c r="T66" i="22" s="1"/>
  <c r="K67" i="22"/>
  <c r="T67" i="22" s="1"/>
  <c r="K56" i="22"/>
  <c r="T56" i="22" s="1"/>
  <c r="K57" i="22"/>
  <c r="T57" i="22" s="1"/>
  <c r="K58" i="22"/>
  <c r="K59" i="22"/>
  <c r="K60" i="22"/>
  <c r="K61" i="22"/>
  <c r="T61" i="22" s="1"/>
  <c r="K50" i="22"/>
  <c r="T50" i="22" s="1"/>
  <c r="K51" i="22"/>
  <c r="T51" i="22" s="1"/>
  <c r="K52" i="22"/>
  <c r="T52" i="22" s="1"/>
  <c r="K53" i="22"/>
  <c r="K54" i="22"/>
  <c r="T54" i="22" s="1"/>
  <c r="K55" i="22"/>
  <c r="T55" i="22" s="1"/>
  <c r="K49" i="22"/>
  <c r="T49" i="22" s="1"/>
  <c r="K48" i="22"/>
  <c r="T48" i="22" s="1"/>
  <c r="K47" i="22"/>
  <c r="T47" i="22" s="1"/>
  <c r="K44" i="22"/>
  <c r="T44" i="22" s="1"/>
  <c r="T43" i="22"/>
  <c r="K41" i="22"/>
  <c r="T41" i="22" s="1"/>
  <c r="K38" i="22"/>
  <c r="T38" i="22" s="1"/>
  <c r="K37" i="22"/>
  <c r="T37" i="22" s="1"/>
  <c r="K36" i="22"/>
  <c r="K35" i="22"/>
  <c r="T35" i="22" s="1"/>
  <c r="K34" i="22"/>
  <c r="T34" i="22" s="1"/>
  <c r="K33" i="22"/>
  <c r="K32" i="22"/>
  <c r="T32" i="22" s="1"/>
  <c r="K31" i="22"/>
  <c r="T31" i="22" s="1"/>
  <c r="K30" i="22"/>
  <c r="K29" i="22"/>
  <c r="T29" i="22" s="1"/>
  <c r="K28" i="22"/>
  <c r="T28" i="22" s="1"/>
  <c r="K27" i="22"/>
  <c r="T27" i="22" s="1"/>
  <c r="K26" i="22"/>
  <c r="K25" i="22"/>
  <c r="T25" i="22" s="1"/>
  <c r="K24" i="22"/>
  <c r="K23" i="22"/>
  <c r="T23" i="22" s="1"/>
  <c r="K22" i="22"/>
  <c r="K21" i="22"/>
  <c r="K20" i="22"/>
  <c r="T20" i="22" s="1"/>
  <c r="K19" i="22"/>
  <c r="T19" i="22" s="1"/>
  <c r="K18" i="22"/>
  <c r="K17" i="22"/>
  <c r="T17" i="22" s="1"/>
  <c r="K16" i="22"/>
  <c r="T16" i="22" s="1"/>
  <c r="K15" i="22"/>
  <c r="T15" i="22" s="1"/>
  <c r="K14" i="22"/>
  <c r="T14" i="22" s="1"/>
  <c r="K13" i="22"/>
  <c r="T13" i="22" s="1"/>
  <c r="K12" i="22"/>
  <c r="K11" i="22"/>
  <c r="T11" i="22" s="1"/>
  <c r="K10" i="22"/>
  <c r="K9" i="22"/>
  <c r="T9" i="22" s="1"/>
  <c r="K8" i="22"/>
  <c r="K7" i="22"/>
  <c r="K6" i="22"/>
  <c r="K5" i="22"/>
  <c r="K4" i="22"/>
  <c r="T4" i="22" s="1"/>
  <c r="AH82" i="22"/>
  <c r="AG82" i="22"/>
  <c r="AF82" i="22"/>
  <c r="AE82" i="22"/>
  <c r="AD82" i="22"/>
  <c r="AC82" i="22"/>
  <c r="AB82" i="22"/>
  <c r="AA82" i="22"/>
  <c r="T77" i="22"/>
  <c r="T72" i="22"/>
  <c r="T71" i="22"/>
  <c r="T65" i="22"/>
  <c r="T60" i="22"/>
  <c r="T59" i="22"/>
  <c r="T58" i="22"/>
  <c r="T53" i="22"/>
  <c r="T46" i="22"/>
  <c r="T45" i="22"/>
  <c r="T42" i="22"/>
  <c r="T40" i="22"/>
  <c r="T39" i="22"/>
  <c r="T36" i="22"/>
  <c r="T33" i="22"/>
  <c r="T30" i="22"/>
  <c r="T26" i="22"/>
  <c r="T24" i="22"/>
  <c r="T22" i="22"/>
  <c r="T21" i="22"/>
  <c r="T18" i="22"/>
  <c r="T12" i="22"/>
  <c r="T10" i="22"/>
  <c r="T8" i="22"/>
  <c r="T6" i="22"/>
  <c r="T5" i="22"/>
  <c r="K75" i="21"/>
  <c r="T75" i="21" s="1"/>
  <c r="K76" i="21"/>
  <c r="T76" i="21" s="1"/>
  <c r="K77" i="21"/>
  <c r="T77" i="21" s="1"/>
  <c r="K78" i="21"/>
  <c r="T78" i="21" s="1"/>
  <c r="K79" i="21"/>
  <c r="T79" i="21" s="1"/>
  <c r="K80" i="21"/>
  <c r="T80" i="21" s="1"/>
  <c r="K81" i="21"/>
  <c r="T81" i="21" s="1"/>
  <c r="K65" i="21"/>
  <c r="K66" i="21"/>
  <c r="T66" i="21" s="1"/>
  <c r="K67" i="21"/>
  <c r="T67" i="21" s="1"/>
  <c r="K68" i="21"/>
  <c r="T68" i="21" s="1"/>
  <c r="K69" i="21"/>
  <c r="T69" i="21" s="1"/>
  <c r="K70" i="21"/>
  <c r="T70" i="21" s="1"/>
  <c r="K71" i="21"/>
  <c r="T71" i="21" s="1"/>
  <c r="K72" i="21"/>
  <c r="T72" i="21" s="1"/>
  <c r="K73" i="21"/>
  <c r="T73" i="21" s="1"/>
  <c r="K74" i="21"/>
  <c r="T74" i="21" s="1"/>
  <c r="K55" i="21"/>
  <c r="T55" i="21" s="1"/>
  <c r="K56" i="21"/>
  <c r="T56" i="21" s="1"/>
  <c r="K57" i="21"/>
  <c r="T57" i="21" s="1"/>
  <c r="K58" i="21"/>
  <c r="T58" i="21" s="1"/>
  <c r="K59" i="21"/>
  <c r="T59" i="21" s="1"/>
  <c r="K60" i="21"/>
  <c r="T60" i="21" s="1"/>
  <c r="K61" i="21"/>
  <c r="T61" i="21" s="1"/>
  <c r="K62" i="21"/>
  <c r="T62" i="21" s="1"/>
  <c r="K63" i="21"/>
  <c r="T63" i="21" s="1"/>
  <c r="K64" i="21"/>
  <c r="T64" i="21" s="1"/>
  <c r="K48" i="21"/>
  <c r="T48" i="21" s="1"/>
  <c r="K49" i="21"/>
  <c r="T49" i="21" s="1"/>
  <c r="K50" i="21"/>
  <c r="T50" i="21" s="1"/>
  <c r="K51" i="21"/>
  <c r="T51" i="21" s="1"/>
  <c r="K52" i="21"/>
  <c r="K53" i="21"/>
  <c r="T53" i="21" s="1"/>
  <c r="K54" i="21"/>
  <c r="T54" i="21" s="1"/>
  <c r="K47" i="21"/>
  <c r="T47" i="21" s="1"/>
  <c r="K46" i="21"/>
  <c r="T46" i="21" s="1"/>
  <c r="K45" i="21"/>
  <c r="K44" i="21"/>
  <c r="K43" i="21"/>
  <c r="T43" i="21" s="1"/>
  <c r="K42" i="21"/>
  <c r="T42" i="21" s="1"/>
  <c r="K41" i="21"/>
  <c r="T41" i="21" s="1"/>
  <c r="K40" i="21"/>
  <c r="T40" i="21" s="1"/>
  <c r="K39" i="21"/>
  <c r="T39" i="21" s="1"/>
  <c r="K32" i="21"/>
  <c r="K33" i="21"/>
  <c r="T33" i="21" s="1"/>
  <c r="K34" i="21"/>
  <c r="T34" i="21" s="1"/>
  <c r="K35" i="21"/>
  <c r="T35" i="21" s="1"/>
  <c r="K36" i="21"/>
  <c r="T36" i="21" s="1"/>
  <c r="K37" i="21"/>
  <c r="T37" i="21" s="1"/>
  <c r="K38" i="21"/>
  <c r="T38" i="21" s="1"/>
  <c r="K31" i="21"/>
  <c r="T31" i="21" s="1"/>
  <c r="K30" i="21"/>
  <c r="T30" i="21" s="1"/>
  <c r="K22" i="21"/>
  <c r="T22" i="21" s="1"/>
  <c r="K23" i="21"/>
  <c r="T23" i="21" s="1"/>
  <c r="K24" i="21"/>
  <c r="T24" i="21" s="1"/>
  <c r="K25" i="21"/>
  <c r="T25" i="21" s="1"/>
  <c r="K26" i="21"/>
  <c r="T26" i="21" s="1"/>
  <c r="K27" i="21"/>
  <c r="T27" i="21" s="1"/>
  <c r="K28" i="21"/>
  <c r="T28" i="21" s="1"/>
  <c r="K29" i="21"/>
  <c r="T29" i="21" s="1"/>
  <c r="K21" i="21"/>
  <c r="T21" i="21" s="1"/>
  <c r="K20" i="21"/>
  <c r="T20" i="21" s="1"/>
  <c r="K17" i="21"/>
  <c r="T17" i="21" s="1"/>
  <c r="K18" i="21"/>
  <c r="T18" i="21" s="1"/>
  <c r="K19" i="21"/>
  <c r="T19" i="21" s="1"/>
  <c r="K16" i="21"/>
  <c r="T16" i="21" s="1"/>
  <c r="K11" i="21"/>
  <c r="T11" i="21" s="1"/>
  <c r="K12" i="21"/>
  <c r="K13" i="21"/>
  <c r="T13" i="21" s="1"/>
  <c r="K10" i="21"/>
  <c r="T10" i="21" s="1"/>
  <c r="K7" i="21"/>
  <c r="T7" i="21" s="1"/>
  <c r="K8" i="21"/>
  <c r="T8" i="21" s="1"/>
  <c r="K6" i="21"/>
  <c r="T6" i="21" s="1"/>
  <c r="K5" i="21"/>
  <c r="T5" i="21" s="1"/>
  <c r="K4" i="21"/>
  <c r="T4" i="21" s="1"/>
  <c r="T65" i="21"/>
  <c r="T52" i="21"/>
  <c r="T45" i="21"/>
  <c r="T44" i="21"/>
  <c r="T32" i="21"/>
  <c r="T14" i="21"/>
  <c r="T12" i="21"/>
  <c r="K81" i="20"/>
  <c r="K70" i="20"/>
  <c r="K71" i="20"/>
  <c r="K72" i="20"/>
  <c r="K73" i="20"/>
  <c r="K74" i="20"/>
  <c r="K75" i="20"/>
  <c r="K76" i="20"/>
  <c r="K77" i="20"/>
  <c r="K78" i="20"/>
  <c r="K79" i="20"/>
  <c r="K80" i="20"/>
  <c r="K69" i="20"/>
  <c r="K68" i="20"/>
  <c r="K67" i="20"/>
  <c r="K66" i="20"/>
  <c r="K65" i="20"/>
  <c r="K64" i="20"/>
  <c r="K63" i="20"/>
  <c r="K62" i="20"/>
  <c r="K61" i="20"/>
  <c r="K60" i="20"/>
  <c r="K54" i="20"/>
  <c r="K55" i="20"/>
  <c r="K56" i="20"/>
  <c r="K57" i="20"/>
  <c r="K58" i="20"/>
  <c r="K59" i="20"/>
  <c r="K46" i="20"/>
  <c r="K47" i="20"/>
  <c r="K48" i="20"/>
  <c r="K49" i="20"/>
  <c r="K50" i="20"/>
  <c r="K51" i="20"/>
  <c r="K52" i="20"/>
  <c r="K53" i="20"/>
  <c r="K35" i="20"/>
  <c r="K36" i="20"/>
  <c r="K37" i="20"/>
  <c r="K38" i="20"/>
  <c r="K39" i="20"/>
  <c r="K40" i="20"/>
  <c r="K41" i="20"/>
  <c r="K42" i="20"/>
  <c r="K43" i="20"/>
  <c r="K44" i="20"/>
  <c r="K45" i="20"/>
  <c r="K34" i="20"/>
  <c r="K33" i="20"/>
  <c r="K32" i="20"/>
  <c r="K31" i="20"/>
  <c r="K30" i="20"/>
  <c r="K29" i="20"/>
  <c r="K26" i="20"/>
  <c r="K27" i="20"/>
  <c r="K28" i="20"/>
  <c r="K25" i="20"/>
  <c r="K23" i="20"/>
  <c r="K22" i="20"/>
  <c r="K21" i="20"/>
  <c r="K20" i="20"/>
  <c r="K16" i="20"/>
  <c r="K17" i="20"/>
  <c r="K18" i="20"/>
  <c r="K19" i="20"/>
  <c r="K15" i="20"/>
  <c r="K14" i="20"/>
  <c r="K13" i="20"/>
  <c r="K12" i="20"/>
  <c r="K11" i="20"/>
  <c r="K10" i="20"/>
  <c r="K9" i="20"/>
  <c r="K8" i="20"/>
  <c r="K7" i="20"/>
  <c r="K6" i="20"/>
  <c r="K5" i="20"/>
  <c r="K4" i="20"/>
  <c r="AE82" i="20"/>
  <c r="AD82" i="20"/>
  <c r="AC82" i="20"/>
  <c r="T24" i="20"/>
  <c r="K72" i="19"/>
  <c r="K73" i="19"/>
  <c r="K74" i="19"/>
  <c r="K75" i="19"/>
  <c r="K76" i="19"/>
  <c r="K77" i="19"/>
  <c r="K78" i="19"/>
  <c r="K79" i="19"/>
  <c r="K80" i="19"/>
  <c r="K81" i="19"/>
  <c r="K61" i="19"/>
  <c r="K62" i="19"/>
  <c r="K63" i="19"/>
  <c r="K64" i="19"/>
  <c r="K65" i="19"/>
  <c r="K66" i="19"/>
  <c r="K67" i="19"/>
  <c r="K68" i="19"/>
  <c r="K69" i="19"/>
  <c r="K70" i="19"/>
  <c r="K71" i="19"/>
  <c r="K60" i="19"/>
  <c r="K59" i="19"/>
  <c r="K58" i="19"/>
  <c r="K57" i="19"/>
  <c r="K56" i="19"/>
  <c r="K55" i="19"/>
  <c r="K54" i="19"/>
  <c r="K53" i="19"/>
  <c r="K52" i="19"/>
  <c r="K51" i="19"/>
  <c r="K50" i="19"/>
  <c r="K49" i="19"/>
  <c r="K45" i="19"/>
  <c r="K46" i="19"/>
  <c r="K47" i="19"/>
  <c r="K48" i="19"/>
  <c r="K34" i="19"/>
  <c r="K35" i="19"/>
  <c r="K36" i="19"/>
  <c r="K37" i="19"/>
  <c r="K38" i="19"/>
  <c r="K39" i="19"/>
  <c r="K40" i="19"/>
  <c r="K41" i="19"/>
  <c r="K42" i="19"/>
  <c r="K43" i="19"/>
  <c r="K44" i="19"/>
  <c r="K33" i="19"/>
  <c r="K32" i="19"/>
  <c r="K31" i="19"/>
  <c r="K30" i="19"/>
  <c r="K29" i="19"/>
  <c r="K28" i="19"/>
  <c r="K27" i="19"/>
  <c r="K26" i="19"/>
  <c r="K25" i="19"/>
  <c r="K24" i="19"/>
  <c r="K23" i="19"/>
  <c r="K22" i="19"/>
  <c r="K21" i="19"/>
  <c r="K20" i="19"/>
  <c r="K19" i="19"/>
  <c r="K18" i="19"/>
  <c r="K17" i="19"/>
  <c r="K16" i="19"/>
  <c r="K11" i="19"/>
  <c r="K12" i="19"/>
  <c r="K13" i="19"/>
  <c r="K14" i="19"/>
  <c r="K10" i="19"/>
  <c r="K8" i="19"/>
  <c r="K7" i="19"/>
  <c r="K6" i="19"/>
  <c r="K5" i="19"/>
  <c r="K4" i="19"/>
  <c r="T15" i="19"/>
  <c r="T9" i="19"/>
  <c r="K73" i="18"/>
  <c r="K74" i="18"/>
  <c r="K75" i="18"/>
  <c r="K76" i="18"/>
  <c r="K77" i="18"/>
  <c r="K78" i="18"/>
  <c r="K79" i="18"/>
  <c r="T79" i="18" s="1"/>
  <c r="K80" i="18"/>
  <c r="K81" i="18"/>
  <c r="K60" i="18"/>
  <c r="K61" i="18"/>
  <c r="K62" i="18"/>
  <c r="K63" i="18"/>
  <c r="K64" i="18"/>
  <c r="K65" i="18"/>
  <c r="K66" i="18"/>
  <c r="K67" i="18"/>
  <c r="K68" i="18"/>
  <c r="K69" i="18"/>
  <c r="T69" i="18" s="1"/>
  <c r="K70" i="18"/>
  <c r="K71" i="18"/>
  <c r="K72" i="18"/>
  <c r="K50" i="18"/>
  <c r="K51" i="18"/>
  <c r="K52" i="18"/>
  <c r="T52" i="18" s="1"/>
  <c r="K53" i="18"/>
  <c r="K54" i="18"/>
  <c r="K55" i="18"/>
  <c r="K56" i="18"/>
  <c r="K57" i="18"/>
  <c r="K58" i="18"/>
  <c r="K59" i="18"/>
  <c r="K49" i="18"/>
  <c r="K47" i="18"/>
  <c r="K42" i="18"/>
  <c r="K39" i="18"/>
  <c r="K31" i="18"/>
  <c r="T31" i="18" s="1"/>
  <c r="K32" i="18"/>
  <c r="K33" i="18"/>
  <c r="K34" i="18"/>
  <c r="K35" i="18"/>
  <c r="K36" i="18"/>
  <c r="K37" i="18"/>
  <c r="K30" i="18"/>
  <c r="K27" i="18"/>
  <c r="K26" i="18"/>
  <c r="K25" i="18"/>
  <c r="K15" i="18"/>
  <c r="K16" i="18"/>
  <c r="K17" i="18"/>
  <c r="K18" i="18"/>
  <c r="K19" i="18"/>
  <c r="K20" i="18"/>
  <c r="K21" i="18"/>
  <c r="K22" i="18"/>
  <c r="K5" i="18"/>
  <c r="K6" i="18"/>
  <c r="K7" i="18"/>
  <c r="K8" i="18"/>
  <c r="K9" i="18"/>
  <c r="K10" i="18"/>
  <c r="T10" i="18" s="1"/>
  <c r="K11" i="18"/>
  <c r="K12" i="18"/>
  <c r="K13" i="18"/>
  <c r="K14" i="18"/>
  <c r="K4" i="18"/>
  <c r="K46" i="18"/>
  <c r="K45" i="18"/>
  <c r="K43" i="18"/>
  <c r="K41" i="18"/>
  <c r="K40" i="18"/>
  <c r="K38" i="18"/>
  <c r="K29" i="18"/>
  <c r="K28" i="18"/>
  <c r="K24" i="18"/>
  <c r="K23" i="18"/>
  <c r="AH82" i="18"/>
  <c r="AG82" i="18"/>
  <c r="AF82" i="18"/>
  <c r="AE82" i="18"/>
  <c r="AD82" i="18"/>
  <c r="AC82" i="18"/>
  <c r="AB82" i="18"/>
  <c r="AA82" i="18"/>
  <c r="Z82" i="18"/>
  <c r="Y82" i="18"/>
  <c r="X82" i="18"/>
  <c r="W82" i="18"/>
  <c r="V82" i="18"/>
  <c r="U82" i="18"/>
  <c r="T75" i="18"/>
  <c r="T64" i="18"/>
  <c r="T61" i="18"/>
  <c r="T56" i="18"/>
  <c r="T50" i="18"/>
  <c r="T49" i="18"/>
  <c r="T42" i="18"/>
  <c r="T41" i="18"/>
  <c r="T40" i="18"/>
  <c r="T39" i="18"/>
  <c r="T30" i="18"/>
  <c r="T29" i="18"/>
  <c r="T25" i="18"/>
  <c r="T20" i="18"/>
  <c r="T15" i="18"/>
  <c r="T14" i="18"/>
  <c r="T4" i="18"/>
  <c r="K72" i="1"/>
  <c r="K73" i="1"/>
  <c r="K74" i="1"/>
  <c r="K75" i="1"/>
  <c r="K76" i="1"/>
  <c r="K77" i="1"/>
  <c r="K78" i="1"/>
  <c r="K79" i="1"/>
  <c r="K80" i="1"/>
  <c r="K81" i="1"/>
  <c r="K60" i="1"/>
  <c r="K61" i="1"/>
  <c r="K62" i="1"/>
  <c r="K63" i="1"/>
  <c r="K64" i="1"/>
  <c r="K65" i="1"/>
  <c r="K66" i="1"/>
  <c r="K67" i="1"/>
  <c r="K68" i="1"/>
  <c r="K69" i="1"/>
  <c r="K70" i="1"/>
  <c r="K71" i="1"/>
  <c r="K48" i="1"/>
  <c r="K49" i="1"/>
  <c r="K50" i="1"/>
  <c r="K51" i="1"/>
  <c r="K52" i="1"/>
  <c r="K53" i="1"/>
  <c r="K54" i="1"/>
  <c r="K55" i="1"/>
  <c r="K56" i="1"/>
  <c r="K57" i="1"/>
  <c r="K58" i="1"/>
  <c r="K59" i="1"/>
  <c r="K47" i="1"/>
  <c r="K46" i="1"/>
  <c r="K45" i="1"/>
  <c r="K43" i="1"/>
  <c r="K42" i="1"/>
  <c r="K41" i="1"/>
  <c r="K40" i="1"/>
  <c r="K39" i="1"/>
  <c r="K38" i="1"/>
  <c r="K32" i="1"/>
  <c r="K33" i="1"/>
  <c r="K34" i="1"/>
  <c r="K35" i="1"/>
  <c r="K36" i="1"/>
  <c r="K37" i="1"/>
  <c r="K31" i="1"/>
  <c r="K30" i="1"/>
  <c r="K29" i="1"/>
  <c r="K28" i="1"/>
  <c r="K27" i="1"/>
  <c r="K26" i="1"/>
  <c r="K25" i="1"/>
  <c r="K24" i="1"/>
  <c r="K23" i="1"/>
  <c r="K22" i="1"/>
  <c r="K21" i="1"/>
  <c r="K20" i="1"/>
  <c r="K19" i="1"/>
  <c r="K16" i="1"/>
  <c r="K17" i="1"/>
  <c r="K18" i="1"/>
  <c r="K15" i="1"/>
  <c r="K14" i="1"/>
  <c r="K8" i="1"/>
  <c r="K7" i="1"/>
  <c r="K6" i="1"/>
  <c r="K5" i="1"/>
  <c r="K4" i="1"/>
  <c r="S25" i="19" l="1"/>
  <c r="L25" i="19"/>
  <c r="S49" i="19"/>
  <c r="L49" i="19"/>
  <c r="S10" i="19"/>
  <c r="L10" i="19"/>
  <c r="S65" i="19"/>
  <c r="L65" i="19"/>
  <c r="S67" i="19"/>
  <c r="L67" i="19"/>
  <c r="S18" i="19"/>
  <c r="L18" i="19"/>
  <c r="S66" i="19"/>
  <c r="L66" i="19"/>
  <c r="S19" i="19"/>
  <c r="T19" i="19" s="1"/>
  <c r="L19" i="19"/>
  <c r="S14" i="19"/>
  <c r="L14" i="19"/>
  <c r="S20" i="19"/>
  <c r="L20" i="19"/>
  <c r="S28" i="19"/>
  <c r="L28" i="19"/>
  <c r="S42" i="19"/>
  <c r="T42" i="19" s="1"/>
  <c r="L42" i="19"/>
  <c r="S34" i="19"/>
  <c r="L34" i="19"/>
  <c r="S52" i="19"/>
  <c r="L52" i="19"/>
  <c r="S60" i="19"/>
  <c r="L60" i="19"/>
  <c r="S64" i="19"/>
  <c r="T64" i="19" s="1"/>
  <c r="L64" i="19"/>
  <c r="S77" i="19"/>
  <c r="L77" i="19"/>
  <c r="S17" i="19"/>
  <c r="L17" i="19"/>
  <c r="S80" i="19"/>
  <c r="L80" i="19"/>
  <c r="S26" i="19"/>
  <c r="L26" i="19"/>
  <c r="S58" i="19"/>
  <c r="L58" i="19"/>
  <c r="S51" i="19"/>
  <c r="L51" i="19"/>
  <c r="S13" i="19"/>
  <c r="L13" i="19"/>
  <c r="S21" i="19"/>
  <c r="T21" i="19" s="1"/>
  <c r="L21" i="19"/>
  <c r="S29" i="19"/>
  <c r="L29" i="19"/>
  <c r="S41" i="19"/>
  <c r="L41" i="19"/>
  <c r="S48" i="19"/>
  <c r="L48" i="19"/>
  <c r="S53" i="19"/>
  <c r="T53" i="19" s="1"/>
  <c r="L53" i="19"/>
  <c r="S71" i="19"/>
  <c r="L71" i="19"/>
  <c r="S63" i="19"/>
  <c r="L63" i="19"/>
  <c r="S76" i="19"/>
  <c r="L76" i="19"/>
  <c r="S7" i="19"/>
  <c r="T7" i="19" s="1"/>
  <c r="L7" i="19"/>
  <c r="S57" i="19"/>
  <c r="L57" i="19"/>
  <c r="S8" i="19"/>
  <c r="L8" i="19"/>
  <c r="S50" i="19"/>
  <c r="L50" i="19"/>
  <c r="S27" i="19"/>
  <c r="T27" i="19" s="1"/>
  <c r="L27" i="19"/>
  <c r="S78" i="19"/>
  <c r="L78" i="19"/>
  <c r="S4" i="19"/>
  <c r="L4" i="19"/>
  <c r="S12" i="19"/>
  <c r="L12" i="19"/>
  <c r="S22" i="19"/>
  <c r="L22" i="19"/>
  <c r="S30" i="19"/>
  <c r="T30" i="19" s="1"/>
  <c r="L30" i="19"/>
  <c r="S40" i="19"/>
  <c r="L40" i="19"/>
  <c r="S47" i="19"/>
  <c r="L47" i="19"/>
  <c r="S54" i="19"/>
  <c r="L54" i="19"/>
  <c r="S70" i="19"/>
  <c r="T70" i="19" s="1"/>
  <c r="L70" i="19"/>
  <c r="S62" i="19"/>
  <c r="L62" i="19"/>
  <c r="S75" i="19"/>
  <c r="L75" i="19"/>
  <c r="S37" i="19"/>
  <c r="T37" i="19" s="1"/>
  <c r="L37" i="19"/>
  <c r="S36" i="19"/>
  <c r="T36" i="19" s="1"/>
  <c r="L36" i="19"/>
  <c r="S43" i="19"/>
  <c r="L43" i="19"/>
  <c r="S59" i="19"/>
  <c r="L59" i="19"/>
  <c r="S5" i="19"/>
  <c r="T5" i="19" s="1"/>
  <c r="L5" i="19"/>
  <c r="S11" i="19"/>
  <c r="T11" i="19" s="1"/>
  <c r="L11" i="19"/>
  <c r="S23" i="19"/>
  <c r="L23" i="19"/>
  <c r="S31" i="19"/>
  <c r="L31" i="19"/>
  <c r="S39" i="19"/>
  <c r="T39" i="19" s="1"/>
  <c r="L39" i="19"/>
  <c r="S46" i="19"/>
  <c r="T46" i="19" s="1"/>
  <c r="L46" i="19"/>
  <c r="S55" i="19"/>
  <c r="L55" i="19"/>
  <c r="S69" i="19"/>
  <c r="L69" i="19"/>
  <c r="S61" i="19"/>
  <c r="T61" i="19" s="1"/>
  <c r="L61" i="19"/>
  <c r="S74" i="19"/>
  <c r="L74" i="19"/>
  <c r="S33" i="19"/>
  <c r="L33" i="19"/>
  <c r="S72" i="19"/>
  <c r="L72" i="19"/>
  <c r="S44" i="19"/>
  <c r="T44" i="19" s="1"/>
  <c r="L44" i="19"/>
  <c r="S79" i="19"/>
  <c r="L79" i="19"/>
  <c r="S35" i="19"/>
  <c r="L35" i="19"/>
  <c r="S6" i="19"/>
  <c r="L6" i="19"/>
  <c r="S16" i="19"/>
  <c r="T16" i="19" s="1"/>
  <c r="L16" i="19"/>
  <c r="S24" i="19"/>
  <c r="L24" i="19"/>
  <c r="S32" i="19"/>
  <c r="L32" i="19"/>
  <c r="S38" i="19"/>
  <c r="L38" i="19"/>
  <c r="S45" i="19"/>
  <c r="T45" i="19" s="1"/>
  <c r="L45" i="19"/>
  <c r="S56" i="19"/>
  <c r="L56" i="19"/>
  <c r="S68" i="19"/>
  <c r="L68" i="19"/>
  <c r="S81" i="19"/>
  <c r="L81" i="19"/>
  <c r="S73" i="19"/>
  <c r="T73" i="19" s="1"/>
  <c r="L73" i="19"/>
  <c r="L24" i="27"/>
  <c r="S24" i="27"/>
  <c r="T24" i="27" s="1"/>
  <c r="O24" i="27"/>
  <c r="L36" i="27"/>
  <c r="S36" i="27"/>
  <c r="T36" i="27" s="1"/>
  <c r="O36" i="27"/>
  <c r="L61" i="27"/>
  <c r="S61" i="27"/>
  <c r="T61" i="27" s="1"/>
  <c r="O61" i="27"/>
  <c r="L13" i="27"/>
  <c r="S13" i="27"/>
  <c r="T13" i="27" s="1"/>
  <c r="O13" i="27"/>
  <c r="L35" i="27"/>
  <c r="S35" i="27"/>
  <c r="T35" i="27" s="1"/>
  <c r="O35" i="27"/>
  <c r="T66" i="27"/>
  <c r="L66" i="27"/>
  <c r="S66" i="27"/>
  <c r="O66" i="27"/>
  <c r="L8" i="27"/>
  <c r="S8" i="27"/>
  <c r="T8" i="27" s="1"/>
  <c r="O8" i="27"/>
  <c r="L14" i="27"/>
  <c r="S14" i="27"/>
  <c r="T14" i="27" s="1"/>
  <c r="O14" i="27"/>
  <c r="T20" i="27"/>
  <c r="L20" i="27"/>
  <c r="S20" i="27"/>
  <c r="O20" i="27"/>
  <c r="L26" i="27"/>
  <c r="S26" i="27"/>
  <c r="T26" i="27" s="1"/>
  <c r="O26" i="27"/>
  <c r="L32" i="27"/>
  <c r="S32" i="27"/>
  <c r="T32" i="27" s="1"/>
  <c r="O32" i="27"/>
  <c r="T38" i="27"/>
  <c r="L38" i="27"/>
  <c r="S38" i="27"/>
  <c r="O38" i="27"/>
  <c r="L50" i="27"/>
  <c r="S50" i="27"/>
  <c r="T50" i="27" s="1"/>
  <c r="O50" i="27"/>
  <c r="L56" i="27"/>
  <c r="S56" i="27"/>
  <c r="T56" i="27" s="1"/>
  <c r="O56" i="27"/>
  <c r="T65" i="27"/>
  <c r="L65" i="27"/>
  <c r="S65" i="27"/>
  <c r="O65" i="27"/>
  <c r="L59" i="27"/>
  <c r="S59" i="27"/>
  <c r="T59" i="27" s="1"/>
  <c r="O59" i="27"/>
  <c r="L71" i="27"/>
  <c r="S71" i="27"/>
  <c r="T71" i="27" s="1"/>
  <c r="O71" i="27"/>
  <c r="T80" i="27"/>
  <c r="L80" i="27"/>
  <c r="S80" i="27"/>
  <c r="O80" i="27"/>
  <c r="L25" i="27"/>
  <c r="S25" i="27"/>
  <c r="T25" i="27" s="1"/>
  <c r="O25" i="27"/>
  <c r="L57" i="27"/>
  <c r="S57" i="27"/>
  <c r="T57" i="27" s="1"/>
  <c r="O57" i="27"/>
  <c r="T72" i="27"/>
  <c r="L72" i="27"/>
  <c r="S72" i="27"/>
  <c r="O72" i="27"/>
  <c r="L9" i="27"/>
  <c r="S9" i="27"/>
  <c r="T9" i="27" s="1"/>
  <c r="O9" i="27"/>
  <c r="L15" i="27"/>
  <c r="S15" i="27"/>
  <c r="T15" i="27" s="1"/>
  <c r="O15" i="27"/>
  <c r="T21" i="27"/>
  <c r="L21" i="27"/>
  <c r="S21" i="27"/>
  <c r="O21" i="27"/>
  <c r="L27" i="27"/>
  <c r="S27" i="27"/>
  <c r="T27" i="27" s="1"/>
  <c r="O27" i="27"/>
  <c r="L33" i="27"/>
  <c r="S33" i="27"/>
  <c r="T33" i="27" s="1"/>
  <c r="O33" i="27"/>
  <c r="T49" i="27"/>
  <c r="L49" i="27"/>
  <c r="S49" i="27"/>
  <c r="O49" i="27"/>
  <c r="L55" i="27"/>
  <c r="S55" i="27"/>
  <c r="T55" i="27" s="1"/>
  <c r="O55" i="27"/>
  <c r="L64" i="27"/>
  <c r="S64" i="27"/>
  <c r="T64" i="27" s="1"/>
  <c r="O64" i="27"/>
  <c r="T76" i="27"/>
  <c r="L76" i="27"/>
  <c r="S76" i="27"/>
  <c r="O76" i="27"/>
  <c r="L70" i="27"/>
  <c r="S70" i="27"/>
  <c r="T70" i="27" s="1"/>
  <c r="O70" i="27"/>
  <c r="L79" i="27"/>
  <c r="S79" i="27"/>
  <c r="T79" i="27" s="1"/>
  <c r="O79" i="27"/>
  <c r="L52" i="27"/>
  <c r="S52" i="27"/>
  <c r="T52" i="27" s="1"/>
  <c r="O52" i="27"/>
  <c r="L73" i="27"/>
  <c r="S73" i="27"/>
  <c r="T73" i="27" s="1"/>
  <c r="O73" i="27"/>
  <c r="T7" i="27"/>
  <c r="L7" i="27"/>
  <c r="S7" i="27"/>
  <c r="O7" i="27"/>
  <c r="L31" i="27"/>
  <c r="S31" i="27"/>
  <c r="T31" i="27" s="1"/>
  <c r="O31" i="27"/>
  <c r="L60" i="27"/>
  <c r="S60" i="27"/>
  <c r="T60" i="27" s="1"/>
  <c r="O60" i="27"/>
  <c r="L4" i="27"/>
  <c r="S4" i="27"/>
  <c r="K82" i="27"/>
  <c r="O82" i="27" s="1"/>
  <c r="O4" i="27"/>
  <c r="K83" i="27"/>
  <c r="L10" i="27"/>
  <c r="S10" i="27"/>
  <c r="T10" i="27" s="1"/>
  <c r="O10" i="27"/>
  <c r="L19" i="27"/>
  <c r="S19" i="27"/>
  <c r="T19" i="27" s="1"/>
  <c r="O19" i="27"/>
  <c r="L22" i="27"/>
  <c r="S22" i="27"/>
  <c r="T22" i="27" s="1"/>
  <c r="O22" i="27"/>
  <c r="L28" i="27"/>
  <c r="S28" i="27"/>
  <c r="T28" i="27" s="1"/>
  <c r="O28" i="27"/>
  <c r="L34" i="27"/>
  <c r="S34" i="27"/>
  <c r="T34" i="27" s="1"/>
  <c r="O34" i="27"/>
  <c r="L41" i="27"/>
  <c r="S41" i="27"/>
  <c r="T41" i="27" s="1"/>
  <c r="O41" i="27"/>
  <c r="T48" i="27"/>
  <c r="L48" i="27"/>
  <c r="S48" i="27"/>
  <c r="O48" i="27"/>
  <c r="L54" i="27"/>
  <c r="S54" i="27"/>
  <c r="T54" i="27" s="1"/>
  <c r="O54" i="27"/>
  <c r="L63" i="27"/>
  <c r="S63" i="27"/>
  <c r="T63" i="27" s="1"/>
  <c r="O63" i="27"/>
  <c r="L75" i="27"/>
  <c r="S75" i="27"/>
  <c r="T75" i="27" s="1"/>
  <c r="O75" i="27"/>
  <c r="L69" i="27"/>
  <c r="S69" i="27"/>
  <c r="T69" i="27" s="1"/>
  <c r="O69" i="27"/>
  <c r="L78" i="27"/>
  <c r="S78" i="27"/>
  <c r="T78" i="27" s="1"/>
  <c r="O78" i="27"/>
  <c r="L6" i="27"/>
  <c r="S6" i="27"/>
  <c r="T6" i="27" s="1"/>
  <c r="O6" i="27"/>
  <c r="L12" i="27"/>
  <c r="S12" i="27"/>
  <c r="T12" i="27" s="1"/>
  <c r="O12" i="27"/>
  <c r="L17" i="27"/>
  <c r="S17" i="27"/>
  <c r="T17" i="27" s="1"/>
  <c r="O17" i="27"/>
  <c r="L30" i="27"/>
  <c r="S30" i="27"/>
  <c r="T30" i="27" s="1"/>
  <c r="O30" i="27"/>
  <c r="L58" i="27"/>
  <c r="S58" i="27"/>
  <c r="T58" i="27" s="1"/>
  <c r="O58" i="27"/>
  <c r="L67" i="27"/>
  <c r="S67" i="27"/>
  <c r="T67" i="27" s="1"/>
  <c r="O67" i="27"/>
  <c r="L16" i="27"/>
  <c r="S16" i="27"/>
  <c r="T16" i="27" s="1"/>
  <c r="O16" i="27"/>
  <c r="L51" i="27"/>
  <c r="S51" i="27"/>
  <c r="T51" i="27" s="1"/>
  <c r="O51" i="27"/>
  <c r="L81" i="27"/>
  <c r="S81" i="27"/>
  <c r="T81" i="27" s="1"/>
  <c r="O81" i="27"/>
  <c r="T5" i="27"/>
  <c r="L5" i="27"/>
  <c r="S5" i="27"/>
  <c r="O5" i="27"/>
  <c r="T11" i="27"/>
  <c r="L11" i="27"/>
  <c r="S11" i="27"/>
  <c r="O11" i="27"/>
  <c r="L18" i="27"/>
  <c r="S18" i="27"/>
  <c r="T18" i="27" s="1"/>
  <c r="O18" i="27"/>
  <c r="T23" i="27"/>
  <c r="L23" i="27"/>
  <c r="S23" i="27"/>
  <c r="O23" i="27"/>
  <c r="L29" i="27"/>
  <c r="S29" i="27"/>
  <c r="T29" i="27" s="1"/>
  <c r="O29" i="27"/>
  <c r="L37" i="27"/>
  <c r="S37" i="27"/>
  <c r="T37" i="27" s="1"/>
  <c r="O37" i="27"/>
  <c r="T47" i="27"/>
  <c r="L47" i="27"/>
  <c r="S47" i="27"/>
  <c r="O47" i="27"/>
  <c r="L53" i="27"/>
  <c r="S53" i="27"/>
  <c r="T53" i="27" s="1"/>
  <c r="O53" i="27"/>
  <c r="T62" i="27"/>
  <c r="L62" i="27"/>
  <c r="S62" i="27"/>
  <c r="O62" i="27"/>
  <c r="T74" i="27"/>
  <c r="L74" i="27"/>
  <c r="S74" i="27"/>
  <c r="O74" i="27"/>
  <c r="L68" i="27"/>
  <c r="S68" i="27"/>
  <c r="T68" i="27" s="1"/>
  <c r="O68" i="27"/>
  <c r="L77" i="27"/>
  <c r="S77" i="27"/>
  <c r="T77" i="27" s="1"/>
  <c r="O77" i="27"/>
  <c r="S25" i="25"/>
  <c r="L25" i="25"/>
  <c r="S67" i="25"/>
  <c r="L67" i="25"/>
  <c r="S8" i="25"/>
  <c r="L8" i="25"/>
  <c r="S44" i="25"/>
  <c r="L44" i="25"/>
  <c r="S80" i="25"/>
  <c r="L80" i="25"/>
  <c r="S9" i="25"/>
  <c r="T9" i="25" s="1"/>
  <c r="L9" i="25"/>
  <c r="S15" i="25"/>
  <c r="L15" i="25"/>
  <c r="S21" i="25"/>
  <c r="L21" i="25"/>
  <c r="S27" i="25"/>
  <c r="T27" i="25" s="1"/>
  <c r="L27" i="25"/>
  <c r="S34" i="25"/>
  <c r="L34" i="25"/>
  <c r="S43" i="25"/>
  <c r="L43" i="25"/>
  <c r="S51" i="25"/>
  <c r="T51" i="25" s="1"/>
  <c r="L51" i="25"/>
  <c r="S45" i="25"/>
  <c r="L45" i="25"/>
  <c r="S55" i="25"/>
  <c r="L55" i="25"/>
  <c r="S65" i="25"/>
  <c r="L65" i="25"/>
  <c r="S70" i="25"/>
  <c r="L70" i="25"/>
  <c r="S76" i="25"/>
  <c r="L76" i="25"/>
  <c r="S19" i="25"/>
  <c r="L19" i="25"/>
  <c r="S38" i="25"/>
  <c r="L38" i="25"/>
  <c r="S47" i="25"/>
  <c r="L47" i="25"/>
  <c r="S61" i="25"/>
  <c r="T61" i="25" s="1"/>
  <c r="L61" i="25"/>
  <c r="S26" i="25"/>
  <c r="L26" i="25"/>
  <c r="S46" i="25"/>
  <c r="L46" i="25"/>
  <c r="S69" i="25"/>
  <c r="T69" i="25" s="1"/>
  <c r="L69" i="25"/>
  <c r="S10" i="25"/>
  <c r="L10" i="25"/>
  <c r="S16" i="25"/>
  <c r="L16" i="25"/>
  <c r="S22" i="25"/>
  <c r="T22" i="25" s="1"/>
  <c r="L22" i="25"/>
  <c r="S29" i="25"/>
  <c r="L29" i="25"/>
  <c r="S35" i="25"/>
  <c r="L35" i="25"/>
  <c r="S42" i="25"/>
  <c r="T42" i="25" s="1"/>
  <c r="L42" i="25"/>
  <c r="S50" i="25"/>
  <c r="L50" i="25"/>
  <c r="S60" i="25"/>
  <c r="L60" i="25"/>
  <c r="S54" i="25"/>
  <c r="T54" i="25" s="1"/>
  <c r="L54" i="25"/>
  <c r="S64" i="25"/>
  <c r="L64" i="25"/>
  <c r="S71" i="25"/>
  <c r="L71" i="25"/>
  <c r="S77" i="25"/>
  <c r="T77" i="25" s="1"/>
  <c r="L77" i="25"/>
  <c r="S6" i="25"/>
  <c r="L6" i="25"/>
  <c r="S33" i="25"/>
  <c r="L33" i="25"/>
  <c r="S57" i="25"/>
  <c r="T57" i="25" s="1"/>
  <c r="L57" i="25"/>
  <c r="S74" i="25"/>
  <c r="L74" i="25"/>
  <c r="S14" i="25"/>
  <c r="L14" i="25"/>
  <c r="S32" i="25"/>
  <c r="T32" i="25" s="1"/>
  <c r="L32" i="25"/>
  <c r="S56" i="25"/>
  <c r="L56" i="25"/>
  <c r="S75" i="25"/>
  <c r="L75" i="25"/>
  <c r="S4" i="25"/>
  <c r="L4" i="25"/>
  <c r="S11" i="25"/>
  <c r="T11" i="25" s="1"/>
  <c r="L11" i="25"/>
  <c r="S17" i="25"/>
  <c r="L17" i="25"/>
  <c r="S24" i="25"/>
  <c r="L24" i="25"/>
  <c r="S30" i="25"/>
  <c r="L30" i="25"/>
  <c r="S36" i="25"/>
  <c r="L36" i="25"/>
  <c r="S41" i="25"/>
  <c r="T41" i="25" s="1"/>
  <c r="L41" i="25"/>
  <c r="S49" i="25"/>
  <c r="L49" i="25"/>
  <c r="S59" i="25"/>
  <c r="L59" i="25"/>
  <c r="S53" i="25"/>
  <c r="T53" i="25" s="1"/>
  <c r="L53" i="25"/>
  <c r="S63" i="25"/>
  <c r="L63" i="25"/>
  <c r="S72" i="25"/>
  <c r="L72" i="25"/>
  <c r="S78" i="25"/>
  <c r="T78" i="25" s="1"/>
  <c r="L78" i="25"/>
  <c r="S13" i="25"/>
  <c r="L13" i="25"/>
  <c r="S39" i="25"/>
  <c r="L39" i="25"/>
  <c r="S81" i="25"/>
  <c r="L81" i="25"/>
  <c r="S20" i="25"/>
  <c r="T20" i="25" s="1"/>
  <c r="L20" i="25"/>
  <c r="S52" i="25"/>
  <c r="L52" i="25"/>
  <c r="S66" i="25"/>
  <c r="L66" i="25"/>
  <c r="S5" i="25"/>
  <c r="L5" i="25"/>
  <c r="S12" i="25"/>
  <c r="L12" i="25"/>
  <c r="S18" i="25"/>
  <c r="T18" i="25" s="1"/>
  <c r="L18" i="25"/>
  <c r="S23" i="25"/>
  <c r="L23" i="25"/>
  <c r="S31" i="25"/>
  <c r="L31" i="25"/>
  <c r="S37" i="25"/>
  <c r="T37" i="25" s="1"/>
  <c r="L37" i="25"/>
  <c r="S40" i="25"/>
  <c r="T40" i="25" s="1"/>
  <c r="L40" i="25"/>
  <c r="S48" i="25"/>
  <c r="L48" i="25"/>
  <c r="S58" i="25"/>
  <c r="T58" i="25" s="1"/>
  <c r="L58" i="25"/>
  <c r="S68" i="25"/>
  <c r="L68" i="25"/>
  <c r="S62" i="25"/>
  <c r="L62" i="25"/>
  <c r="S73" i="25"/>
  <c r="L73" i="25"/>
  <c r="S79" i="25"/>
  <c r="L79" i="25"/>
  <c r="L4" i="20"/>
  <c r="K82" i="20"/>
  <c r="O82" i="20" s="1"/>
  <c r="S4" i="20"/>
  <c r="K83" i="20"/>
  <c r="O4" i="20"/>
  <c r="L19" i="20"/>
  <c r="S19" i="20"/>
  <c r="T19" i="20" s="1"/>
  <c r="O19" i="20"/>
  <c r="T29" i="20"/>
  <c r="L29" i="20"/>
  <c r="O29" i="20"/>
  <c r="S29" i="20"/>
  <c r="L39" i="20"/>
  <c r="O39" i="20"/>
  <c r="S39" i="20"/>
  <c r="T39" i="20" s="1"/>
  <c r="L46" i="20"/>
  <c r="S46" i="20"/>
  <c r="T46" i="20" s="1"/>
  <c r="O46" i="20"/>
  <c r="L79" i="20"/>
  <c r="S79" i="20"/>
  <c r="T79" i="20" s="1"/>
  <c r="O79" i="20"/>
  <c r="L11" i="20"/>
  <c r="O11" i="20"/>
  <c r="S11" i="20"/>
  <c r="T11" i="20" s="1"/>
  <c r="L66" i="20"/>
  <c r="S66" i="20"/>
  <c r="T66" i="20" s="1"/>
  <c r="O66" i="20"/>
  <c r="L12" i="20"/>
  <c r="S12" i="20"/>
  <c r="T12" i="20" s="1"/>
  <c r="O12" i="20"/>
  <c r="L25" i="20"/>
  <c r="S25" i="20"/>
  <c r="T25" i="20" s="1"/>
  <c r="O25" i="20"/>
  <c r="L43" i="20"/>
  <c r="S43" i="20"/>
  <c r="T43" i="20" s="1"/>
  <c r="O43" i="20"/>
  <c r="L50" i="20"/>
  <c r="O50" i="20"/>
  <c r="S50" i="20"/>
  <c r="T50" i="20" s="1"/>
  <c r="L61" i="20"/>
  <c r="S61" i="20"/>
  <c r="T61" i="20" s="1"/>
  <c r="O61" i="20"/>
  <c r="L71" i="20"/>
  <c r="O71" i="20"/>
  <c r="S71" i="20"/>
  <c r="T71" i="20" s="1"/>
  <c r="L7" i="20"/>
  <c r="S7" i="20"/>
  <c r="T7" i="20" s="1"/>
  <c r="O7" i="20"/>
  <c r="L13" i="20"/>
  <c r="S13" i="20"/>
  <c r="T13" i="20" s="1"/>
  <c r="O13" i="20"/>
  <c r="L16" i="20"/>
  <c r="S16" i="20"/>
  <c r="T16" i="20" s="1"/>
  <c r="O16" i="20"/>
  <c r="L28" i="20"/>
  <c r="S28" i="20"/>
  <c r="T28" i="20" s="1"/>
  <c r="O28" i="20"/>
  <c r="L32" i="20"/>
  <c r="O32" i="20"/>
  <c r="S32" i="20"/>
  <c r="T32" i="20" s="1"/>
  <c r="T42" i="20"/>
  <c r="L42" i="20"/>
  <c r="S42" i="20"/>
  <c r="O42" i="20"/>
  <c r="L36" i="20"/>
  <c r="S36" i="20"/>
  <c r="T36" i="20" s="1"/>
  <c r="O36" i="20"/>
  <c r="L49" i="20"/>
  <c r="S49" i="20"/>
  <c r="T49" i="20" s="1"/>
  <c r="O49" i="20"/>
  <c r="L57" i="20"/>
  <c r="O57" i="20"/>
  <c r="S57" i="20"/>
  <c r="T57" i="20" s="1"/>
  <c r="L62" i="20"/>
  <c r="O62" i="20"/>
  <c r="S62" i="20"/>
  <c r="T62" i="20" s="1"/>
  <c r="L68" i="20"/>
  <c r="O68" i="20"/>
  <c r="S68" i="20"/>
  <c r="T68" i="20" s="1"/>
  <c r="T76" i="20"/>
  <c r="L76" i="20"/>
  <c r="S76" i="20"/>
  <c r="O76" i="20"/>
  <c r="L70" i="20"/>
  <c r="S70" i="20"/>
  <c r="T70" i="20" s="1"/>
  <c r="O70" i="20"/>
  <c r="L10" i="20"/>
  <c r="S10" i="20"/>
  <c r="T10" i="20" s="1"/>
  <c r="O10" i="20"/>
  <c r="L22" i="20"/>
  <c r="S22" i="20"/>
  <c r="T22" i="20" s="1"/>
  <c r="O22" i="20"/>
  <c r="L45" i="20"/>
  <c r="O45" i="20"/>
  <c r="S45" i="20"/>
  <c r="T45" i="20" s="1"/>
  <c r="L52" i="20"/>
  <c r="S52" i="20"/>
  <c r="T52" i="20" s="1"/>
  <c r="O52" i="20"/>
  <c r="L65" i="20"/>
  <c r="O65" i="20"/>
  <c r="S65" i="20"/>
  <c r="T65" i="20" s="1"/>
  <c r="L73" i="20"/>
  <c r="S73" i="20"/>
  <c r="T73" i="20" s="1"/>
  <c r="O73" i="20"/>
  <c r="L5" i="20"/>
  <c r="O5" i="20"/>
  <c r="S5" i="20"/>
  <c r="T5" i="20" s="1"/>
  <c r="L23" i="20"/>
  <c r="O23" i="20"/>
  <c r="S23" i="20"/>
  <c r="T23" i="20" s="1"/>
  <c r="L38" i="20"/>
  <c r="O38" i="20"/>
  <c r="S38" i="20"/>
  <c r="T38" i="20" s="1"/>
  <c r="T59" i="20"/>
  <c r="L59" i="20"/>
  <c r="O59" i="20"/>
  <c r="S59" i="20"/>
  <c r="L78" i="20"/>
  <c r="O78" i="20"/>
  <c r="S78" i="20"/>
  <c r="T78" i="20" s="1"/>
  <c r="L17" i="20"/>
  <c r="O17" i="20"/>
  <c r="S17" i="20"/>
  <c r="T17" i="20" s="1"/>
  <c r="L37" i="20"/>
  <c r="S37" i="20"/>
  <c r="T37" i="20" s="1"/>
  <c r="O37" i="20"/>
  <c r="L67" i="20"/>
  <c r="S67" i="20"/>
  <c r="T67" i="20" s="1"/>
  <c r="O67" i="20"/>
  <c r="L8" i="20"/>
  <c r="O8" i="20"/>
  <c r="S8" i="20"/>
  <c r="T8" i="20" s="1"/>
  <c r="L14" i="20"/>
  <c r="O14" i="20"/>
  <c r="S14" i="20"/>
  <c r="T14" i="20" s="1"/>
  <c r="L20" i="20"/>
  <c r="O20" i="20"/>
  <c r="S20" i="20"/>
  <c r="T20" i="20" s="1"/>
  <c r="L27" i="20"/>
  <c r="O27" i="20"/>
  <c r="S27" i="20"/>
  <c r="T27" i="20" s="1"/>
  <c r="L33" i="20"/>
  <c r="O33" i="20"/>
  <c r="S33" i="20"/>
  <c r="T33" i="20" s="1"/>
  <c r="L41" i="20"/>
  <c r="O41" i="20"/>
  <c r="S41" i="20"/>
  <c r="T41" i="20" s="1"/>
  <c r="L35" i="20"/>
  <c r="O35" i="20"/>
  <c r="S35" i="20"/>
  <c r="T35" i="20" s="1"/>
  <c r="L48" i="20"/>
  <c r="S48" i="20"/>
  <c r="T48" i="20" s="1"/>
  <c r="O48" i="20"/>
  <c r="L56" i="20"/>
  <c r="O56" i="20"/>
  <c r="S56" i="20"/>
  <c r="T56" i="20" s="1"/>
  <c r="L63" i="20"/>
  <c r="O63" i="20"/>
  <c r="S63" i="20"/>
  <c r="T63" i="20" s="1"/>
  <c r="L69" i="20"/>
  <c r="S69" i="20"/>
  <c r="T69" i="20" s="1"/>
  <c r="O69" i="20"/>
  <c r="L75" i="20"/>
  <c r="O75" i="20"/>
  <c r="S75" i="20"/>
  <c r="T75" i="20" s="1"/>
  <c r="T81" i="20"/>
  <c r="L81" i="20"/>
  <c r="O81" i="20"/>
  <c r="S81" i="20"/>
  <c r="L54" i="20"/>
  <c r="S54" i="20"/>
  <c r="T54" i="20" s="1"/>
  <c r="O54" i="20"/>
  <c r="L18" i="20"/>
  <c r="S18" i="20"/>
  <c r="T18" i="20" s="1"/>
  <c r="O18" i="20"/>
  <c r="L30" i="20"/>
  <c r="S30" i="20"/>
  <c r="T30" i="20" s="1"/>
  <c r="O30" i="20"/>
  <c r="L44" i="20"/>
  <c r="O44" i="20"/>
  <c r="S44" i="20"/>
  <c r="T44" i="20" s="1"/>
  <c r="L51" i="20"/>
  <c r="O51" i="20"/>
  <c r="S51" i="20"/>
  <c r="T51" i="20" s="1"/>
  <c r="L60" i="20"/>
  <c r="S60" i="20"/>
  <c r="T60" i="20" s="1"/>
  <c r="O60" i="20"/>
  <c r="L72" i="20"/>
  <c r="S72" i="20"/>
  <c r="T72" i="20" s="1"/>
  <c r="O72" i="20"/>
  <c r="L6" i="20"/>
  <c r="S6" i="20"/>
  <c r="T6" i="20" s="1"/>
  <c r="O6" i="20"/>
  <c r="L31" i="20"/>
  <c r="S31" i="20"/>
  <c r="T31" i="20" s="1"/>
  <c r="O31" i="20"/>
  <c r="L58" i="20"/>
  <c r="S58" i="20"/>
  <c r="T58" i="20" s="1"/>
  <c r="O58" i="20"/>
  <c r="L77" i="20"/>
  <c r="O77" i="20"/>
  <c r="S77" i="20"/>
  <c r="T77" i="20" s="1"/>
  <c r="L9" i="20"/>
  <c r="O9" i="20"/>
  <c r="S9" i="20"/>
  <c r="T9" i="20" s="1"/>
  <c r="L15" i="20"/>
  <c r="S15" i="20"/>
  <c r="T15" i="20" s="1"/>
  <c r="O15" i="20"/>
  <c r="L21" i="20"/>
  <c r="O21" i="20"/>
  <c r="S21" i="20"/>
  <c r="T21" i="20" s="1"/>
  <c r="L26" i="20"/>
  <c r="O26" i="20"/>
  <c r="S26" i="20"/>
  <c r="T26" i="20" s="1"/>
  <c r="L34" i="20"/>
  <c r="S34" i="20"/>
  <c r="T34" i="20" s="1"/>
  <c r="O34" i="20"/>
  <c r="L40" i="20"/>
  <c r="S40" i="20"/>
  <c r="T40" i="20" s="1"/>
  <c r="O40" i="20"/>
  <c r="L53" i="20"/>
  <c r="O53" i="20"/>
  <c r="S53" i="20"/>
  <c r="T53" i="20" s="1"/>
  <c r="L47" i="20"/>
  <c r="O47" i="20"/>
  <c r="S47" i="20"/>
  <c r="T47" i="20" s="1"/>
  <c r="L55" i="20"/>
  <c r="S55" i="20"/>
  <c r="T55" i="20" s="1"/>
  <c r="O55" i="20"/>
  <c r="L64" i="20"/>
  <c r="S64" i="20"/>
  <c r="T64" i="20" s="1"/>
  <c r="O64" i="20"/>
  <c r="L80" i="20"/>
  <c r="O80" i="20"/>
  <c r="S80" i="20"/>
  <c r="T80" i="20" s="1"/>
  <c r="L74" i="20"/>
  <c r="O74" i="20"/>
  <c r="S74" i="20"/>
  <c r="T74" i="20" s="1"/>
  <c r="L13" i="24"/>
  <c r="S13" i="24"/>
  <c r="T13" i="24" s="1"/>
  <c r="O13" i="24"/>
  <c r="L27" i="24"/>
  <c r="O27" i="24"/>
  <c r="S27" i="24"/>
  <c r="T27" i="24" s="1"/>
  <c r="L39" i="24"/>
  <c r="O39" i="24"/>
  <c r="S39" i="24"/>
  <c r="T39" i="24" s="1"/>
  <c r="L45" i="24"/>
  <c r="O45" i="24"/>
  <c r="S45" i="24"/>
  <c r="T45" i="24" s="1"/>
  <c r="L52" i="24"/>
  <c r="S52" i="24"/>
  <c r="T52" i="24" s="1"/>
  <c r="O52" i="24"/>
  <c r="L61" i="24"/>
  <c r="O61" i="24"/>
  <c r="S61" i="24"/>
  <c r="T61" i="24" s="1"/>
  <c r="L80" i="24"/>
  <c r="O80" i="24"/>
  <c r="S80" i="24"/>
  <c r="T80" i="24" s="1"/>
  <c r="L16" i="24"/>
  <c r="S16" i="24"/>
  <c r="T16" i="24" s="1"/>
  <c r="O16" i="24"/>
  <c r="L34" i="24"/>
  <c r="O34" i="24"/>
  <c r="S34" i="24"/>
  <c r="T34" i="24" s="1"/>
  <c r="L57" i="24"/>
  <c r="O57" i="24"/>
  <c r="S57" i="24"/>
  <c r="T57" i="24" s="1"/>
  <c r="L66" i="24"/>
  <c r="S66" i="24"/>
  <c r="T66" i="24" s="1"/>
  <c r="O66" i="24"/>
  <c r="L74" i="24"/>
  <c r="S74" i="24"/>
  <c r="T74" i="24" s="1"/>
  <c r="O74" i="24"/>
  <c r="L17" i="24"/>
  <c r="S17" i="24"/>
  <c r="T17" i="24" s="1"/>
  <c r="O17" i="24"/>
  <c r="L23" i="24"/>
  <c r="S23" i="24"/>
  <c r="T23" i="24" s="1"/>
  <c r="O23" i="24"/>
  <c r="L29" i="24"/>
  <c r="S29" i="24"/>
  <c r="T29" i="24" s="1"/>
  <c r="O29" i="24"/>
  <c r="L37" i="24"/>
  <c r="O37" i="24"/>
  <c r="S37" i="24"/>
  <c r="T37" i="24" s="1"/>
  <c r="L41" i="24"/>
  <c r="S41" i="24"/>
  <c r="T41" i="24" s="1"/>
  <c r="O41" i="24"/>
  <c r="L47" i="24"/>
  <c r="S47" i="24"/>
  <c r="T47" i="24" s="1"/>
  <c r="O47" i="24"/>
  <c r="L50" i="24"/>
  <c r="S50" i="24"/>
  <c r="T50" i="24" s="1"/>
  <c r="O50" i="24"/>
  <c r="L65" i="24"/>
  <c r="S65" i="24"/>
  <c r="T65" i="24" s="1"/>
  <c r="O65" i="24"/>
  <c r="L79" i="24"/>
  <c r="O79" i="24"/>
  <c r="S79" i="24"/>
  <c r="T79" i="24" s="1"/>
  <c r="L73" i="24"/>
  <c r="O73" i="24"/>
  <c r="S73" i="24"/>
  <c r="T73" i="24" s="1"/>
  <c r="L4" i="24"/>
  <c r="S4" i="24"/>
  <c r="K82" i="24"/>
  <c r="O82" i="24" s="1"/>
  <c r="O4" i="24"/>
  <c r="K83" i="24"/>
  <c r="L10" i="24"/>
  <c r="S10" i="24"/>
  <c r="T10" i="24" s="1"/>
  <c r="O10" i="24"/>
  <c r="L18" i="24"/>
  <c r="S18" i="24"/>
  <c r="T18" i="24" s="1"/>
  <c r="O18" i="24"/>
  <c r="L24" i="24"/>
  <c r="S24" i="24"/>
  <c r="T24" i="24" s="1"/>
  <c r="O24" i="24"/>
  <c r="L30" i="24"/>
  <c r="S30" i="24"/>
  <c r="T30" i="24" s="1"/>
  <c r="O30" i="24"/>
  <c r="L36" i="24"/>
  <c r="S36" i="24"/>
  <c r="T36" i="24" s="1"/>
  <c r="O36" i="24"/>
  <c r="L42" i="24"/>
  <c r="S42" i="24"/>
  <c r="T42" i="24" s="1"/>
  <c r="O42" i="24"/>
  <c r="L48" i="24"/>
  <c r="S48" i="24"/>
  <c r="T48" i="24" s="1"/>
  <c r="O48" i="24"/>
  <c r="L55" i="24"/>
  <c r="O55" i="24"/>
  <c r="S55" i="24"/>
  <c r="T55" i="24" s="1"/>
  <c r="L70" i="24"/>
  <c r="S70" i="24"/>
  <c r="T70" i="24" s="1"/>
  <c r="O70" i="24"/>
  <c r="L64" i="24"/>
  <c r="S64" i="24"/>
  <c r="T64" i="24" s="1"/>
  <c r="O64" i="24"/>
  <c r="L78" i="24"/>
  <c r="S78" i="24"/>
  <c r="T78" i="24" s="1"/>
  <c r="O78" i="24"/>
  <c r="L72" i="24"/>
  <c r="S72" i="24"/>
  <c r="T72" i="24" s="1"/>
  <c r="O72" i="24"/>
  <c r="L7" i="24"/>
  <c r="O7" i="24"/>
  <c r="S7" i="24"/>
  <c r="T7" i="24" s="1"/>
  <c r="L21" i="24"/>
  <c r="O21" i="24"/>
  <c r="S21" i="24"/>
  <c r="T21" i="24" s="1"/>
  <c r="L33" i="24"/>
  <c r="O33" i="24"/>
  <c r="S33" i="24"/>
  <c r="T33" i="24" s="1"/>
  <c r="L58" i="24"/>
  <c r="S58" i="24"/>
  <c r="T58" i="24" s="1"/>
  <c r="O58" i="24"/>
  <c r="L67" i="24"/>
  <c r="S67" i="24"/>
  <c r="T67" i="24" s="1"/>
  <c r="O67" i="24"/>
  <c r="L75" i="24"/>
  <c r="O75" i="24"/>
  <c r="S75" i="24"/>
  <c r="T75" i="24" s="1"/>
  <c r="L8" i="24"/>
  <c r="O8" i="24"/>
  <c r="S8" i="24"/>
  <c r="T8" i="24" s="1"/>
  <c r="L22" i="24"/>
  <c r="S22" i="24"/>
  <c r="T22" i="24" s="1"/>
  <c r="O22" i="24"/>
  <c r="L28" i="24"/>
  <c r="S28" i="24"/>
  <c r="T28" i="24" s="1"/>
  <c r="O28" i="24"/>
  <c r="L40" i="24"/>
  <c r="S40" i="24"/>
  <c r="T40" i="24" s="1"/>
  <c r="O40" i="24"/>
  <c r="L46" i="24"/>
  <c r="S46" i="24"/>
  <c r="T46" i="24" s="1"/>
  <c r="O46" i="24"/>
  <c r="L51" i="24"/>
  <c r="O51" i="24"/>
  <c r="S51" i="24"/>
  <c r="T51" i="24" s="1"/>
  <c r="L60" i="24"/>
  <c r="S60" i="24"/>
  <c r="T60" i="24" s="1"/>
  <c r="O60" i="24"/>
  <c r="L9" i="24"/>
  <c r="O9" i="24"/>
  <c r="S9" i="24"/>
  <c r="T9" i="24" s="1"/>
  <c r="L56" i="24"/>
  <c r="S56" i="24"/>
  <c r="O56" i="24"/>
  <c r="L5" i="24"/>
  <c r="S5" i="24"/>
  <c r="T5" i="24" s="1"/>
  <c r="O5" i="24"/>
  <c r="L12" i="24"/>
  <c r="S12" i="24"/>
  <c r="T12" i="24" s="1"/>
  <c r="O12" i="24"/>
  <c r="L19" i="24"/>
  <c r="O19" i="24"/>
  <c r="S19" i="24"/>
  <c r="T19" i="24" s="1"/>
  <c r="T25" i="24"/>
  <c r="L25" i="24"/>
  <c r="S25" i="24"/>
  <c r="O25" i="24"/>
  <c r="L31" i="24"/>
  <c r="O31" i="24"/>
  <c r="S31" i="24"/>
  <c r="T31" i="24" s="1"/>
  <c r="L35" i="24"/>
  <c r="S35" i="24"/>
  <c r="T35" i="24" s="1"/>
  <c r="O35" i="24"/>
  <c r="L43" i="24"/>
  <c r="O43" i="24"/>
  <c r="S43" i="24"/>
  <c r="T43" i="24" s="1"/>
  <c r="L49" i="24"/>
  <c r="S49" i="24"/>
  <c r="T49" i="24" s="1"/>
  <c r="O49" i="24"/>
  <c r="L54" i="24"/>
  <c r="S54" i="24"/>
  <c r="T54" i="24" s="1"/>
  <c r="O54" i="24"/>
  <c r="L69" i="24"/>
  <c r="O69" i="24"/>
  <c r="S69" i="24"/>
  <c r="L63" i="24"/>
  <c r="O63" i="24"/>
  <c r="S63" i="24"/>
  <c r="T63" i="24" s="1"/>
  <c r="L77" i="24"/>
  <c r="S77" i="24"/>
  <c r="T77" i="24" s="1"/>
  <c r="O77" i="24"/>
  <c r="L71" i="24"/>
  <c r="S71" i="24"/>
  <c r="T71" i="24" s="1"/>
  <c r="O71" i="24"/>
  <c r="L6" i="24"/>
  <c r="S6" i="24"/>
  <c r="T6" i="24" s="1"/>
  <c r="O6" i="24"/>
  <c r="L11" i="24"/>
  <c r="S11" i="24"/>
  <c r="T11" i="24" s="1"/>
  <c r="O11" i="24"/>
  <c r="L20" i="24"/>
  <c r="S20" i="24"/>
  <c r="T20" i="24" s="1"/>
  <c r="O20" i="24"/>
  <c r="L26" i="24"/>
  <c r="S26" i="24"/>
  <c r="T26" i="24" s="1"/>
  <c r="O26" i="24"/>
  <c r="L32" i="24"/>
  <c r="S32" i="24"/>
  <c r="T32" i="24" s="1"/>
  <c r="O32" i="24"/>
  <c r="L38" i="24"/>
  <c r="O38" i="24"/>
  <c r="S38" i="24"/>
  <c r="T38" i="24" s="1"/>
  <c r="L44" i="24"/>
  <c r="S44" i="24"/>
  <c r="T44" i="24" s="1"/>
  <c r="O44" i="24"/>
  <c r="L59" i="24"/>
  <c r="S59" i="24"/>
  <c r="T59" i="24" s="1"/>
  <c r="O59" i="24"/>
  <c r="L53" i="24"/>
  <c r="S53" i="24"/>
  <c r="T53" i="24" s="1"/>
  <c r="O53" i="24"/>
  <c r="L68" i="24"/>
  <c r="O68" i="24"/>
  <c r="S68" i="24"/>
  <c r="T68" i="24" s="1"/>
  <c r="L62" i="24"/>
  <c r="S62" i="24"/>
  <c r="T62" i="24" s="1"/>
  <c r="O62" i="24"/>
  <c r="L76" i="24"/>
  <c r="O76" i="24"/>
  <c r="S76" i="24"/>
  <c r="T76" i="24" s="1"/>
  <c r="L81" i="24"/>
  <c r="O81" i="24"/>
  <c r="S81" i="24"/>
  <c r="T81" i="24" s="1"/>
  <c r="L8" i="1"/>
  <c r="O8" i="1"/>
  <c r="L46" i="1"/>
  <c r="O46" i="1"/>
  <c r="L22" i="1"/>
  <c r="O22" i="1"/>
  <c r="L47" i="1"/>
  <c r="O47" i="1"/>
  <c r="L74" i="1"/>
  <c r="O74" i="1"/>
  <c r="T74" i="1"/>
  <c r="L15" i="1"/>
  <c r="M15" i="14" s="1"/>
  <c r="O15" i="1"/>
  <c r="L39" i="1"/>
  <c r="O39" i="1"/>
  <c r="L73" i="1"/>
  <c r="T73" i="1"/>
  <c r="O73" i="1"/>
  <c r="L5" i="1"/>
  <c r="O5" i="1"/>
  <c r="L16" i="1"/>
  <c r="O16" i="1"/>
  <c r="L6" i="1"/>
  <c r="O6" i="1"/>
  <c r="L19" i="1"/>
  <c r="O19" i="1"/>
  <c r="L27" i="1"/>
  <c r="O27" i="1"/>
  <c r="L34" i="1"/>
  <c r="O34" i="1"/>
  <c r="L43" i="1"/>
  <c r="O43" i="1"/>
  <c r="L55" i="1"/>
  <c r="O55" i="1"/>
  <c r="T55" i="1"/>
  <c r="L71" i="1"/>
  <c r="O71" i="1"/>
  <c r="T71" i="1"/>
  <c r="L63" i="1"/>
  <c r="O63" i="1"/>
  <c r="T63" i="1"/>
  <c r="L77" i="1"/>
  <c r="T77" i="1"/>
  <c r="O77" i="1"/>
  <c r="L7" i="1"/>
  <c r="O7" i="1"/>
  <c r="L20" i="1"/>
  <c r="O20" i="1"/>
  <c r="L28" i="1"/>
  <c r="O28" i="1"/>
  <c r="L33" i="1"/>
  <c r="O33" i="1"/>
  <c r="L45" i="1"/>
  <c r="O45" i="1"/>
  <c r="L54" i="1"/>
  <c r="T54" i="1"/>
  <c r="O54" i="1"/>
  <c r="L70" i="1"/>
  <c r="O70" i="1"/>
  <c r="T70" i="1"/>
  <c r="L62" i="1"/>
  <c r="T62" i="1"/>
  <c r="O62" i="1"/>
  <c r="L76" i="1"/>
  <c r="T76" i="1"/>
  <c r="O76" i="1"/>
  <c r="L75" i="1"/>
  <c r="T75" i="1"/>
  <c r="O75" i="1"/>
  <c r="L32" i="1"/>
  <c r="O32" i="1"/>
  <c r="L61" i="1"/>
  <c r="T61" i="1"/>
  <c r="O61" i="1"/>
  <c r="L14" i="1"/>
  <c r="O14" i="1"/>
  <c r="L30" i="1"/>
  <c r="O30" i="1"/>
  <c r="L38" i="1"/>
  <c r="O38" i="1"/>
  <c r="L68" i="1"/>
  <c r="T68" i="1"/>
  <c r="O68" i="1"/>
  <c r="L60" i="1"/>
  <c r="T60" i="1"/>
  <c r="O60" i="1"/>
  <c r="L18" i="1"/>
  <c r="O18" i="1"/>
  <c r="L24" i="1"/>
  <c r="O24" i="1"/>
  <c r="L37" i="1"/>
  <c r="O37" i="1"/>
  <c r="L40" i="1"/>
  <c r="O40" i="1"/>
  <c r="L58" i="1"/>
  <c r="O58" i="1"/>
  <c r="T58" i="1"/>
  <c r="L50" i="1"/>
  <c r="O50" i="1"/>
  <c r="L66" i="1"/>
  <c r="O66" i="1"/>
  <c r="T66" i="1"/>
  <c r="L80" i="1"/>
  <c r="T80" i="1"/>
  <c r="O80" i="1"/>
  <c r="L72" i="1"/>
  <c r="T72" i="1"/>
  <c r="O72" i="1"/>
  <c r="L29" i="1"/>
  <c r="O29" i="1"/>
  <c r="L69" i="1"/>
  <c r="O69" i="1"/>
  <c r="L52" i="1"/>
  <c r="O52" i="1"/>
  <c r="L81" i="1"/>
  <c r="O81" i="1"/>
  <c r="K82" i="1"/>
  <c r="L4" i="1"/>
  <c r="O4" i="1"/>
  <c r="K83" i="1"/>
  <c r="L17" i="1"/>
  <c r="O17" i="1"/>
  <c r="L25" i="1"/>
  <c r="O25" i="1"/>
  <c r="L36" i="1"/>
  <c r="O36" i="1"/>
  <c r="L41" i="1"/>
  <c r="O41" i="1"/>
  <c r="L57" i="1"/>
  <c r="T57" i="1"/>
  <c r="O57" i="1"/>
  <c r="L49" i="1"/>
  <c r="O49" i="1"/>
  <c r="L65" i="1"/>
  <c r="T65" i="1"/>
  <c r="O65" i="1"/>
  <c r="L79" i="1"/>
  <c r="O79" i="1"/>
  <c r="T79" i="1"/>
  <c r="L21" i="1"/>
  <c r="O21" i="1"/>
  <c r="L53" i="1"/>
  <c r="T53" i="1"/>
  <c r="O53" i="1"/>
  <c r="L23" i="1"/>
  <c r="O23" i="1"/>
  <c r="L31" i="1"/>
  <c r="O31" i="1"/>
  <c r="L59" i="1"/>
  <c r="T59" i="1"/>
  <c r="O59" i="1"/>
  <c r="L67" i="1"/>
  <c r="O67" i="1"/>
  <c r="L26" i="1"/>
  <c r="O26" i="1"/>
  <c r="L35" i="1"/>
  <c r="O35" i="1"/>
  <c r="L42" i="1"/>
  <c r="O42" i="1"/>
  <c r="L56" i="1"/>
  <c r="O56" i="1"/>
  <c r="L48" i="1"/>
  <c r="O48" i="1"/>
  <c r="L64" i="1"/>
  <c r="T64" i="1"/>
  <c r="O64" i="1"/>
  <c r="L78" i="1"/>
  <c r="T78" i="1"/>
  <c r="O78" i="1"/>
  <c r="L51" i="1"/>
  <c r="O51" i="1"/>
  <c r="T24" i="19"/>
  <c r="O24" i="19"/>
  <c r="O45" i="19"/>
  <c r="T50" i="19"/>
  <c r="O50" i="19"/>
  <c r="O70" i="19"/>
  <c r="O6" i="19"/>
  <c r="T6" i="19"/>
  <c r="O38" i="19"/>
  <c r="T38" i="19"/>
  <c r="O73" i="19"/>
  <c r="O36" i="19"/>
  <c r="T4" i="19"/>
  <c r="K82" i="19"/>
  <c r="O82" i="19" s="1"/>
  <c r="O4" i="19"/>
  <c r="K83" i="19"/>
  <c r="T12" i="19"/>
  <c r="O12" i="19"/>
  <c r="O22" i="19"/>
  <c r="T22" i="19"/>
  <c r="O30" i="19"/>
  <c r="O40" i="19"/>
  <c r="T40" i="19"/>
  <c r="O47" i="19"/>
  <c r="T47" i="19"/>
  <c r="O54" i="19"/>
  <c r="T54" i="19"/>
  <c r="T62" i="19"/>
  <c r="O62" i="19"/>
  <c r="O75" i="19"/>
  <c r="T75" i="19"/>
  <c r="O5" i="19"/>
  <c r="O11" i="19"/>
  <c r="O23" i="19"/>
  <c r="T23" i="19"/>
  <c r="O31" i="19"/>
  <c r="T31" i="19"/>
  <c r="O39" i="19"/>
  <c r="O46" i="19"/>
  <c r="O55" i="19"/>
  <c r="T55" i="19"/>
  <c r="O69" i="19"/>
  <c r="T69" i="19"/>
  <c r="O61" i="19"/>
  <c r="T74" i="19"/>
  <c r="O74" i="19"/>
  <c r="O7" i="19"/>
  <c r="T17" i="19"/>
  <c r="O17" i="19"/>
  <c r="T25" i="19"/>
  <c r="O25" i="19"/>
  <c r="T33" i="19"/>
  <c r="O33" i="19"/>
  <c r="O37" i="19"/>
  <c r="T49" i="19"/>
  <c r="O49" i="19"/>
  <c r="T57" i="19"/>
  <c r="O57" i="19"/>
  <c r="O67" i="19"/>
  <c r="T67" i="19"/>
  <c r="O80" i="19"/>
  <c r="T80" i="19"/>
  <c r="O72" i="19"/>
  <c r="T72" i="19"/>
  <c r="T68" i="19"/>
  <c r="O68" i="19"/>
  <c r="T18" i="19"/>
  <c r="O18" i="19"/>
  <c r="O79" i="19"/>
  <c r="T79" i="19"/>
  <c r="O16" i="19"/>
  <c r="O56" i="19"/>
  <c r="T56" i="19"/>
  <c r="O8" i="19"/>
  <c r="T8" i="19"/>
  <c r="T26" i="19"/>
  <c r="O26" i="19"/>
  <c r="O44" i="19"/>
  <c r="T58" i="19"/>
  <c r="O58" i="19"/>
  <c r="O19" i="19"/>
  <c r="O27" i="19"/>
  <c r="O35" i="19"/>
  <c r="T35" i="19"/>
  <c r="O51" i="19"/>
  <c r="T51" i="19"/>
  <c r="O59" i="19"/>
  <c r="T59" i="19"/>
  <c r="T65" i="19"/>
  <c r="O65" i="19"/>
  <c r="O78" i="19"/>
  <c r="T78" i="19"/>
  <c r="O14" i="19"/>
  <c r="T14" i="19"/>
  <c r="T20" i="19"/>
  <c r="O20" i="19"/>
  <c r="T28" i="19"/>
  <c r="O28" i="19"/>
  <c r="O42" i="19"/>
  <c r="T34" i="19"/>
  <c r="O34" i="19"/>
  <c r="T52" i="19"/>
  <c r="O52" i="19"/>
  <c r="T60" i="19"/>
  <c r="O60" i="19"/>
  <c r="O64" i="19"/>
  <c r="O77" i="19"/>
  <c r="T77" i="19"/>
  <c r="O32" i="19"/>
  <c r="T32" i="19"/>
  <c r="T81" i="19"/>
  <c r="O81" i="19"/>
  <c r="T66" i="19"/>
  <c r="O66" i="19"/>
  <c r="T10" i="19"/>
  <c r="O10" i="19"/>
  <c r="O43" i="19"/>
  <c r="T43" i="19"/>
  <c r="O13" i="19"/>
  <c r="T13" i="19"/>
  <c r="O21" i="19"/>
  <c r="O29" i="19"/>
  <c r="T29" i="19"/>
  <c r="T41" i="19"/>
  <c r="O41" i="19"/>
  <c r="O48" i="19"/>
  <c r="T48" i="19"/>
  <c r="O53" i="19"/>
  <c r="O71" i="19"/>
  <c r="T71" i="19"/>
  <c r="O63" i="19"/>
  <c r="T63" i="19"/>
  <c r="T76" i="19"/>
  <c r="O76" i="19"/>
  <c r="O69" i="25"/>
  <c r="O10" i="25"/>
  <c r="O18" i="25"/>
  <c r="O26" i="25"/>
  <c r="T26" i="25"/>
  <c r="T35" i="25"/>
  <c r="O35" i="25"/>
  <c r="O40" i="25"/>
  <c r="O46" i="25"/>
  <c r="O54" i="25"/>
  <c r="T62" i="25"/>
  <c r="O62" i="25"/>
  <c r="O75" i="25"/>
  <c r="O11" i="25"/>
  <c r="T19" i="25"/>
  <c r="O19" i="25"/>
  <c r="O27" i="25"/>
  <c r="O36" i="25"/>
  <c r="T36" i="25"/>
  <c r="T39" i="25"/>
  <c r="O39" i="25"/>
  <c r="O45" i="25"/>
  <c r="O53" i="25"/>
  <c r="O61" i="25"/>
  <c r="O76" i="25"/>
  <c r="O52" i="25"/>
  <c r="T52" i="25"/>
  <c r="K82" i="25"/>
  <c r="L4" i="14"/>
  <c r="K83" i="25"/>
  <c r="O4" i="25"/>
  <c r="T4" i="25"/>
  <c r="T13" i="25"/>
  <c r="O13" i="25"/>
  <c r="O21" i="25"/>
  <c r="T21" i="25"/>
  <c r="T30" i="25"/>
  <c r="O30" i="25"/>
  <c r="T38" i="25"/>
  <c r="O38" i="25"/>
  <c r="O51" i="25"/>
  <c r="T59" i="25"/>
  <c r="O59" i="25"/>
  <c r="T67" i="25"/>
  <c r="O67" i="25"/>
  <c r="O70" i="25"/>
  <c r="O78" i="25"/>
  <c r="T29" i="25"/>
  <c r="O29" i="25"/>
  <c r="O68" i="25"/>
  <c r="T5" i="25"/>
  <c r="O5" i="25"/>
  <c r="T14" i="25"/>
  <c r="O14" i="25"/>
  <c r="O22" i="25"/>
  <c r="T31" i="25"/>
  <c r="O31" i="25"/>
  <c r="O44" i="25"/>
  <c r="T44" i="25"/>
  <c r="O50" i="25"/>
  <c r="T50" i="25"/>
  <c r="O58" i="25"/>
  <c r="O66" i="25"/>
  <c r="T71" i="25"/>
  <c r="O71" i="25"/>
  <c r="T79" i="25"/>
  <c r="O79" i="25"/>
  <c r="T6" i="25"/>
  <c r="O6" i="25"/>
  <c r="T15" i="25"/>
  <c r="O15" i="25"/>
  <c r="T24" i="25"/>
  <c r="O24" i="25"/>
  <c r="O33" i="25"/>
  <c r="T43" i="25"/>
  <c r="O43" i="25"/>
  <c r="O49" i="25"/>
  <c r="T49" i="25"/>
  <c r="O57" i="25"/>
  <c r="O65" i="25"/>
  <c r="O81" i="25"/>
  <c r="O12" i="25"/>
  <c r="T12" i="25"/>
  <c r="O37" i="25"/>
  <c r="O77" i="25"/>
  <c r="O8" i="25"/>
  <c r="T8" i="25"/>
  <c r="O16" i="25"/>
  <c r="T23" i="25"/>
  <c r="O23" i="25"/>
  <c r="O32" i="25"/>
  <c r="O42" i="25"/>
  <c r="O48" i="25"/>
  <c r="T48" i="25"/>
  <c r="O56" i="25"/>
  <c r="O64" i="25"/>
  <c r="T64" i="25"/>
  <c r="O73" i="25"/>
  <c r="T73" i="25"/>
  <c r="O80" i="25"/>
  <c r="O20" i="25"/>
  <c r="O60" i="25"/>
  <c r="O72" i="25"/>
  <c r="T72" i="25"/>
  <c r="O9" i="25"/>
  <c r="O17" i="25"/>
  <c r="T17" i="25"/>
  <c r="O25" i="25"/>
  <c r="T25" i="25"/>
  <c r="O34" i="25"/>
  <c r="T34" i="25"/>
  <c r="O41" i="25"/>
  <c r="O47" i="25"/>
  <c r="O55" i="25"/>
  <c r="L63" i="14"/>
  <c r="O63" i="25"/>
  <c r="O74" i="25"/>
  <c r="T74" i="25"/>
  <c r="T68" i="25"/>
  <c r="T81" i="25"/>
  <c r="T33" i="25"/>
  <c r="T46" i="25"/>
  <c r="T56" i="25"/>
  <c r="T66" i="25"/>
  <c r="T75" i="25"/>
  <c r="T80" i="25"/>
  <c r="T47" i="25"/>
  <c r="T10" i="25"/>
  <c r="T16" i="25"/>
  <c r="T28" i="25"/>
  <c r="T45" i="25"/>
  <c r="T55" i="25"/>
  <c r="T65" i="25"/>
  <c r="T70" i="25"/>
  <c r="T76" i="25"/>
  <c r="T60" i="25"/>
  <c r="T45" i="18"/>
  <c r="T11" i="18"/>
  <c r="T5" i="18"/>
  <c r="T17" i="18"/>
  <c r="T32" i="18"/>
  <c r="T59" i="18"/>
  <c r="T53" i="18"/>
  <c r="T70" i="18"/>
  <c r="T80" i="18"/>
  <c r="T74" i="18"/>
  <c r="T24" i="18"/>
  <c r="T43" i="18"/>
  <c r="T34" i="18"/>
  <c r="T72" i="18"/>
  <c r="T76" i="18"/>
  <c r="T7" i="18"/>
  <c r="T38" i="18"/>
  <c r="T46" i="18"/>
  <c r="T22" i="18"/>
  <c r="T63" i="18"/>
  <c r="T73" i="18"/>
  <c r="T9" i="18"/>
  <c r="T21" i="18"/>
  <c r="T36" i="18"/>
  <c r="T57" i="18"/>
  <c r="T51" i="18"/>
  <c r="T68" i="18"/>
  <c r="T62" i="18"/>
  <c r="T78" i="18"/>
  <c r="T26" i="18"/>
  <c r="T47" i="18"/>
  <c r="T55" i="18"/>
  <c r="T66" i="18"/>
  <c r="T60" i="18"/>
  <c r="T19" i="18"/>
  <c r="T16" i="18"/>
  <c r="T37" i="18"/>
  <c r="T58" i="18"/>
  <c r="T48" i="18"/>
  <c r="T23" i="18"/>
  <c r="T8" i="18"/>
  <c r="T35" i="18"/>
  <c r="T67" i="18"/>
  <c r="T77" i="18"/>
  <c r="T28" i="18"/>
  <c r="T44" i="18"/>
  <c r="T12" i="18"/>
  <c r="T6" i="18"/>
  <c r="T18" i="18"/>
  <c r="T27" i="18"/>
  <c r="T33" i="18"/>
  <c r="T54" i="18"/>
  <c r="T71" i="18"/>
  <c r="T65" i="18"/>
  <c r="T81" i="18"/>
  <c r="T81" i="1"/>
  <c r="K17" i="14"/>
  <c r="N17" i="14" s="1"/>
  <c r="K71" i="14"/>
  <c r="N71" i="14" s="1"/>
  <c r="K50" i="14"/>
  <c r="N50" i="14" s="1"/>
  <c r="K14" i="14"/>
  <c r="N14" i="14" s="1"/>
  <c r="K61" i="14"/>
  <c r="N61" i="14" s="1"/>
  <c r="K35" i="14"/>
  <c r="N35" i="14" s="1"/>
  <c r="K23" i="14"/>
  <c r="N23" i="14" s="1"/>
  <c r="K20" i="14"/>
  <c r="N20" i="14" s="1"/>
  <c r="K48" i="14"/>
  <c r="N48" i="14" s="1"/>
  <c r="K8" i="14"/>
  <c r="N8" i="14" s="1"/>
  <c r="K25" i="14"/>
  <c r="N25" i="14" s="1"/>
  <c r="K32" i="14"/>
  <c r="N32" i="14" s="1"/>
  <c r="K51" i="14"/>
  <c r="N51" i="14" s="1"/>
  <c r="K69" i="14"/>
  <c r="N69" i="14" s="1"/>
  <c r="K13" i="14"/>
  <c r="N13" i="14" s="1"/>
  <c r="K33" i="14"/>
  <c r="N33" i="14" s="1"/>
  <c r="K70" i="14"/>
  <c r="N70" i="14" s="1"/>
  <c r="K37" i="14"/>
  <c r="N37" i="14" s="1"/>
  <c r="K78" i="14"/>
  <c r="N78" i="14" s="1"/>
  <c r="K21" i="14"/>
  <c r="N21" i="14" s="1"/>
  <c r="K34" i="14"/>
  <c r="N34" i="14" s="1"/>
  <c r="K59" i="14"/>
  <c r="N59" i="14" s="1"/>
  <c r="K10" i="14"/>
  <c r="N10" i="14" s="1"/>
  <c r="K29" i="14"/>
  <c r="N29" i="14" s="1"/>
  <c r="K80" i="14"/>
  <c r="N80" i="14" s="1"/>
  <c r="K36" i="14"/>
  <c r="N36" i="14" s="1"/>
  <c r="K30" i="14"/>
  <c r="N30" i="14" s="1"/>
  <c r="K42" i="14"/>
  <c r="N42" i="14" s="1"/>
  <c r="K7" i="14"/>
  <c r="N7" i="14" s="1"/>
  <c r="K24" i="14"/>
  <c r="N24" i="14" s="1"/>
  <c r="K45" i="14"/>
  <c r="N45" i="14" s="1"/>
  <c r="K43" i="14"/>
  <c r="N43" i="14" s="1"/>
  <c r="K46" i="14"/>
  <c r="N46" i="14" s="1"/>
  <c r="K49" i="14"/>
  <c r="N49" i="14" s="1"/>
  <c r="T13" i="18"/>
  <c r="K72" i="14"/>
  <c r="N72" i="14" s="1"/>
  <c r="K18" i="14"/>
  <c r="N18" i="14" s="1"/>
  <c r="K22" i="14"/>
  <c r="N22" i="14" s="1"/>
  <c r="K60" i="14"/>
  <c r="N60" i="14" s="1"/>
  <c r="K44" i="14"/>
  <c r="N44" i="14" s="1"/>
  <c r="K38" i="14"/>
  <c r="N38" i="14" s="1"/>
  <c r="K47" i="14"/>
  <c r="N47" i="14" s="1"/>
  <c r="K68" i="14"/>
  <c r="N68" i="14" s="1"/>
  <c r="K31" i="14"/>
  <c r="N31" i="14" s="1"/>
  <c r="K39" i="14"/>
  <c r="N39" i="14" s="1"/>
  <c r="K28" i="14"/>
  <c r="N28" i="14" s="1"/>
  <c r="K4" i="14"/>
  <c r="K57" i="14"/>
  <c r="N57" i="14" s="1"/>
  <c r="K56" i="14"/>
  <c r="N56" i="14" s="1"/>
  <c r="K74" i="14"/>
  <c r="N74" i="14" s="1"/>
  <c r="K41" i="14"/>
  <c r="N41" i="14" s="1"/>
  <c r="K5" i="14"/>
  <c r="N5" i="14" s="1"/>
  <c r="K16" i="14"/>
  <c r="N16" i="14" s="1"/>
  <c r="K26" i="14"/>
  <c r="N26" i="14" s="1"/>
  <c r="K6" i="14"/>
  <c r="N6" i="14" s="1"/>
  <c r="K19" i="14"/>
  <c r="N19" i="14" s="1"/>
  <c r="K27" i="14"/>
  <c r="N27" i="14" s="1"/>
  <c r="K63" i="14"/>
  <c r="N63" i="14" s="1"/>
  <c r="K77" i="14"/>
  <c r="N77" i="14" s="1"/>
  <c r="K62" i="14"/>
  <c r="N62" i="14" s="1"/>
  <c r="K40" i="14"/>
  <c r="N40" i="14" s="1"/>
  <c r="K53" i="14"/>
  <c r="N53" i="14" s="1"/>
  <c r="K76" i="14"/>
  <c r="N76" i="14" s="1"/>
  <c r="K64" i="14"/>
  <c r="N64" i="14" s="1"/>
  <c r="K58" i="14"/>
  <c r="N58" i="14" s="1"/>
  <c r="K52" i="14"/>
  <c r="N52" i="14" s="1"/>
  <c r="K81" i="14"/>
  <c r="N81" i="14" s="1"/>
  <c r="K75" i="14"/>
  <c r="N75" i="14" s="1"/>
  <c r="K12" i="14"/>
  <c r="N12" i="14" s="1"/>
  <c r="K79" i="14"/>
  <c r="N79" i="14" s="1"/>
  <c r="K73" i="14"/>
  <c r="N73" i="14" s="1"/>
  <c r="K67" i="14"/>
  <c r="N67" i="14" s="1"/>
  <c r="K55" i="14"/>
  <c r="N55" i="14" s="1"/>
  <c r="K11" i="14"/>
  <c r="N11" i="14" s="1"/>
  <c r="K9" i="14"/>
  <c r="N9" i="14" s="1"/>
  <c r="K66" i="14"/>
  <c r="N66" i="14" s="1"/>
  <c r="K54" i="14"/>
  <c r="N54" i="14" s="1"/>
  <c r="K65" i="14"/>
  <c r="N65" i="14" s="1"/>
  <c r="L54" i="14"/>
  <c r="L76" i="14"/>
  <c r="S76" i="14" s="1"/>
  <c r="K15" i="14"/>
  <c r="N15" i="14" s="1"/>
  <c r="I20" i="32"/>
  <c r="I13" i="32"/>
  <c r="I19" i="32" s="1"/>
  <c r="T7" i="31"/>
  <c r="T7" i="30"/>
  <c r="T4" i="29"/>
  <c r="T7" i="28"/>
  <c r="T7" i="22"/>
  <c r="V82" i="1"/>
  <c r="W82" i="1"/>
  <c r="X82" i="1"/>
  <c r="Y82" i="1"/>
  <c r="Z82" i="1"/>
  <c r="AA82" i="1"/>
  <c r="AB82" i="1"/>
  <c r="AD82" i="1"/>
  <c r="AE82" i="1"/>
  <c r="AF82" i="1"/>
  <c r="AG82" i="1"/>
  <c r="U82" i="1"/>
  <c r="M16" i="14" l="1"/>
  <c r="L83" i="27"/>
  <c r="S82" i="27"/>
  <c r="T82" i="27" s="1"/>
  <c r="T4" i="27"/>
  <c r="M11" i="14"/>
  <c r="M65" i="14"/>
  <c r="S82" i="25"/>
  <c r="M41" i="14"/>
  <c r="M61" i="14"/>
  <c r="T63" i="25"/>
  <c r="M73" i="14"/>
  <c r="L69" i="14"/>
  <c r="P69" i="14" s="1"/>
  <c r="M9" i="14"/>
  <c r="S82" i="20"/>
  <c r="T82" i="20" s="1"/>
  <c r="M26" i="14"/>
  <c r="M44" i="14"/>
  <c r="L56" i="14"/>
  <c r="S56" i="14" s="1"/>
  <c r="M13" i="14"/>
  <c r="L83" i="20"/>
  <c r="M14" i="14"/>
  <c r="M12" i="14"/>
  <c r="T4" i="20"/>
  <c r="M59" i="14"/>
  <c r="M24" i="14"/>
  <c r="M30" i="14"/>
  <c r="M81" i="14"/>
  <c r="M62" i="14"/>
  <c r="M28" i="14"/>
  <c r="M43" i="14"/>
  <c r="M60" i="14"/>
  <c r="M66" i="14"/>
  <c r="M63" i="14"/>
  <c r="M55" i="14"/>
  <c r="M23" i="14"/>
  <c r="M29" i="14"/>
  <c r="M71" i="14"/>
  <c r="M56" i="14"/>
  <c r="M52" i="14"/>
  <c r="M32" i="14"/>
  <c r="T56" i="24"/>
  <c r="M51" i="14"/>
  <c r="M25" i="14"/>
  <c r="M69" i="14"/>
  <c r="M40" i="14"/>
  <c r="M68" i="14"/>
  <c r="M7" i="14"/>
  <c r="M74" i="14"/>
  <c r="M79" i="14"/>
  <c r="M70" i="14"/>
  <c r="T69" i="24"/>
  <c r="M21" i="14"/>
  <c r="L81" i="14"/>
  <c r="S81" i="14" s="1"/>
  <c r="L67" i="14"/>
  <c r="S67" i="14" s="1"/>
  <c r="M57" i="14"/>
  <c r="M76" i="14"/>
  <c r="M46" i="14"/>
  <c r="S82" i="24"/>
  <c r="T82" i="24" s="1"/>
  <c r="T4" i="24"/>
  <c r="M17" i="14"/>
  <c r="M39" i="14"/>
  <c r="L83" i="24"/>
  <c r="M49" i="14"/>
  <c r="M80" i="14"/>
  <c r="M37" i="14"/>
  <c r="M38" i="14"/>
  <c r="M54" i="14"/>
  <c r="M19" i="14"/>
  <c r="T69" i="1"/>
  <c r="L73" i="14"/>
  <c r="S73" i="14" s="1"/>
  <c r="L64" i="14"/>
  <c r="S64" i="14" s="1"/>
  <c r="T67" i="1"/>
  <c r="L61" i="14"/>
  <c r="P61" i="14" s="1"/>
  <c r="L75" i="14"/>
  <c r="S75" i="14" s="1"/>
  <c r="L55" i="14"/>
  <c r="S55" i="14" s="1"/>
  <c r="L68" i="14"/>
  <c r="S68" i="14" s="1"/>
  <c r="L83" i="1"/>
  <c r="L53" i="14"/>
  <c r="P53" i="14" s="1"/>
  <c r="T56" i="1"/>
  <c r="L70" i="14"/>
  <c r="S70" i="14" s="1"/>
  <c r="L58" i="14"/>
  <c r="S58" i="14" s="1"/>
  <c r="M64" i="14"/>
  <c r="M42" i="14"/>
  <c r="M77" i="14"/>
  <c r="M33" i="14"/>
  <c r="M6" i="14"/>
  <c r="M50" i="14"/>
  <c r="M22" i="14"/>
  <c r="M78" i="14"/>
  <c r="M67" i="14"/>
  <c r="M45" i="14"/>
  <c r="M75" i="14"/>
  <c r="M47" i="14"/>
  <c r="M20" i="14"/>
  <c r="M8" i="14"/>
  <c r="M58" i="14"/>
  <c r="M31" i="14"/>
  <c r="M53" i="14"/>
  <c r="M72" i="14"/>
  <c r="M5" i="14"/>
  <c r="M27" i="14"/>
  <c r="M35" i="14"/>
  <c r="M10" i="14"/>
  <c r="M34" i="14"/>
  <c r="M36" i="14"/>
  <c r="L83" i="19"/>
  <c r="M48" i="14"/>
  <c r="M18" i="14"/>
  <c r="L79" i="14"/>
  <c r="S79" i="14" s="1"/>
  <c r="M4" i="14"/>
  <c r="L83" i="25"/>
  <c r="P4" i="14"/>
  <c r="N4" i="14"/>
  <c r="Q79" i="14"/>
  <c r="Q62" i="14"/>
  <c r="Q57" i="14"/>
  <c r="Q69" i="14"/>
  <c r="Q71" i="14"/>
  <c r="Q58" i="14"/>
  <c r="Q80" i="14"/>
  <c r="Q78" i="14"/>
  <c r="Q77" i="14"/>
  <c r="Q64" i="14"/>
  <c r="Q63" i="14"/>
  <c r="P63" i="14"/>
  <c r="Q72" i="14"/>
  <c r="Q65" i="14"/>
  <c r="Q55" i="14"/>
  <c r="Q76" i="14"/>
  <c r="P76" i="14"/>
  <c r="Q70" i="14"/>
  <c r="Q61" i="14"/>
  <c r="Q54" i="14"/>
  <c r="P54" i="14"/>
  <c r="Q67" i="14"/>
  <c r="Q75" i="14"/>
  <c r="Q74" i="14"/>
  <c r="Q59" i="14"/>
  <c r="Q66" i="14"/>
  <c r="Q73" i="14"/>
  <c r="Q81" i="14"/>
  <c r="Q56" i="14"/>
  <c r="Q68" i="14"/>
  <c r="Q60" i="14"/>
  <c r="T7" i="25"/>
  <c r="L66" i="14"/>
  <c r="S66" i="14" s="1"/>
  <c r="L57" i="14"/>
  <c r="P57" i="14" s="1"/>
  <c r="L78" i="14"/>
  <c r="P78" i="14" s="1"/>
  <c r="L52" i="14"/>
  <c r="P52" i="14" s="1"/>
  <c r="L65" i="14"/>
  <c r="P65" i="14" s="1"/>
  <c r="L62" i="14"/>
  <c r="S62" i="14" s="1"/>
  <c r="L72" i="14"/>
  <c r="P72" i="14" s="1"/>
  <c r="L71" i="14"/>
  <c r="P71" i="14" s="1"/>
  <c r="L74" i="14"/>
  <c r="S74" i="14" s="1"/>
  <c r="L80" i="14"/>
  <c r="P80" i="14" s="1"/>
  <c r="L60" i="14"/>
  <c r="S60" i="14" s="1"/>
  <c r="K82" i="14"/>
  <c r="L59" i="14"/>
  <c r="P59" i="14" s="1"/>
  <c r="L77" i="14"/>
  <c r="S77" i="14" s="1"/>
  <c r="S63" i="14"/>
  <c r="S54" i="14"/>
  <c r="S69" i="14"/>
  <c r="T14" i="29"/>
  <c r="I21" i="32"/>
  <c r="Q48" i="14"/>
  <c r="Q49" i="14"/>
  <c r="Q50" i="14"/>
  <c r="Q51" i="14"/>
  <c r="Q4" i="14"/>
  <c r="T52" i="1"/>
  <c r="P56" i="14" l="1"/>
  <c r="P67" i="14"/>
  <c r="P81" i="14"/>
  <c r="P70" i="14"/>
  <c r="P73" i="14"/>
  <c r="S61" i="14"/>
  <c r="P64" i="14"/>
  <c r="P55" i="14"/>
  <c r="P68" i="14"/>
  <c r="P75" i="14"/>
  <c r="P58" i="14"/>
  <c r="P79" i="14"/>
  <c r="P74" i="14"/>
  <c r="P62" i="14"/>
  <c r="P60" i="14"/>
  <c r="P66" i="14"/>
  <c r="P77" i="14"/>
  <c r="S57" i="14"/>
  <c r="S65" i="14"/>
  <c r="S78" i="14"/>
  <c r="T14" i="1"/>
  <c r="S72" i="14"/>
  <c r="S71" i="14"/>
  <c r="S80" i="14"/>
  <c r="S59" i="14"/>
  <c r="T42" i="1"/>
  <c r="L42" i="14"/>
  <c r="P42" i="14" s="1"/>
  <c r="T36" i="1"/>
  <c r="L36" i="14"/>
  <c r="P36" i="14" s="1"/>
  <c r="T24" i="1"/>
  <c r="L24" i="14"/>
  <c r="P24" i="14" s="1"/>
  <c r="T18" i="1"/>
  <c r="L18" i="14"/>
  <c r="P18" i="14" s="1"/>
  <c r="T12" i="1"/>
  <c r="L12" i="14"/>
  <c r="P12" i="14" s="1"/>
  <c r="T6" i="1"/>
  <c r="L6" i="14"/>
  <c r="P6" i="14" s="1"/>
  <c r="T48" i="1"/>
  <c r="L48" i="14"/>
  <c r="T41" i="1"/>
  <c r="L41" i="14"/>
  <c r="P41" i="14" s="1"/>
  <c r="T35" i="1"/>
  <c r="L35" i="14"/>
  <c r="P35" i="14" s="1"/>
  <c r="T29" i="1"/>
  <c r="L29" i="14"/>
  <c r="P29" i="14" s="1"/>
  <c r="T23" i="1"/>
  <c r="L23" i="14"/>
  <c r="P23" i="14" s="1"/>
  <c r="T17" i="1"/>
  <c r="L17" i="14"/>
  <c r="P17" i="14" s="1"/>
  <c r="T11" i="1"/>
  <c r="L11" i="14"/>
  <c r="P11" i="14" s="1"/>
  <c r="T5" i="1"/>
  <c r="L5" i="14"/>
  <c r="P5" i="14" s="1"/>
  <c r="T47" i="1"/>
  <c r="L47" i="14"/>
  <c r="T40" i="1"/>
  <c r="L40" i="14"/>
  <c r="P40" i="14" s="1"/>
  <c r="T34" i="1"/>
  <c r="L34" i="14"/>
  <c r="P34" i="14" s="1"/>
  <c r="T28" i="1"/>
  <c r="L28" i="14"/>
  <c r="P28" i="14" s="1"/>
  <c r="T22" i="1"/>
  <c r="L22" i="14"/>
  <c r="P22" i="14" s="1"/>
  <c r="T16" i="1"/>
  <c r="L16" i="14"/>
  <c r="P16" i="14" s="1"/>
  <c r="T10" i="1"/>
  <c r="L10" i="14"/>
  <c r="P10" i="14" s="1"/>
  <c r="T46" i="1"/>
  <c r="L46" i="14"/>
  <c r="T4" i="1"/>
  <c r="T45" i="1"/>
  <c r="L45" i="14"/>
  <c r="P45" i="14" s="1"/>
  <c r="T39" i="1"/>
  <c r="L39" i="14"/>
  <c r="P39" i="14" s="1"/>
  <c r="T33" i="1"/>
  <c r="L33" i="14"/>
  <c r="P33" i="14" s="1"/>
  <c r="T27" i="1"/>
  <c r="L27" i="14"/>
  <c r="P27" i="14" s="1"/>
  <c r="T21" i="1"/>
  <c r="L21" i="14"/>
  <c r="P21" i="14" s="1"/>
  <c r="T15" i="1"/>
  <c r="L15" i="14"/>
  <c r="P15" i="14" s="1"/>
  <c r="T9" i="1"/>
  <c r="L9" i="14"/>
  <c r="P9" i="14" s="1"/>
  <c r="T51" i="1"/>
  <c r="L51" i="14"/>
  <c r="P51" i="14" s="1"/>
  <c r="T38" i="1"/>
  <c r="L38" i="14"/>
  <c r="P38" i="14" s="1"/>
  <c r="T32" i="1"/>
  <c r="L32" i="14"/>
  <c r="P32" i="14" s="1"/>
  <c r="T26" i="1"/>
  <c r="L26" i="14"/>
  <c r="P26" i="14" s="1"/>
  <c r="T20" i="1"/>
  <c r="L20" i="14"/>
  <c r="P20" i="14" s="1"/>
  <c r="T8" i="1"/>
  <c r="L8" i="14"/>
  <c r="P8" i="14" s="1"/>
  <c r="T50" i="1"/>
  <c r="L50" i="14"/>
  <c r="L14" i="14"/>
  <c r="P14" i="14" s="1"/>
  <c r="T43" i="1"/>
  <c r="L43" i="14"/>
  <c r="P43" i="14" s="1"/>
  <c r="T37" i="1"/>
  <c r="L37" i="14"/>
  <c r="P37" i="14" s="1"/>
  <c r="T31" i="1"/>
  <c r="L31" i="14"/>
  <c r="P31" i="14" s="1"/>
  <c r="T25" i="1"/>
  <c r="L25" i="14"/>
  <c r="P25" i="14" s="1"/>
  <c r="T19" i="1"/>
  <c r="L19" i="14"/>
  <c r="P19" i="14" s="1"/>
  <c r="T13" i="1"/>
  <c r="L13" i="14"/>
  <c r="P13" i="14" s="1"/>
  <c r="T7" i="1"/>
  <c r="L7" i="14"/>
  <c r="P7" i="14" s="1"/>
  <c r="T49" i="1"/>
  <c r="L49" i="14"/>
  <c r="P49" i="14" s="1"/>
  <c r="T30" i="1"/>
  <c r="L30" i="14"/>
  <c r="P30" i="14" s="1"/>
  <c r="T44" i="1"/>
  <c r="L44" i="14"/>
  <c r="P44" i="14" s="1"/>
  <c r="S52" i="14"/>
  <c r="S53" i="14"/>
  <c r="Q47" i="14"/>
  <c r="Q53" i="14"/>
  <c r="Q52" i="14"/>
  <c r="Q46" i="14"/>
  <c r="Q11" i="14"/>
  <c r="Q33" i="14"/>
  <c r="Q34" i="14"/>
  <c r="S47" i="14" l="1"/>
  <c r="P47" i="14"/>
  <c r="S50" i="14"/>
  <c r="P50" i="14"/>
  <c r="S46" i="14"/>
  <c r="P46" i="14"/>
  <c r="S48" i="14"/>
  <c r="P48" i="14"/>
  <c r="S51" i="14"/>
  <c r="S49" i="14"/>
  <c r="Q35" i="14"/>
  <c r="Q36" i="14"/>
  <c r="S35" i="14" l="1"/>
  <c r="S34" i="14"/>
  <c r="S11" i="14" l="1"/>
  <c r="S33" i="14"/>
  <c r="S36" i="14"/>
  <c r="Q23" i="14" l="1"/>
  <c r="Q25" i="14"/>
  <c r="Q26" i="14"/>
  <c r="Q28" i="14"/>
  <c r="Q29" i="14"/>
  <c r="Q31" i="14"/>
  <c r="Q32" i="14"/>
  <c r="Q38" i="14"/>
  <c r="Q39" i="14"/>
  <c r="Q41" i="14"/>
  <c r="Q42" i="14"/>
  <c r="Q44" i="14"/>
  <c r="Q45" i="14"/>
  <c r="Q43" i="14" l="1"/>
  <c r="Q37" i="14"/>
  <c r="Q27" i="14"/>
  <c r="Q40" i="14"/>
  <c r="Q30" i="14"/>
  <c r="Q24" i="14"/>
  <c r="Q13" i="14"/>
  <c r="Q14" i="14"/>
  <c r="Q15" i="14"/>
  <c r="Q16" i="14"/>
  <c r="Q18" i="14"/>
  <c r="Q19" i="14"/>
  <c r="Q20" i="14"/>
  <c r="Q21" i="14"/>
  <c r="Q22" i="14"/>
  <c r="Q17" i="14" l="1"/>
  <c r="S18" i="14" l="1"/>
  <c r="S12" i="14"/>
  <c r="S10" i="14"/>
  <c r="S9" i="14"/>
  <c r="S8" i="14"/>
  <c r="S7" i="14"/>
  <c r="S6" i="14"/>
  <c r="S40" i="14"/>
  <c r="S22" i="14"/>
  <c r="S16" i="14"/>
  <c r="S5" i="14"/>
  <c r="S17" i="14"/>
  <c r="S23" i="14"/>
  <c r="S45" i="14"/>
  <c r="S29" i="14"/>
  <c r="S21" i="14"/>
  <c r="S15" i="14"/>
  <c r="S38" i="14"/>
  <c r="S28" i="14"/>
  <c r="S19" i="14"/>
  <c r="S13" i="14"/>
  <c r="S32" i="14"/>
  <c r="S20" i="14"/>
  <c r="S14" i="14"/>
  <c r="S43" i="14"/>
  <c r="S26" i="14"/>
  <c r="S30" i="14"/>
  <c r="Q8" i="14"/>
  <c r="Q7" i="14"/>
  <c r="Q6" i="14"/>
  <c r="Q12" i="14"/>
  <c r="Q5" i="14"/>
  <c r="Q10" i="14"/>
  <c r="Q9" i="14"/>
  <c r="Q82" i="14" l="1"/>
  <c r="S37" i="14"/>
  <c r="S25" i="14"/>
  <c r="S41" i="14"/>
  <c r="S39" i="14"/>
  <c r="S31" i="14"/>
  <c r="S44" i="14"/>
  <c r="S42" i="14"/>
  <c r="S24" i="14"/>
  <c r="S27" i="14"/>
  <c r="S86" i="14" l="1"/>
  <c r="K85" i="14"/>
  <c r="K84" i="14"/>
  <c r="S4" i="14" l="1"/>
  <c r="S82" i="14" s="1"/>
  <c r="S87" i="14" l="1"/>
  <c r="S90"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LETÍCIA-SEGECON/FPOLIS</author>
    <author>LETICIA - SEGECON FPOLIS</author>
  </authors>
  <commentList>
    <comment ref="N5" authorId="0" shapeId="0" xr:uid="{F55F4D31-A419-4430-9F75-981D07BDD843}">
      <text>
        <r>
          <rPr>
            <b/>
            <sz val="9"/>
            <color indexed="81"/>
            <rFont val="Segoe UI"/>
            <family val="2"/>
          </rPr>
          <t>LETÍCIA-SEGECON/FPOLIS:</t>
        </r>
        <r>
          <rPr>
            <sz val="9"/>
            <color indexed="81"/>
            <rFont val="Segoe UI"/>
            <family val="2"/>
          </rPr>
          <t xml:space="preserve">
31/03/2025: RECEBIDO DO CAV: 02. (P/PROJUR).
03/04/2025: RECEBIDO DO CESFI: 02. (P/PROJUR).</t>
        </r>
      </text>
    </comment>
    <comment ref="N15" authorId="0" shapeId="0" xr:uid="{B72906EC-6794-478F-9FDE-A0D700DEF5E7}">
      <text>
        <r>
          <rPr>
            <b/>
            <sz val="9"/>
            <color indexed="81"/>
            <rFont val="Segoe UI"/>
            <family val="2"/>
          </rPr>
          <t>LETÍCIA-SEGECON/FPOLIS:</t>
        </r>
        <r>
          <rPr>
            <sz val="9"/>
            <color indexed="81"/>
            <rFont val="Segoe UI"/>
            <family val="2"/>
          </rPr>
          <t xml:space="preserve">
11/04/2025: RECEBIDO DA FAED PARA REITORIA/BU: 01.
14/04/2025: RECEBIDO DA ESAG: 01 (P/BU)</t>
        </r>
      </text>
    </comment>
    <comment ref="N25" authorId="0" shapeId="0" xr:uid="{4D0D7DE8-64BD-449A-97E2-F278A707E2A4}">
      <text>
        <r>
          <rPr>
            <b/>
            <sz val="9"/>
            <color indexed="81"/>
            <rFont val="Segoe UI"/>
            <family val="2"/>
          </rPr>
          <t>LETÍCIA-SEGECON/FPOLIS:</t>
        </r>
        <r>
          <rPr>
            <sz val="9"/>
            <color indexed="81"/>
            <rFont val="Segoe UI"/>
            <family val="2"/>
          </rPr>
          <t xml:space="preserve">
11/04/2025: RECEBIDO DA FAED PARA REITORIA/BU: 04.
14/04/2025: RECEBIDO DA ESAG: 07.</t>
        </r>
      </text>
    </comment>
    <comment ref="N39" authorId="0" shapeId="0" xr:uid="{A570B1A4-98B2-4110-9D9A-095DDCC5C801}">
      <text>
        <r>
          <rPr>
            <b/>
            <sz val="10"/>
            <color indexed="81"/>
            <rFont val="Segoe UI"/>
            <family val="2"/>
          </rPr>
          <t>LETÍCIA-SEGECON/FPOLIS:</t>
        </r>
        <r>
          <rPr>
            <sz val="10"/>
            <color indexed="81"/>
            <rFont val="Segoe UI"/>
            <family val="2"/>
          </rPr>
          <t xml:space="preserve">
10/03/2025: BU RECEBEU DO CEART: 07.</t>
        </r>
      </text>
    </comment>
    <comment ref="N40" authorId="0" shapeId="0" xr:uid="{6AB745E5-003E-4545-8652-74289C5432D0}">
      <text>
        <r>
          <rPr>
            <b/>
            <sz val="10"/>
            <color indexed="81"/>
            <rFont val="Segoe UI"/>
            <family val="2"/>
          </rPr>
          <t>LETÍCIA-SEGECON/FPOLIS:</t>
        </r>
        <r>
          <rPr>
            <sz val="10"/>
            <color indexed="81"/>
            <rFont val="Segoe UI"/>
            <family val="2"/>
          </rPr>
          <t xml:space="preserve">
10/03/2025: CEDIDO AO CERES: 200. </t>
        </r>
      </text>
    </comment>
    <comment ref="N42" authorId="0" shapeId="0" xr:uid="{0CDDA42D-3459-4D99-8DBA-BEB47CC8C490}">
      <text>
        <r>
          <rPr>
            <b/>
            <sz val="10"/>
            <color indexed="81"/>
            <rFont val="Segoe UI"/>
            <family val="2"/>
          </rPr>
          <t>LETÍCIA-SEGECON/FPOLIS:</t>
        </r>
        <r>
          <rPr>
            <sz val="10"/>
            <color indexed="81"/>
            <rFont val="Segoe UI"/>
            <family val="2"/>
          </rPr>
          <t xml:space="preserve">
10/03/2025: CEDIDO AO CERES: 100.</t>
        </r>
      </text>
    </comment>
    <comment ref="K44" authorId="1" shapeId="0" xr:uid="{7B8C8A59-5451-4EE3-9DE3-6BC8AFEE4B15}">
      <text>
        <r>
          <rPr>
            <b/>
            <sz val="9"/>
            <color indexed="81"/>
            <rFont val="Segoe UI"/>
            <family val="2"/>
          </rPr>
          <t>LETICIA - SEGECON FPOLIS:</t>
        </r>
        <r>
          <rPr>
            <sz val="9"/>
            <color indexed="81"/>
            <rFont val="Segoe UI"/>
            <family val="2"/>
          </rPr>
          <t xml:space="preserve">
09/07/2024: CEDIDO AO MESC: 56.</t>
        </r>
      </text>
    </comment>
    <comment ref="N44" authorId="0" shapeId="0" xr:uid="{F01D2D9F-C898-4360-B754-ACEF3F80B44C}">
      <text>
        <r>
          <rPr>
            <b/>
            <sz val="10"/>
            <color indexed="81"/>
            <rFont val="Segoe UI"/>
            <family val="2"/>
          </rPr>
          <t>LETÍCIA-SEGECON/FPOLIS:</t>
        </r>
        <r>
          <rPr>
            <sz val="10"/>
            <color indexed="81"/>
            <rFont val="Segoe UI"/>
            <family val="2"/>
          </rPr>
          <t xml:space="preserve">
10/03/2025: CEDIDO AO CERES: 10.</t>
        </r>
      </text>
    </comment>
    <comment ref="N46" authorId="0" shapeId="0" xr:uid="{82B6D172-C7C6-49AC-87DD-4DB7B414759C}">
      <text>
        <r>
          <rPr>
            <b/>
            <sz val="10"/>
            <color indexed="81"/>
            <rFont val="Segoe UI"/>
            <family val="2"/>
          </rPr>
          <t>LETÍCIA-SEGECON/FPOLIS:</t>
        </r>
        <r>
          <rPr>
            <sz val="10"/>
            <color indexed="81"/>
            <rFont val="Segoe UI"/>
            <family val="2"/>
          </rPr>
          <t xml:space="preserve">
10/03/2025: CEDIDO AO CERES: 03.</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N38" authorId="0" shapeId="0" xr:uid="{8B5F1DB0-8BD5-4EFB-BD2F-486B5EFA133D}">
      <text>
        <r>
          <rPr>
            <b/>
            <sz val="10"/>
            <color indexed="81"/>
            <rFont val="Segoe UI"/>
            <family val="2"/>
          </rPr>
          <t>LETÍCIA-SEGECON/FPOLIS:</t>
        </r>
        <r>
          <rPr>
            <sz val="10"/>
            <color indexed="81"/>
            <rFont val="Segoe UI"/>
            <family val="2"/>
          </rPr>
          <t xml:space="preserve">
28/02/2025: RECEBIDO DO CESFI: 02.
10/03/2025: RECEBIDO DO CEART: 03.</t>
        </r>
      </text>
    </comment>
    <comment ref="N39" authorId="0" shapeId="0" xr:uid="{F2809E81-332F-4051-A55D-80C1D328B170}">
      <text>
        <r>
          <rPr>
            <b/>
            <sz val="10"/>
            <color indexed="81"/>
            <rFont val="Segoe UI"/>
            <family val="2"/>
          </rPr>
          <t>LETÍCIA-SEGECON/FPOLIS:</t>
        </r>
        <r>
          <rPr>
            <sz val="10"/>
            <color indexed="81"/>
            <rFont val="Segoe UI"/>
            <family val="2"/>
          </rPr>
          <t xml:space="preserve">
28/11/2024: RECEBIDO DO CEART: 06.
28/02/2025: RECEBIDO DO CESFI: 08.
10/03/2025: RECEBIDO DO CEART: 25.
10/03/2025: RECEBIDO DO CEAVI: 04.
14/04/2025: CEDIDO PARA ESAG: 06.
02/07/2025: DEVOLVIDO AO CEAVI: 04.</t>
        </r>
      </text>
    </comment>
    <comment ref="N40" authorId="0" shapeId="0" xr:uid="{A438A704-6207-4AED-BBF4-1F5678E3C930}">
      <text>
        <r>
          <rPr>
            <b/>
            <sz val="10"/>
            <color indexed="81"/>
            <rFont val="Segoe UI"/>
            <family val="2"/>
          </rPr>
          <t>LETÍCIA-SEGECON/FPOLIS:</t>
        </r>
        <r>
          <rPr>
            <sz val="10"/>
            <color indexed="81"/>
            <rFont val="Segoe UI"/>
            <family val="2"/>
          </rPr>
          <t xml:space="preserve">
08/11/2024: RECEBIDO DA ESAG: 08.
28/11/2024: RECEBIDO DO CEART: 10.
28/02/2025: RECEBIDO DO CESFI: 10.
10/03/2025: RECEBIDO DO CEART: 05.
10/03/2025: RECEBIDO DA REITORIA/SEMS: 200.</t>
        </r>
      </text>
    </comment>
    <comment ref="N41" authorId="0" shapeId="0" xr:uid="{4C86DEC5-4E2A-4808-A3F8-D959F7C56A96}">
      <text>
        <r>
          <rPr>
            <b/>
            <sz val="10"/>
            <color indexed="81"/>
            <rFont val="Segoe UI"/>
            <family val="2"/>
          </rPr>
          <t>LETÍCIA-SEGECON/FPOLIS:</t>
        </r>
        <r>
          <rPr>
            <sz val="10"/>
            <color indexed="81"/>
            <rFont val="Segoe UI"/>
            <family val="2"/>
          </rPr>
          <t xml:space="preserve">
28/02/2025: RECEBIDO DO CESFI: 02.</t>
        </r>
      </text>
    </comment>
    <comment ref="K42" authorId="0" shapeId="0" xr:uid="{8AA95747-CE10-4563-92CC-25FBF7EFB4A5}">
      <text>
        <r>
          <rPr>
            <b/>
            <sz val="10"/>
            <color indexed="81"/>
            <rFont val="Segoe UI"/>
            <family val="2"/>
          </rPr>
          <t>LETÍCIA-SEGECON/FPOLIS:</t>
        </r>
        <r>
          <rPr>
            <sz val="10"/>
            <color indexed="81"/>
            <rFont val="Segoe UI"/>
            <family val="2"/>
          </rPr>
          <t xml:space="preserve">
08/11/2024: RECEBIDO DA ESAG: 03.
28/11/2024: RECEBIDO DO CEART: 15.</t>
        </r>
      </text>
    </comment>
    <comment ref="N42" authorId="0" shapeId="0" xr:uid="{C10D3FE7-1194-496E-BEDC-316C60406622}">
      <text>
        <r>
          <rPr>
            <b/>
            <sz val="10"/>
            <color indexed="81"/>
            <rFont val="Segoe UI"/>
            <family val="2"/>
          </rPr>
          <t>LETÍCIA-SEGECON/FPOLIS:</t>
        </r>
        <r>
          <rPr>
            <sz val="10"/>
            <color indexed="81"/>
            <rFont val="Segoe UI"/>
            <family val="2"/>
          </rPr>
          <t xml:space="preserve">
08/11/2024: RECEBIDO DA ESAG: 03.
28/11/2024: RECEBIDO DO CEART: 15.
28/02/2025: RECEBIDO DO CESFI: 10.
10/03/2025: RECEBIDO DO CEART: 07.
10/03/2025: RECEBIDO DA REITORIA/SEMS: 100.
10/03/2025: RECEBIDO DO CEAVI: 42.
02/07/2025: DEVOLVIDO AO CEAVI: 42.</t>
        </r>
      </text>
    </comment>
    <comment ref="K43" authorId="0" shapeId="0" xr:uid="{F60BDB05-D3DA-4F25-A190-F235D2A342AE}">
      <text>
        <r>
          <rPr>
            <b/>
            <sz val="10"/>
            <color indexed="81"/>
            <rFont val="Segoe UI"/>
            <family val="2"/>
          </rPr>
          <t>LETÍCIA-SEGECON/FPOLIS:</t>
        </r>
        <r>
          <rPr>
            <sz val="10"/>
            <color indexed="81"/>
            <rFont val="Segoe UI"/>
            <family val="2"/>
          </rPr>
          <t xml:space="preserve">
28/11/2024: RECEBIDO DO CEART: 20.</t>
        </r>
      </text>
    </comment>
    <comment ref="N43" authorId="0" shapeId="0" xr:uid="{E84BCF3A-8CFB-4A49-BE49-B9DB355DA282}">
      <text>
        <r>
          <rPr>
            <b/>
            <sz val="10"/>
            <color indexed="81"/>
            <rFont val="Segoe UI"/>
            <family val="2"/>
          </rPr>
          <t>LETÍCIA-SEGECON/FPOLIS:</t>
        </r>
        <r>
          <rPr>
            <sz val="10"/>
            <color indexed="81"/>
            <rFont val="Segoe UI"/>
            <family val="2"/>
          </rPr>
          <t xml:space="preserve">
28/11/2024: RECEBIDO DO CEART: 20.
RECEBIDO DO CESFI: 05.
10/03/2025: RECEBIDO DO CEART: 25.</t>
        </r>
      </text>
    </comment>
    <comment ref="N44" authorId="0" shapeId="0" xr:uid="{6F983983-6530-4BF4-9341-BC803B005EB9}">
      <text>
        <r>
          <rPr>
            <b/>
            <sz val="10"/>
            <color indexed="81"/>
            <rFont val="Segoe UI"/>
            <family val="2"/>
          </rPr>
          <t>LETÍCIA-SEGECON/FPOLIS:</t>
        </r>
        <r>
          <rPr>
            <sz val="10"/>
            <color indexed="81"/>
            <rFont val="Segoe UI"/>
            <family val="2"/>
          </rPr>
          <t xml:space="preserve">
08/11/2024: RECEBIDO DA ESAG: 10.
19/02/2025: RECEBIDO DO CEAD: 05.
28/02/2025: RECEBIDO DO CESFI: 10.
10/03/2025: RECEBIDO DO CEART: 06.
10/03/2025: RECEBIDO DA REITORIA/SEMS: 10.</t>
        </r>
      </text>
    </comment>
    <comment ref="N45" authorId="0" shapeId="0" xr:uid="{2FD3F3EC-95FA-46C5-9FC1-DB29D453B424}">
      <text>
        <r>
          <rPr>
            <b/>
            <sz val="10"/>
            <color indexed="81"/>
            <rFont val="Segoe UI"/>
            <family val="2"/>
          </rPr>
          <t>LETÍCIA-SEGECON/FPOLIS:</t>
        </r>
        <r>
          <rPr>
            <sz val="10"/>
            <color indexed="81"/>
            <rFont val="Segoe UI"/>
            <family val="2"/>
          </rPr>
          <t xml:space="preserve">
08/11/2024: RECEBIDO DA ESAG: 08.
28/11/2024: RECEBIDO DO CEART: 05.
28/02/2025: RECEBIDO DO CESFI: 05.
10/03/2025: RECEBIDO DO CEART: 20.
10/03/2025: RECEBIDO DO CEAVI: 25.
02/07/2025: DEVOLVIDO AO CEAVI: 25.</t>
        </r>
      </text>
    </comment>
    <comment ref="N46" authorId="0" shapeId="0" xr:uid="{DF87ED05-1631-4B96-ADD3-BE64C9EE2F37}">
      <text>
        <r>
          <rPr>
            <b/>
            <sz val="10"/>
            <color indexed="81"/>
            <rFont val="Segoe UI"/>
            <family val="2"/>
          </rPr>
          <t>LETÍCIA-SEGECON/FPOLIS:</t>
        </r>
        <r>
          <rPr>
            <sz val="10"/>
            <color indexed="81"/>
            <rFont val="Segoe UI"/>
            <family val="2"/>
          </rPr>
          <t xml:space="preserve">
08/11/2024: RECEBIDO DA ESAG: 04.
28/11/2024: RECEBIDO DO CEART: 04.
28/02/2025 RECEBIDO DO CESFI: 05.
10/03/2025: RECEBIDO DO CEART: 04.
10/03/2025: RECEBIDO DA REITORIA/SEMS: 03.</t>
        </r>
      </text>
    </comment>
    <comment ref="N47" authorId="0" shapeId="0" xr:uid="{917D9C62-5C67-44D6-A9EE-0768782D7FD9}">
      <text>
        <r>
          <rPr>
            <b/>
            <sz val="10"/>
            <color indexed="81"/>
            <rFont val="Segoe UI"/>
            <family val="2"/>
          </rPr>
          <t>LETÍCIA-SEGECON/FPOLIS:</t>
        </r>
        <r>
          <rPr>
            <sz val="10"/>
            <color indexed="81"/>
            <rFont val="Segoe UI"/>
            <family val="2"/>
          </rPr>
          <t xml:space="preserve">
10/03/2025: RECEBIDO DO CEART: 03.</t>
        </r>
      </text>
    </comment>
    <comment ref="N48" authorId="0" shapeId="0" xr:uid="{5617B016-28A2-43A1-911D-EBE08CD8251C}">
      <text>
        <r>
          <rPr>
            <b/>
            <sz val="10"/>
            <color indexed="81"/>
            <rFont val="Segoe UI"/>
            <family val="2"/>
          </rPr>
          <t>LETÍCIA-SEGECON/FPOLIS:</t>
        </r>
        <r>
          <rPr>
            <sz val="10"/>
            <color indexed="81"/>
            <rFont val="Segoe UI"/>
            <family val="2"/>
          </rPr>
          <t xml:space="preserve">
10/03/2025: RECEBIDO DO CEART: 02.</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N5" authorId="0" shapeId="0" xr:uid="{45734D42-D3D9-4FEE-9A30-E457C35F2F79}">
      <text>
        <r>
          <rPr>
            <b/>
            <sz val="10"/>
            <color indexed="81"/>
            <rFont val="Segoe UI"/>
            <family val="2"/>
          </rPr>
          <t>LETÍCIA-SEGECON/FPOLIS:</t>
        </r>
        <r>
          <rPr>
            <sz val="10"/>
            <color indexed="81"/>
            <rFont val="Segoe UI"/>
            <family val="2"/>
          </rPr>
          <t xml:space="preserve">
03/04/2025: CEDIDO PARA REITORIA/PROJUR: 02.</t>
        </r>
      </text>
    </comment>
    <comment ref="N7" authorId="0" shapeId="0" xr:uid="{5CDDC6EB-FF2C-4AE6-BDD0-DD42855BA254}">
      <text>
        <r>
          <rPr>
            <b/>
            <sz val="10"/>
            <color indexed="81"/>
            <rFont val="Segoe UI"/>
            <family val="2"/>
          </rPr>
          <t>LETÍCIA-SEGECON/FPOLIS:</t>
        </r>
        <r>
          <rPr>
            <sz val="10"/>
            <color indexed="81"/>
            <rFont val="Segoe UI"/>
            <family val="2"/>
          </rPr>
          <t xml:space="preserve">
27/09/2024: CEDIDO AO CEO: 02.</t>
        </r>
      </text>
    </comment>
    <comment ref="N38" authorId="0" shapeId="0" xr:uid="{1F070BCF-97CC-4635-A2ED-409100A14B57}">
      <text>
        <r>
          <rPr>
            <b/>
            <sz val="10"/>
            <color indexed="81"/>
            <rFont val="Segoe UI"/>
            <family val="2"/>
          </rPr>
          <t>LETÍCIA-SEGECON/FPOLIS:</t>
        </r>
        <r>
          <rPr>
            <sz val="10"/>
            <color indexed="81"/>
            <rFont val="Segoe UI"/>
            <family val="2"/>
          </rPr>
          <t xml:space="preserve">
28/02/2025: CEDIDO AO CERES: 02.</t>
        </r>
      </text>
    </comment>
    <comment ref="N39" authorId="0" shapeId="0" xr:uid="{224C4801-D869-4932-9BF8-412AE4AE8F3D}">
      <text>
        <r>
          <rPr>
            <b/>
            <sz val="10"/>
            <color indexed="81"/>
            <rFont val="Segoe UI"/>
            <family val="2"/>
          </rPr>
          <t>LETÍCIA-SEGECON/FPOLIS:</t>
        </r>
        <r>
          <rPr>
            <sz val="10"/>
            <color indexed="81"/>
            <rFont val="Segoe UI"/>
            <family val="2"/>
          </rPr>
          <t xml:space="preserve">
28/02/2025: CEDIDO AO CERES: 08.</t>
        </r>
      </text>
    </comment>
    <comment ref="N40" authorId="0" shapeId="0" xr:uid="{99DF0E4D-5A7C-4EEF-BA99-9159E0311644}">
      <text>
        <r>
          <rPr>
            <b/>
            <sz val="10"/>
            <color indexed="81"/>
            <rFont val="Segoe UI"/>
            <family val="2"/>
          </rPr>
          <t>LETÍCIA-SEGECON/FPOLIS:</t>
        </r>
        <r>
          <rPr>
            <sz val="10"/>
            <color indexed="81"/>
            <rFont val="Segoe UI"/>
            <family val="2"/>
          </rPr>
          <t xml:space="preserve">
28/02/2025: CEDIDO AO CERES: 10.</t>
        </r>
      </text>
    </comment>
    <comment ref="N41" authorId="0" shapeId="0" xr:uid="{92BF81BC-86B4-4ADB-A89F-54A79F06D930}">
      <text>
        <r>
          <rPr>
            <b/>
            <sz val="10"/>
            <color indexed="81"/>
            <rFont val="Segoe UI"/>
            <family val="2"/>
          </rPr>
          <t>LETÍCIA-SEGECON/FPOLIS:</t>
        </r>
        <r>
          <rPr>
            <sz val="10"/>
            <color indexed="81"/>
            <rFont val="Segoe UI"/>
            <family val="2"/>
          </rPr>
          <t xml:space="preserve">
28/02/2025: CEDIDO AO CERES: 02.</t>
        </r>
      </text>
    </comment>
    <comment ref="N42" authorId="0" shapeId="0" xr:uid="{3138B4FD-7C27-4C21-BD86-0D7BFF4D50BD}">
      <text>
        <r>
          <rPr>
            <b/>
            <sz val="10"/>
            <color indexed="81"/>
            <rFont val="Segoe UI"/>
            <family val="2"/>
          </rPr>
          <t>LETÍCIA-SEGECON/FPOLIS:</t>
        </r>
        <r>
          <rPr>
            <sz val="10"/>
            <color indexed="81"/>
            <rFont val="Segoe UI"/>
            <family val="2"/>
          </rPr>
          <t xml:space="preserve">
28/02/2025: CEDIDO AO CERES: 10.</t>
        </r>
      </text>
    </comment>
    <comment ref="N43" authorId="0" shapeId="0" xr:uid="{FD81FB40-E77A-4E0E-A3BF-D10E925E6140}">
      <text>
        <r>
          <rPr>
            <b/>
            <sz val="10"/>
            <color indexed="81"/>
            <rFont val="Segoe UI"/>
            <family val="2"/>
          </rPr>
          <t>LETÍCIA-SEGECON/FPOLIS:</t>
        </r>
        <r>
          <rPr>
            <sz val="10"/>
            <color indexed="81"/>
            <rFont val="Segoe UI"/>
            <family val="2"/>
          </rPr>
          <t xml:space="preserve">
28/02/2025: CEDIDO AO CERES: 05.</t>
        </r>
      </text>
    </comment>
    <comment ref="N44" authorId="0" shapeId="0" xr:uid="{4627290B-EB8D-4843-9B76-DAE9D45F1D8E}">
      <text>
        <r>
          <rPr>
            <b/>
            <sz val="10"/>
            <color indexed="81"/>
            <rFont val="Segoe UI"/>
            <family val="2"/>
          </rPr>
          <t>LETÍCIA-SEGECON/FPOLIS:</t>
        </r>
        <r>
          <rPr>
            <sz val="10"/>
            <color indexed="81"/>
            <rFont val="Segoe UI"/>
            <family val="2"/>
          </rPr>
          <t xml:space="preserve">
28/02/2025: CEDIDO AO CERES: 10.</t>
        </r>
      </text>
    </comment>
    <comment ref="N45" authorId="0" shapeId="0" xr:uid="{044D06A2-EA92-42A4-8F48-FB59A61853F5}">
      <text>
        <r>
          <rPr>
            <b/>
            <sz val="10"/>
            <color indexed="81"/>
            <rFont val="Segoe UI"/>
            <family val="2"/>
          </rPr>
          <t>LETÍCIA-SEGECON/FPOLIS:</t>
        </r>
        <r>
          <rPr>
            <sz val="10"/>
            <color indexed="81"/>
            <rFont val="Segoe UI"/>
            <family val="2"/>
          </rPr>
          <t xml:space="preserve">
28/02/2025: CEDIDO AO CERES: 05.
</t>
        </r>
      </text>
    </comment>
    <comment ref="N46" authorId="0" shapeId="0" xr:uid="{07338A7E-549F-4A00-B186-A7791FFC2A3E}">
      <text>
        <r>
          <rPr>
            <b/>
            <sz val="10"/>
            <color indexed="81"/>
            <rFont val="Segoe UI"/>
            <family val="2"/>
          </rPr>
          <t>LETÍCIA-SEGECON/FPOLIS:</t>
        </r>
        <r>
          <rPr>
            <sz val="10"/>
            <color indexed="81"/>
            <rFont val="Segoe UI"/>
            <family val="2"/>
          </rPr>
          <t xml:space="preserve">
28/02/2025: CEDIDO AO CERES: 05.</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N14" authorId="0" shapeId="0" xr:uid="{5CE9004E-A748-4A01-B3E6-52E13E9E433C}">
      <text>
        <r>
          <rPr>
            <b/>
            <sz val="10"/>
            <color indexed="81"/>
            <rFont val="Segoe UI"/>
            <family val="2"/>
          </rPr>
          <t>LETÍCIA-SEGECON/FPOLIS:</t>
        </r>
        <r>
          <rPr>
            <sz val="10"/>
            <color indexed="81"/>
            <rFont val="Segoe UI"/>
            <family val="2"/>
          </rPr>
          <t xml:space="preserve">
10/06/2024: CEDIDO AO CEFID: 03.
12/06/2024: CEDIDO AO CEAD: 01.
</t>
        </r>
        <r>
          <rPr>
            <b/>
            <sz val="10"/>
            <color indexed="81"/>
            <rFont val="Segoe UI"/>
            <family val="2"/>
          </rPr>
          <t>11/06/2024: CEDIDO AO CAV: 03</t>
        </r>
      </text>
    </comment>
    <comment ref="N15" authorId="0" shapeId="0" xr:uid="{C2BFDC22-4FDE-4712-9D72-FF143FD63E4A}">
      <text>
        <r>
          <rPr>
            <b/>
            <sz val="10"/>
            <color indexed="81"/>
            <rFont val="Segoe UI"/>
            <family val="2"/>
          </rPr>
          <t>LETÍCIA-SEGECON/FPOLIS:</t>
        </r>
        <r>
          <rPr>
            <sz val="10"/>
            <color indexed="81"/>
            <rFont val="Segoe UI"/>
            <family val="2"/>
          </rPr>
          <t xml:space="preserve">
10/06/2024: RECEBIDO DO CEFID: 03.
12/06/2024: RECEBIDO DO CEAD: 01.
31/07/2024: RECEBIDO DO CAV: 03.</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N15" authorId="0" shapeId="0" xr:uid="{701576BE-B403-4582-8C21-552A693846AD}">
      <text>
        <r>
          <rPr>
            <b/>
            <sz val="10"/>
            <color indexed="81"/>
            <rFont val="Segoe UI"/>
            <family val="2"/>
          </rPr>
          <t>LETÍCIA-SEGECON/FPOLIS:</t>
        </r>
        <r>
          <rPr>
            <sz val="10"/>
            <color indexed="81"/>
            <rFont val="Segoe UI"/>
            <family val="2"/>
          </rPr>
          <t xml:space="preserve">
14/04/2025: CEDIDO PARA REITORIA/BU: 01.</t>
        </r>
      </text>
    </comment>
    <comment ref="N25" authorId="0" shapeId="0" xr:uid="{BE831A4E-7C2E-47EB-A455-1BFF424C40D3}">
      <text>
        <r>
          <rPr>
            <b/>
            <sz val="10"/>
            <color indexed="81"/>
            <rFont val="Segoe UI"/>
            <family val="2"/>
          </rPr>
          <t>LETÍCIA-SEGECON/FPOLIS:</t>
        </r>
        <r>
          <rPr>
            <sz val="10"/>
            <color indexed="81"/>
            <rFont val="Segoe UI"/>
            <family val="2"/>
          </rPr>
          <t xml:space="preserve">
14/04/2025: CEDIDO PARA REITORIA/BU: 07.</t>
        </r>
      </text>
    </comment>
    <comment ref="N28" authorId="0" shapeId="0" xr:uid="{40DAA1FC-4460-491E-B46D-36211757C206}">
      <text>
        <r>
          <rPr>
            <b/>
            <sz val="10"/>
            <color indexed="81"/>
            <rFont val="Segoe UI"/>
            <family val="2"/>
          </rPr>
          <t>LETÍCIA-SEGECON/FPOLIS:</t>
        </r>
        <r>
          <rPr>
            <sz val="10"/>
            <color indexed="81"/>
            <rFont val="Segoe UI"/>
            <family val="2"/>
          </rPr>
          <t xml:space="preserve">
01/10/2024: RECEBIDO DO CEO: 05.
14/11/2024: RECEBIDO DA FAED: 05.</t>
        </r>
      </text>
    </comment>
    <comment ref="N39" authorId="0" shapeId="0" xr:uid="{B8235F2F-8DD4-4D55-8F02-87730AB668B0}">
      <text>
        <r>
          <rPr>
            <b/>
            <sz val="10"/>
            <color indexed="81"/>
            <rFont val="Segoe UI"/>
            <family val="2"/>
          </rPr>
          <t>LETÍCIA-SEGECON/FPOLIS:</t>
        </r>
        <r>
          <rPr>
            <sz val="10"/>
            <color indexed="81"/>
            <rFont val="Segoe UI"/>
            <family val="2"/>
          </rPr>
          <t xml:space="preserve">
14/04/2025 RECEBIDO DO CERES: 06.</t>
        </r>
      </text>
    </comment>
    <comment ref="N40" authorId="0" shapeId="0" xr:uid="{89033E02-8120-4F7C-8C9B-B0ED1CED99C1}">
      <text>
        <r>
          <rPr>
            <b/>
            <sz val="10"/>
            <color indexed="81"/>
            <rFont val="Segoe UI"/>
            <family val="2"/>
          </rPr>
          <t>LETÍCIA-SEGECON/FPOLIS:</t>
        </r>
        <r>
          <rPr>
            <sz val="10"/>
            <color indexed="81"/>
            <rFont val="Segoe UI"/>
            <family val="2"/>
          </rPr>
          <t xml:space="preserve">
08/11/2024: CEDIDO AO CERES: 08.</t>
        </r>
      </text>
    </comment>
    <comment ref="K42" authorId="0" shapeId="0" xr:uid="{3D626FB5-F5BD-4BEB-9387-043F1A2C1436}">
      <text>
        <r>
          <rPr>
            <b/>
            <sz val="10"/>
            <color indexed="81"/>
            <rFont val="Segoe UI"/>
            <family val="2"/>
          </rPr>
          <t>LETÍCIA-SEGECON/FPOLIS:</t>
        </r>
        <r>
          <rPr>
            <sz val="10"/>
            <color indexed="81"/>
            <rFont val="Segoe UI"/>
            <family val="2"/>
          </rPr>
          <t xml:space="preserve">
08/11/2024: CEDIDO AO CERES: 03.</t>
        </r>
      </text>
    </comment>
    <comment ref="N42" authorId="0" shapeId="0" xr:uid="{8F359270-E016-40D2-A691-745C409D1881}">
      <text>
        <r>
          <rPr>
            <b/>
            <sz val="10"/>
            <color indexed="81"/>
            <rFont val="Segoe UI"/>
            <family val="2"/>
          </rPr>
          <t>LETÍCIA-SEGECON/FPOLIS:</t>
        </r>
        <r>
          <rPr>
            <sz val="10"/>
            <color indexed="81"/>
            <rFont val="Segoe UI"/>
            <family val="2"/>
          </rPr>
          <t xml:space="preserve">
08/11/2024: CEDIDO AO CERES: 03.</t>
        </r>
      </text>
    </comment>
    <comment ref="N44" authorId="0" shapeId="0" xr:uid="{D48C02A0-39F5-4C12-A511-23D73A95E7C1}">
      <text>
        <r>
          <rPr>
            <b/>
            <sz val="10"/>
            <color indexed="81"/>
            <rFont val="Segoe UI"/>
            <family val="2"/>
          </rPr>
          <t>LETÍCIA-SEGECON/FPOLIS:</t>
        </r>
        <r>
          <rPr>
            <sz val="10"/>
            <color indexed="81"/>
            <rFont val="Segoe UI"/>
            <family val="2"/>
          </rPr>
          <t xml:space="preserve">
08/11/2024: CEDIDO AO CERES:: 10.</t>
        </r>
      </text>
    </comment>
    <comment ref="N45" authorId="0" shapeId="0" xr:uid="{0DC4BA91-247C-4D60-8199-50C0BA043A5F}">
      <text>
        <r>
          <rPr>
            <b/>
            <sz val="10"/>
            <color indexed="81"/>
            <rFont val="Segoe UI"/>
            <family val="2"/>
          </rPr>
          <t>LETÍCIA-SEGECON/FPOLIS:</t>
        </r>
        <r>
          <rPr>
            <sz val="10"/>
            <color indexed="81"/>
            <rFont val="Segoe UI"/>
            <family val="2"/>
          </rPr>
          <t xml:space="preserve">
08/11/2024: CEDIDO AO CERES:: 08.</t>
        </r>
      </text>
    </comment>
    <comment ref="N46" authorId="0" shapeId="0" xr:uid="{A02E1EB8-8A43-478D-B79F-A050372C04D1}">
      <text>
        <r>
          <rPr>
            <b/>
            <sz val="10"/>
            <color indexed="81"/>
            <rFont val="Segoe UI"/>
            <family val="2"/>
          </rPr>
          <t>LETÍCIA-SEGECON/FPOLIS:</t>
        </r>
        <r>
          <rPr>
            <sz val="10"/>
            <color indexed="81"/>
            <rFont val="Segoe UI"/>
            <family val="2"/>
          </rPr>
          <t xml:space="preserve">
08/11/2024: CEDIDO AO CERES:: 04.</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N15" authorId="0" shapeId="0" xr:uid="{6BF32945-5C94-4A78-A954-F17D1EA98B21}">
      <text>
        <r>
          <rPr>
            <b/>
            <sz val="9"/>
            <color indexed="81"/>
            <rFont val="Segoe UI"/>
            <family val="2"/>
          </rPr>
          <t>LETÍCIA-SEGECON/FPOLIS:</t>
        </r>
        <r>
          <rPr>
            <sz val="9"/>
            <color indexed="81"/>
            <rFont val="Segoe UI"/>
            <family val="2"/>
          </rPr>
          <t xml:space="preserve">
11/04/2025: CEDIDO PARA REITORIA/BU: 01.</t>
        </r>
      </text>
    </comment>
    <comment ref="N24" authorId="0" shapeId="0" xr:uid="{76E5F8E9-81F0-4A69-A5BC-E978C15C8F9D}">
      <text>
        <r>
          <rPr>
            <b/>
            <sz val="10"/>
            <color indexed="81"/>
            <rFont val="Segoe UI"/>
            <family val="2"/>
          </rPr>
          <t>LETÍCIA-SEGECON/FPOLIS:</t>
        </r>
        <r>
          <rPr>
            <sz val="10"/>
            <color indexed="81"/>
            <rFont val="Segoe UI"/>
            <family val="2"/>
          </rPr>
          <t xml:space="preserve">
07/11/2024: CEDIDO AO CCT: 02.</t>
        </r>
      </text>
    </comment>
    <comment ref="N25" authorId="0" shapeId="0" xr:uid="{FAC51428-14A3-4835-BF00-F7220BE30DE7}">
      <text>
        <r>
          <rPr>
            <b/>
            <sz val="9"/>
            <color indexed="81"/>
            <rFont val="Segoe UI"/>
            <family val="2"/>
          </rPr>
          <t>LETÍCIA-SEGECON/FPOLIS:</t>
        </r>
        <r>
          <rPr>
            <sz val="9"/>
            <color indexed="81"/>
            <rFont val="Segoe UI"/>
            <family val="2"/>
          </rPr>
          <t xml:space="preserve">
11/04/2025: CEDIDO PARA REITORIA/BU: 04.</t>
        </r>
      </text>
    </comment>
    <comment ref="N28" authorId="0" shapeId="0" xr:uid="{8A7EE78A-7270-4291-8050-7021B92151B7}">
      <text>
        <r>
          <rPr>
            <b/>
            <sz val="10"/>
            <color indexed="81"/>
            <rFont val="Segoe UI"/>
            <family val="2"/>
          </rPr>
          <t>LETÍCIA-SEGECON/FPOLIS:</t>
        </r>
        <r>
          <rPr>
            <sz val="10"/>
            <color indexed="81"/>
            <rFont val="Segoe UI"/>
            <family val="2"/>
          </rPr>
          <t xml:space="preserve">
14/11/2024: CEDIDO PARA ESAG: 05.</t>
        </r>
      </text>
    </comment>
    <comment ref="N48" authorId="0" shapeId="0" xr:uid="{8BCB2753-6CA7-4B0F-986F-2FFC12F3E033}">
      <text>
        <r>
          <rPr>
            <b/>
            <sz val="10"/>
            <color indexed="81"/>
            <rFont val="Segoe UI"/>
            <family val="2"/>
          </rPr>
          <t>LETÍCIA-SEGECON/FPOLIS:</t>
        </r>
        <r>
          <rPr>
            <sz val="10"/>
            <color indexed="81"/>
            <rFont val="Segoe UI"/>
            <family val="2"/>
          </rPr>
          <t xml:space="preserve">
03/09/2024: CEDIDO AO MUSEU: 01.</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LETICIA - SEGECON FPOLIS</author>
  </authors>
  <commentList>
    <comment ref="E3" authorId="0" shapeId="0" xr:uid="{03FDDE7F-DFCD-46BF-931A-2F8C4D987DC6}">
      <text>
        <r>
          <rPr>
            <b/>
            <sz val="9"/>
            <color indexed="81"/>
            <rFont val="Segoe UI"/>
            <family val="2"/>
          </rPr>
          <t>LETICIA - SEGECON:</t>
        </r>
        <r>
          <rPr>
            <sz val="9"/>
            <color indexed="81"/>
            <rFont val="Segoe UI"/>
            <family val="2"/>
          </rPr>
          <t xml:space="preserve">
</t>
        </r>
        <r>
          <rPr>
            <u/>
            <sz val="9"/>
            <color indexed="81"/>
            <rFont val="Segoe UI"/>
            <family val="2"/>
          </rPr>
          <t>CUIDAR</t>
        </r>
        <r>
          <rPr>
            <sz val="9"/>
            <color indexed="81"/>
            <rFont val="Segoe UI"/>
            <family val="2"/>
          </rPr>
          <t xml:space="preserve"> -</t>
        </r>
        <r>
          <rPr>
            <b/>
            <sz val="9"/>
            <color indexed="81"/>
            <rFont val="Segoe UI"/>
            <family val="2"/>
          </rPr>
          <t xml:space="preserve"> MÁXIMO</t>
        </r>
        <r>
          <rPr>
            <sz val="9"/>
            <color indexed="81"/>
            <rFont val="Segoe UI"/>
            <family val="2"/>
          </rPr>
          <t xml:space="preserve"> </t>
        </r>
        <r>
          <rPr>
            <b/>
            <sz val="9"/>
            <color indexed="81"/>
            <rFont val="Segoe UI"/>
            <family val="2"/>
          </rPr>
          <t>50%</t>
        </r>
        <r>
          <rPr>
            <sz val="9"/>
            <color indexed="81"/>
            <rFont val="Segoe UI"/>
            <family val="2"/>
          </rPr>
          <t xml:space="preserve"> </t>
        </r>
        <r>
          <rPr>
            <u/>
            <sz val="9"/>
            <color indexed="81"/>
            <rFont val="Segoe UI"/>
            <family val="2"/>
          </rPr>
          <t>POR ÓRGÃO</t>
        </r>
        <r>
          <rPr>
            <sz val="9"/>
            <color indexed="81"/>
            <rFont val="Segoe UI"/>
            <family val="2"/>
          </rPr>
          <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LETICIA - SEGECON FPOLIS</author>
    <author>LETICIA KOSLOWSKY MEES MATTOS</author>
  </authors>
  <commentList>
    <comment ref="K44" authorId="0" shapeId="0" xr:uid="{668DF542-A4D3-4419-B9E9-F700CF2E7D13}">
      <text>
        <r>
          <rPr>
            <b/>
            <sz val="9"/>
            <color indexed="81"/>
            <rFont val="Segoe UI"/>
            <family val="2"/>
          </rPr>
          <t>LETICIA - SEGECON FPOLIS:</t>
        </r>
        <r>
          <rPr>
            <sz val="9"/>
            <color indexed="81"/>
            <rFont val="Segoe UI"/>
            <family val="2"/>
          </rPr>
          <t xml:space="preserve">
09/07/2024:  RECEBIDO DO SEMS: 56.</t>
        </r>
      </text>
    </comment>
    <comment ref="K48" authorId="1" shapeId="0" xr:uid="{99F5E008-FC84-4E91-9E33-BAC4C6DAF7A2}">
      <text>
        <r>
          <rPr>
            <b/>
            <sz val="10"/>
            <color indexed="81"/>
            <rFont val="Segoe UI"/>
            <family val="2"/>
          </rPr>
          <t>LETICIA - SEGECON/FPOLIS:</t>
        </r>
        <r>
          <rPr>
            <sz val="10"/>
            <color indexed="81"/>
            <rFont val="Segoe UI"/>
            <family val="2"/>
          </rPr>
          <t xml:space="preserve">
03/09/2024: RECEBIDO DA FAED: 01</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N5" authorId="0" shapeId="0" xr:uid="{2927C8E9-2C09-4FE8-9355-A7C72CC32832}">
      <text>
        <r>
          <rPr>
            <b/>
            <sz val="9"/>
            <color indexed="81"/>
            <rFont val="Segoe UI"/>
            <family val="2"/>
          </rPr>
          <t>LETÍCIA-SEGECON/FPOLIS:</t>
        </r>
        <r>
          <rPr>
            <sz val="9"/>
            <color indexed="81"/>
            <rFont val="Segoe UI"/>
            <family val="2"/>
          </rPr>
          <t xml:space="preserve">
31/03/2025: CEDIDO PARA REITORIA/PROJUR: 02.</t>
        </r>
      </text>
    </comment>
    <comment ref="N9" authorId="0" shapeId="0" xr:uid="{EB29BD9B-B661-49F9-ADF0-2DFF47B83993}">
      <text>
        <r>
          <rPr>
            <b/>
            <sz val="10"/>
            <color indexed="81"/>
            <rFont val="Segoe UI"/>
            <family val="2"/>
          </rPr>
          <t>LETÍCIA-SEGECON/FPOLIS:</t>
        </r>
        <r>
          <rPr>
            <sz val="10"/>
            <color indexed="81"/>
            <rFont val="Segoe UI"/>
            <family val="2"/>
          </rPr>
          <t xml:space="preserve">
12/06/2024: CEDIDO AO CEAD: 01.</t>
        </r>
      </text>
    </comment>
    <comment ref="N14" authorId="0" shapeId="0" xr:uid="{1BF0D09C-4E6A-4474-8DE2-34D27BDBCE22}">
      <text>
        <r>
          <rPr>
            <b/>
            <sz val="10"/>
            <color indexed="81"/>
            <rFont val="Segoe UI"/>
            <family val="2"/>
          </rPr>
          <t>LETÍCIA-SEGECON/FPOLIS:</t>
        </r>
        <r>
          <rPr>
            <sz val="10"/>
            <color indexed="81"/>
            <rFont val="Segoe UI"/>
            <family val="2"/>
          </rPr>
          <t xml:space="preserve">
11/06/2024: RECEBIDO DO CESMO: 03.</t>
        </r>
      </text>
    </comment>
    <comment ref="N15" authorId="0" shapeId="0" xr:uid="{12B5D0B5-4F82-46D8-918D-E29A32E48284}">
      <text>
        <r>
          <rPr>
            <b/>
            <sz val="10"/>
            <color indexed="81"/>
            <rFont val="Segoe UI"/>
            <family val="2"/>
          </rPr>
          <t>LETÍCIA-SEGECON/FPOLIS:</t>
        </r>
        <r>
          <rPr>
            <sz val="10"/>
            <color indexed="81"/>
            <rFont val="Segoe UI"/>
            <family val="2"/>
          </rPr>
          <t xml:space="preserve">
31/07/2024: CEDIDO AO CESMO: 03.</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N20" authorId="0" shapeId="0" xr:uid="{A48A397D-16F4-4B80-A3EF-91D6F2F08624}">
      <text>
        <r>
          <rPr>
            <b/>
            <sz val="10"/>
            <color indexed="81"/>
            <rFont val="Segoe UI"/>
            <family val="2"/>
          </rPr>
          <t>LETÍCIA-SEGECON/FPOLIS:</t>
        </r>
        <r>
          <rPr>
            <sz val="10"/>
            <color indexed="81"/>
            <rFont val="Segoe UI"/>
            <family val="2"/>
          </rPr>
          <t xml:space="preserve">
13/03/2025: RECEBIDO DO CEART: 06.</t>
        </r>
      </text>
    </comment>
    <comment ref="N23" authorId="0" shapeId="0" xr:uid="{EED1FBA6-3360-46F0-9284-E2C81131334E}">
      <text>
        <r>
          <rPr>
            <b/>
            <sz val="10"/>
            <color indexed="81"/>
            <rFont val="Segoe UI"/>
            <family val="2"/>
          </rPr>
          <t>LETÍCIA-SEGECON/FPOLIS:</t>
        </r>
        <r>
          <rPr>
            <sz val="10"/>
            <color indexed="81"/>
            <rFont val="Segoe UI"/>
            <family val="2"/>
          </rPr>
          <t xml:space="preserve">
13/03/2025: RECEBIDO DO CEART: 08.</t>
        </r>
      </text>
    </comment>
    <comment ref="N24" authorId="0" shapeId="0" xr:uid="{8D7FDAB8-B8B2-4566-812D-4436FB2DAA42}">
      <text>
        <r>
          <rPr>
            <b/>
            <sz val="10"/>
            <color indexed="81"/>
            <rFont val="Segoe UI"/>
            <family val="2"/>
          </rPr>
          <t>LETÍCIA-SEGECON/FPOLIS:</t>
        </r>
        <r>
          <rPr>
            <sz val="10"/>
            <color indexed="81"/>
            <rFont val="Segoe UI"/>
            <family val="2"/>
          </rPr>
          <t xml:space="preserve">
07/11/2024: RECEBIDO DA FAED: 02.</t>
        </r>
      </text>
    </comment>
    <comment ref="N39" authorId="0" shapeId="0" xr:uid="{D4084928-0271-421D-9316-786B33600B02}">
      <text>
        <r>
          <rPr>
            <b/>
            <sz val="10"/>
            <color indexed="81"/>
            <rFont val="Segoe UI"/>
            <family val="2"/>
          </rPr>
          <t>LETÍCIA-SEGECON/FPOLIS:</t>
        </r>
        <r>
          <rPr>
            <sz val="10"/>
            <color indexed="81"/>
            <rFont val="Segoe UI"/>
            <family val="2"/>
          </rPr>
          <t xml:space="preserve">
21/03/2025: RECEBIDO DO CEART: 05.</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LETICIA - SEGECON FPOLIS</author>
    <author>LETÍCIA-SEGECON/FPOLIS</author>
  </authors>
  <commentList>
    <comment ref="K9" authorId="0" shapeId="0" xr:uid="{0F7D3BC2-E194-466C-B7FC-E4911ACD8322}">
      <text>
        <r>
          <rPr>
            <b/>
            <sz val="9"/>
            <color indexed="81"/>
            <rFont val="Segoe UI"/>
            <family val="2"/>
          </rPr>
          <t>LETICIA - SEGECON FPOLIS:</t>
        </r>
        <r>
          <rPr>
            <sz val="9"/>
            <color indexed="81"/>
            <rFont val="Segoe UI"/>
            <family val="2"/>
          </rPr>
          <t xml:space="preserve">
12/06/2024: RECEBIDO DO CAV: 01.</t>
        </r>
      </text>
    </comment>
    <comment ref="K14" authorId="0" shapeId="0" xr:uid="{F01BAFAF-EAFD-4C44-9DFF-EED5CA017864}">
      <text>
        <r>
          <rPr>
            <b/>
            <sz val="9"/>
            <color indexed="81"/>
            <rFont val="Segoe UI"/>
            <family val="2"/>
          </rPr>
          <t>LETICIA - SEGECON FPOLIS:</t>
        </r>
        <r>
          <rPr>
            <sz val="9"/>
            <color indexed="81"/>
            <rFont val="Segoe UI"/>
            <family val="2"/>
          </rPr>
          <t xml:space="preserve">
12/06/2024: RECEBIDO DO CESMO: </t>
        </r>
        <r>
          <rPr>
            <b/>
            <sz val="9"/>
            <color indexed="81"/>
            <rFont val="Segoe UI"/>
            <family val="2"/>
          </rPr>
          <t>01.</t>
        </r>
      </text>
    </comment>
    <comment ref="K15" authorId="0" shapeId="0" xr:uid="{B0690334-BBA9-40AA-8DCC-1F4BE97A0400}">
      <text>
        <r>
          <rPr>
            <b/>
            <sz val="9"/>
            <color indexed="81"/>
            <rFont val="Segoe UI"/>
            <family val="2"/>
          </rPr>
          <t>LETICIA - SEGECON FPOLIS:</t>
        </r>
        <r>
          <rPr>
            <sz val="9"/>
            <color indexed="81"/>
            <rFont val="Segoe UI"/>
            <family val="2"/>
          </rPr>
          <t xml:space="preserve">
12/06/2024: CEDIDO AO CESMO: 01.</t>
        </r>
      </text>
    </comment>
    <comment ref="N44" authorId="1" shapeId="0" xr:uid="{29FBE40B-D62D-4AAF-96C0-957C00A85D52}">
      <text>
        <r>
          <rPr>
            <b/>
            <sz val="10"/>
            <color indexed="81"/>
            <rFont val="Segoe UI"/>
            <family val="2"/>
          </rPr>
          <t>LETÍCIA-SEGECON/FPOLIS:</t>
        </r>
        <r>
          <rPr>
            <sz val="10"/>
            <color indexed="81"/>
            <rFont val="Segoe UI"/>
            <family val="2"/>
          </rPr>
          <t xml:space="preserve">
19/02/2025: CEDIDO AO CERES: 05.</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N20" authorId="0" shapeId="0" xr:uid="{B06F4C74-E65B-492C-B4B0-F7C53A0B312B}">
      <text>
        <r>
          <rPr>
            <b/>
            <sz val="10"/>
            <color indexed="81"/>
            <rFont val="Segoe UI"/>
            <family val="2"/>
          </rPr>
          <t>LETÍCIA-SEGECON/FPOLIS:</t>
        </r>
        <r>
          <rPr>
            <sz val="10"/>
            <color indexed="81"/>
            <rFont val="Segoe UI"/>
            <family val="2"/>
          </rPr>
          <t xml:space="preserve">
13/03/2025: CEDIDO AO CCT: 06.</t>
        </r>
      </text>
    </comment>
    <comment ref="N23" authorId="0" shapeId="0" xr:uid="{6FBEF033-A18E-461A-A332-A0F3B25D8F24}">
      <text>
        <r>
          <rPr>
            <b/>
            <sz val="10"/>
            <color indexed="81"/>
            <rFont val="Segoe UI"/>
            <family val="2"/>
          </rPr>
          <t>LETÍCIA-SEGECON/FPOLIS:</t>
        </r>
        <r>
          <rPr>
            <sz val="10"/>
            <color indexed="81"/>
            <rFont val="Segoe UI"/>
            <family val="2"/>
          </rPr>
          <t xml:space="preserve">
13/03/2025: CEDIDO AO CCT: 08.</t>
        </r>
      </text>
    </comment>
    <comment ref="N38" authorId="0" shapeId="0" xr:uid="{A6D5607F-AE34-44B9-9CBF-12F0907E7304}">
      <text>
        <r>
          <rPr>
            <b/>
            <sz val="10"/>
            <color indexed="81"/>
            <rFont val="Segoe UI"/>
            <family val="2"/>
          </rPr>
          <t>LETÍCIA-SEGECON/FPOLIS:</t>
        </r>
        <r>
          <rPr>
            <sz val="10"/>
            <color indexed="81"/>
            <rFont val="Segoe UI"/>
            <family val="2"/>
          </rPr>
          <t xml:space="preserve">
10/03/2025: CEDIDO AO CERES: 03.</t>
        </r>
      </text>
    </comment>
    <comment ref="N39" authorId="0" shapeId="0" xr:uid="{280C6E75-A4B2-4E81-B880-39C315CFD7F3}">
      <text>
        <r>
          <rPr>
            <b/>
            <sz val="10"/>
            <color indexed="81"/>
            <rFont val="Segoe UI"/>
            <family val="2"/>
          </rPr>
          <t>LETÍCIA-SEGECON/FPOLIS:</t>
        </r>
        <r>
          <rPr>
            <sz val="10"/>
            <color indexed="81"/>
            <rFont val="Segoe UI"/>
            <family val="2"/>
          </rPr>
          <t xml:space="preserve">
28/11/2024: CEDIDO AO CERES: 06.
10/03/2025: CEDIDO AO CERES: 25.
10/03/2025: CEDIDO PARA BU: 07.
21/03/2025: CEDIDO AO CCT: 05.</t>
        </r>
      </text>
    </comment>
    <comment ref="N40" authorId="0" shapeId="0" xr:uid="{CF53D2A9-63BC-48C5-AA7E-DA77EE7CC965}">
      <text>
        <r>
          <rPr>
            <b/>
            <sz val="10"/>
            <color indexed="81"/>
            <rFont val="Segoe UI"/>
            <family val="2"/>
          </rPr>
          <t>LETÍCIA-SEGECON/FPOLIS:</t>
        </r>
        <r>
          <rPr>
            <sz val="10"/>
            <color indexed="81"/>
            <rFont val="Segoe UI"/>
            <family val="2"/>
          </rPr>
          <t xml:space="preserve">
28/11/2024: CEDIDO AO CERES: 10.
10/03/2025: CEDIDO AO CERES:  05.</t>
        </r>
      </text>
    </comment>
    <comment ref="N42" authorId="0" shapeId="0" xr:uid="{FC9E5F56-B192-4106-A400-D78E771DCC3E}">
      <text>
        <r>
          <rPr>
            <b/>
            <sz val="10"/>
            <color indexed="81"/>
            <rFont val="Segoe UI"/>
            <family val="2"/>
          </rPr>
          <t>LETÍCIA-SEGECON/FPOLIS:</t>
        </r>
        <r>
          <rPr>
            <sz val="10"/>
            <color indexed="81"/>
            <rFont val="Segoe UI"/>
            <family val="2"/>
          </rPr>
          <t xml:space="preserve">
28/11/2024: CEDIDO AO CERES: 15.
10/03/2025: CEDIDO AO CERES: : 07.</t>
        </r>
      </text>
    </comment>
    <comment ref="N43" authorId="0" shapeId="0" xr:uid="{9AB381C4-EB2A-420B-B6FF-C334F83DCCBF}">
      <text>
        <r>
          <rPr>
            <b/>
            <sz val="10"/>
            <color indexed="81"/>
            <rFont val="Segoe UI"/>
            <family val="2"/>
          </rPr>
          <t>LETÍCIA-SEGECON/FPOLIS:</t>
        </r>
        <r>
          <rPr>
            <sz val="10"/>
            <color indexed="81"/>
            <rFont val="Segoe UI"/>
            <family val="2"/>
          </rPr>
          <t xml:space="preserve">
28/11/2024: CEDIDO AO CERES: 20.
10/03/2025: CEDIDO AO CERES: 25.</t>
        </r>
      </text>
    </comment>
    <comment ref="N44" authorId="0" shapeId="0" xr:uid="{2A85007D-2A2E-4946-AE22-9DD60CFC608F}">
      <text>
        <r>
          <rPr>
            <b/>
            <sz val="10"/>
            <color indexed="81"/>
            <rFont val="Segoe UI"/>
            <family val="2"/>
          </rPr>
          <t>LETÍCIA-SEGECON/FPOLIS:</t>
        </r>
        <r>
          <rPr>
            <sz val="10"/>
            <color indexed="81"/>
            <rFont val="Segoe UI"/>
            <family val="2"/>
          </rPr>
          <t xml:space="preserve">
10/03/2025: CEDIDO AO CERES: 06.</t>
        </r>
      </text>
    </comment>
    <comment ref="N45" authorId="0" shapeId="0" xr:uid="{A95D75B6-2EE0-42DA-9414-73B65CE17CCA}">
      <text>
        <r>
          <rPr>
            <b/>
            <sz val="10"/>
            <color indexed="81"/>
            <rFont val="Segoe UI"/>
            <family val="2"/>
          </rPr>
          <t>LETÍCIA-SEGECON/FPOLIS:</t>
        </r>
        <r>
          <rPr>
            <sz val="10"/>
            <color indexed="81"/>
            <rFont val="Segoe UI"/>
            <family val="2"/>
          </rPr>
          <t xml:space="preserve">
28/11/2024: CEDIDO AO CERES: 05.
10/03/2025: CEDIDO AO CERES: 20.
</t>
        </r>
      </text>
    </comment>
    <comment ref="N46" authorId="0" shapeId="0" xr:uid="{09CECD8E-80BB-4755-A8E7-FD30693134EA}">
      <text>
        <r>
          <rPr>
            <b/>
            <sz val="10"/>
            <color indexed="81"/>
            <rFont val="Segoe UI"/>
            <family val="2"/>
          </rPr>
          <t>LETÍCIA-SEGECON/FPOLIS:</t>
        </r>
        <r>
          <rPr>
            <sz val="10"/>
            <color indexed="81"/>
            <rFont val="Segoe UI"/>
            <family val="2"/>
          </rPr>
          <t xml:space="preserve">
28/11/2024: CEDIDO AO CERES: 04.
10/03/2025: CEDIDO AO CERES: 04.</t>
        </r>
      </text>
    </comment>
    <comment ref="N47" authorId="0" shapeId="0" xr:uid="{504BE104-13E0-4B39-8BF6-1D918EEFAB5D}">
      <text>
        <r>
          <rPr>
            <b/>
            <sz val="10"/>
            <color indexed="81"/>
            <rFont val="Segoe UI"/>
            <family val="2"/>
          </rPr>
          <t>LETÍCIA-SEGECON/FPOLIS:</t>
        </r>
        <r>
          <rPr>
            <sz val="10"/>
            <color indexed="81"/>
            <rFont val="Segoe UI"/>
            <family val="2"/>
          </rPr>
          <t xml:space="preserve">
10/03/2025: CEDIDO AO CERES: 03.</t>
        </r>
      </text>
    </comment>
    <comment ref="N48" authorId="0" shapeId="0" xr:uid="{1850E5B1-0E42-41F0-A2B5-8168CA7D2BBA}">
      <text>
        <r>
          <rPr>
            <b/>
            <sz val="10"/>
            <color indexed="81"/>
            <rFont val="Segoe UI"/>
            <family val="2"/>
          </rPr>
          <t>LETÍCIA-SEGECON/FPOLIS:</t>
        </r>
        <r>
          <rPr>
            <sz val="10"/>
            <color indexed="81"/>
            <rFont val="Segoe UI"/>
            <family val="2"/>
          </rPr>
          <t xml:space="preserve">
10/03/2025: CEDIDO AO CERES: 02.</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N39" authorId="0" shapeId="0" xr:uid="{4DFEA1F2-82B6-4F09-85C4-F8A0E3B8F956}">
      <text>
        <r>
          <rPr>
            <b/>
            <sz val="10"/>
            <color indexed="81"/>
            <rFont val="Segoe UI"/>
            <family val="2"/>
          </rPr>
          <t>LETÍCIA-SEGECON/FPOLIS:</t>
        </r>
        <r>
          <rPr>
            <sz val="10"/>
            <color indexed="81"/>
            <rFont val="Segoe UI"/>
            <family val="2"/>
          </rPr>
          <t xml:space="preserve">
10/03/2025: CEDIDO AO CERES: 04.
02/07/2025: DEVOLVIDO DO CERES: 04.</t>
        </r>
      </text>
    </comment>
    <comment ref="N42" authorId="0" shapeId="0" xr:uid="{D6838FEE-BA09-45A7-9215-3C96CAE17E5F}">
      <text>
        <r>
          <rPr>
            <b/>
            <sz val="10"/>
            <color indexed="81"/>
            <rFont val="Segoe UI"/>
            <family val="2"/>
          </rPr>
          <t>LETÍCIA-SEGECON/FPOLIS:</t>
        </r>
        <r>
          <rPr>
            <sz val="10"/>
            <color indexed="81"/>
            <rFont val="Segoe UI"/>
            <family val="2"/>
          </rPr>
          <t xml:space="preserve">
10/03/2025: CEDIDO AO CERES: 42.
02/07/2025: DEVOLVIDO DO CERES: 42.</t>
        </r>
      </text>
    </comment>
    <comment ref="N45" authorId="0" shapeId="0" xr:uid="{A298B53D-BFE3-496D-9075-71DDBD58DE76}">
      <text>
        <r>
          <rPr>
            <b/>
            <sz val="10"/>
            <color indexed="81"/>
            <rFont val="Segoe UI"/>
            <family val="2"/>
          </rPr>
          <t>LETÍCIA-SEGECON/FPOLIS:</t>
        </r>
        <r>
          <rPr>
            <sz val="10"/>
            <color indexed="81"/>
            <rFont val="Segoe UI"/>
            <family val="2"/>
          </rPr>
          <t xml:space="preserve">
10/03/2025: CEDIDO AO CERES: 25.
02/07/2025: DEVOLVIDO DO CERES: 25.</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CAMILA DE ALMEIDA LUCA BATISTA</author>
    <author>LETÍCIA-SEGECON/FPOLIS</author>
  </authors>
  <commentList>
    <comment ref="N7" authorId="0" shapeId="0" xr:uid="{8942B0CC-77D0-4DC4-9C26-00064E8EA7D2}">
      <text>
        <r>
          <rPr>
            <b/>
            <sz val="9"/>
            <color indexed="81"/>
            <rFont val="Segoe UI"/>
            <family val="2"/>
          </rPr>
          <t>CAMILA DE ALMEIDA LUCA BATISTA:</t>
        </r>
        <r>
          <rPr>
            <sz val="9"/>
            <color indexed="81"/>
            <rFont val="Segoe UI"/>
            <family val="2"/>
          </rPr>
          <t xml:space="preserve">
Cedido ao CEO 01 und em 07.05.2025</t>
        </r>
      </text>
    </comment>
    <comment ref="N14" authorId="1" shapeId="0" xr:uid="{61C5E8B0-83D9-4790-898E-975C214352FE}">
      <text>
        <r>
          <rPr>
            <b/>
            <sz val="10"/>
            <color indexed="81"/>
            <rFont val="Segoe UI"/>
            <family val="2"/>
          </rPr>
          <t>LETÍCIA-SEGECON/FPOLIS:</t>
        </r>
        <r>
          <rPr>
            <sz val="10"/>
            <color indexed="81"/>
            <rFont val="Segoe UI"/>
            <family val="2"/>
          </rPr>
          <t xml:space="preserve">
10/06/2024:  RECEBIDO DO CESMO: 03.</t>
        </r>
      </text>
    </comment>
    <comment ref="N15" authorId="1" shapeId="0" xr:uid="{2443B59A-1D56-461F-90F8-44E05A3CF423}">
      <text>
        <r>
          <rPr>
            <b/>
            <sz val="10"/>
            <color indexed="81"/>
            <rFont val="Segoe UI"/>
            <family val="2"/>
          </rPr>
          <t>LETÍCIA-SEGECON/FPOLIS:</t>
        </r>
        <r>
          <rPr>
            <sz val="10"/>
            <color indexed="81"/>
            <rFont val="Segoe UI"/>
            <family val="2"/>
          </rPr>
          <t xml:space="preserve">
10/06/2024: CEDIDO AO CESMO: 03.</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N7" authorId="0" shapeId="0" xr:uid="{18A21124-5B6A-45AD-A1D8-4F7544D77F36}">
      <text>
        <r>
          <rPr>
            <b/>
            <sz val="10"/>
            <color indexed="81"/>
            <rFont val="Segoe UI"/>
            <family val="2"/>
          </rPr>
          <t>LETÍCIA-SEGECON/FPOLIS:</t>
        </r>
        <r>
          <rPr>
            <sz val="10"/>
            <color indexed="81"/>
            <rFont val="Segoe UI"/>
            <family val="2"/>
          </rPr>
          <t xml:space="preserve">
27/09/2024: RECEBIDO DO CESFI: 02.
Recebido do CEFID 01 unid em 07.05.2025</t>
        </r>
      </text>
    </comment>
    <comment ref="N28" authorId="0" shapeId="0" xr:uid="{4B924EF7-EDFF-4C6A-A9AB-7E5F1B9C0FF8}">
      <text>
        <r>
          <rPr>
            <b/>
            <sz val="10"/>
            <color indexed="81"/>
            <rFont val="Segoe UI"/>
            <family val="2"/>
          </rPr>
          <t>LETÍCIA-SEGECON/FPOLIS:</t>
        </r>
        <r>
          <rPr>
            <sz val="10"/>
            <color indexed="81"/>
            <rFont val="Segoe UI"/>
            <family val="2"/>
          </rPr>
          <t xml:space="preserve">
01/10/2024: CEDIDO À ESAG: 05.</t>
        </r>
      </text>
    </comment>
  </commentList>
</comments>
</file>

<file path=xl/sharedStrings.xml><?xml version="1.0" encoding="utf-8"?>
<sst xmlns="http://schemas.openxmlformats.org/spreadsheetml/2006/main" count="9002" uniqueCount="374">
  <si>
    <t>Saldo / Automático</t>
  </si>
  <si>
    <t>...../...../......</t>
  </si>
  <si>
    <t>ALERTA</t>
  </si>
  <si>
    <t>Lote</t>
  </si>
  <si>
    <t>Qtde Registrada</t>
  </si>
  <si>
    <t>Peça</t>
  </si>
  <si>
    <t>449052-34</t>
  </si>
  <si>
    <t xml:space="preserve">Instalação completa de equipamento de ar-condicionado tipo "split" até 24.000 BTU/h incluindo até 3 metros de distância entre evaporadora e condensadora – Composto de 01 (uma) unidade evaporadora e 01 (uma) unidade condensadora. </t>
  </si>
  <si>
    <t>Serviço</t>
  </si>
  <si>
    <t>339039-25</t>
  </si>
  <si>
    <t xml:space="preserve">Instalação completa de equipamento de ar-condicionado tipo "split" de 25.000 a 48.000 BTU/h incluindo até 3 metros de distância entre evaporadora e condensadora – Composto de 01 (uma) unidade evaporadora e 01 (uma) unidade condensadora. </t>
  </si>
  <si>
    <t xml:space="preserve">Instalação completa de equipamento de ar-condicionado tipo "split" acima de 48.000 BTU/h incluindo até 3 metros de distância entre evaporadora e condensadora – Composto de 01 (uma) unidade evaporadora e 01 (uma) unidade condensadora. </t>
  </si>
  <si>
    <t xml:space="preserve">Metro adicional de linha para instalação de split até 24.000 BTU/h. </t>
  </si>
  <si>
    <t xml:space="preserve">Metro adicional de linha para instalação de split acima de 48.000 BTU/h. </t>
  </si>
  <si>
    <t xml:space="preserve">Cortina de Ar. Dimensões aproximadas: (L X A XP): 150 x 23 x 22cm , podendo ter pequena variação de tamanho, dependendo da marca do produto. Monofásico, 220 Volts. Potência (c/v) mínimo de 1/5. Nível máximo de ruído (db): menor que 60db. Modos de operação: ventila. Velocidades (m/s) mínimo de 11. Vazão de ar: mínimo de 1300 m3/h. Temperatura somente ventilação. Recursos função automática. Saída de ar frontal e vertical. Entrada superior de ar. Direcionadores de ar vertical. Recirculação de ar (m3/m) maior que 25. Prazo de garantia de 01 ano. Item incluso: controle remoto. Cor branco. </t>
  </si>
  <si>
    <t>Valor Utilizado</t>
  </si>
  <si>
    <t>% Aditivos</t>
  </si>
  <si>
    <t>% Utilizado</t>
  </si>
  <si>
    <t>Grupo-Classe</t>
  </si>
  <si>
    <t>Código NUC</t>
  </si>
  <si>
    <t>39-02</t>
  </si>
  <si>
    <t>00416-2-132</t>
  </si>
  <si>
    <t>00416-2-147</t>
  </si>
  <si>
    <t>39-06</t>
  </si>
  <si>
    <t>39-05</t>
  </si>
  <si>
    <t>02633-6-003</t>
  </si>
  <si>
    <t>339030.25</t>
  </si>
  <si>
    <t>Instalação de Cortina de Ar.</t>
  </si>
  <si>
    <t>04-03</t>
  </si>
  <si>
    <t>05015-5-004</t>
  </si>
  <si>
    <t xml:space="preserve">Instalação de bomba dreno para remoção de condensador, para sistemas de ar condicionado tipo split ou janela. </t>
  </si>
  <si>
    <t>00416-2-153</t>
  </si>
  <si>
    <t>DENTECK AR CONDICIONADO LTDA</t>
  </si>
  <si>
    <t>D. R. DE CASTROS CLIMATIZAÇÃO</t>
  </si>
  <si>
    <t>Metro</t>
  </si>
  <si>
    <t>CENTRO PARTICIPANTE: CAV</t>
  </si>
  <si>
    <t>CENTRO PARTICIPANTE: CCT</t>
  </si>
  <si>
    <t>CENTRO PARTICIPANTE: CEART</t>
  </si>
  <si>
    <t>CENTRO PARTICIPANTE: CEAVI</t>
  </si>
  <si>
    <t>CENTRO PARTICIPANTE: CESFI</t>
  </si>
  <si>
    <t>CENTRO PARTICIPANTE: CEFID</t>
  </si>
  <si>
    <t>CENTRO PARTICIPANTE: CEO</t>
  </si>
  <si>
    <t>CENTRO PARTICIPANTE: CEPLAN</t>
  </si>
  <si>
    <t>CENTRO PARTICIPANTE: CERES</t>
  </si>
  <si>
    <t>CENTRO PARTICIPANTE: ESAG</t>
  </si>
  <si>
    <t>CENTRO PARTICIPANTE: FAED</t>
  </si>
  <si>
    <t xml:space="preserve">Valor Total da Ata </t>
  </si>
  <si>
    <t>TOTAL</t>
  </si>
  <si>
    <r>
      <rPr>
        <b/>
        <sz val="11"/>
        <rFont val="Calibri"/>
        <family val="2"/>
        <scheme val="minor"/>
      </rPr>
      <t xml:space="preserve">OBJETO: </t>
    </r>
    <r>
      <rPr>
        <sz val="11"/>
        <rFont val="Calibri"/>
        <family val="2"/>
        <scheme val="minor"/>
      </rPr>
      <t xml:space="preserve">AQUISIÇÃO  DE  APARELHOS  DE  AR-CONDICIONADO,  EXAUSTORES,  BOMBAS  DE  DRENO, CORTINAS  DE  AR,  VENTILADORES,  CONTROLES  REMOTOS  DE  APARELHOS  DE  AR-CONDICIONADO  E CONTRATAÇÃO   DE   SERVIÇOS   DE   INSTALAÇÃO   E   DESINSTALAÇÃO   DE EQUIPAMENTOS,   COM FORNECIMENTO DE MATERIAIS PARA A UDESC </t>
    </r>
  </si>
  <si>
    <r>
      <t xml:space="preserve">VIGÊNCIA DA ATA: 16/05/2024 a </t>
    </r>
    <r>
      <rPr>
        <b/>
        <sz val="11"/>
        <rFont val="Calibri"/>
        <family val="2"/>
        <scheme val="minor"/>
      </rPr>
      <t>16/05/2025</t>
    </r>
  </si>
  <si>
    <t>Preço UNITÁRIO</t>
  </si>
  <si>
    <t xml:space="preserve">AF/OS nº xxx/2024 (Quantidade)                                                                                                                       </t>
  </si>
  <si>
    <r>
      <rPr>
        <b/>
        <sz val="11"/>
        <rFont val="Calibri"/>
        <family val="2"/>
        <scheme val="minor"/>
      </rPr>
      <t>PE 0612/2024 SRP</t>
    </r>
    <r>
      <rPr>
        <sz val="11"/>
        <rFont val="Calibri"/>
        <family val="2"/>
        <scheme val="minor"/>
      </rPr>
      <t xml:space="preserve"> - (SGPE DE ORIGEM: 42405/2023)</t>
    </r>
  </si>
  <si>
    <t>OBS:</t>
  </si>
  <si>
    <t>Prazo de entrega: 30 dias corridos</t>
  </si>
  <si>
    <t>Prazo de pagamento: 30 dias</t>
  </si>
  <si>
    <t>Item</t>
  </si>
  <si>
    <t>Empresa</t>
  </si>
  <si>
    <t>Descrição</t>
  </si>
  <si>
    <t>Marca/Modelo</t>
  </si>
  <si>
    <t>Unidade</t>
  </si>
  <si>
    <t>Detalhamento</t>
  </si>
  <si>
    <r>
      <t>OBS:</t>
    </r>
    <r>
      <rPr>
        <sz val="10"/>
        <rFont val="Calibri"/>
        <family val="2"/>
        <scheme val="minor"/>
      </rPr>
      <t xml:space="preserve"> </t>
    </r>
    <r>
      <rPr>
        <b/>
        <u/>
        <sz val="10"/>
        <rFont val="Calibri"/>
        <family val="2"/>
        <scheme val="minor"/>
      </rPr>
      <t>VALOR MÍNIMO</t>
    </r>
    <r>
      <rPr>
        <sz val="10"/>
        <rFont val="Calibri"/>
        <family val="2"/>
        <scheme val="minor"/>
      </rPr>
      <t xml:space="preserve"> DA AF/OS:</t>
    </r>
    <r>
      <rPr>
        <b/>
        <sz val="10"/>
        <rFont val="Calibri"/>
        <family val="2"/>
        <scheme val="minor"/>
      </rPr>
      <t xml:space="preserve"> </t>
    </r>
    <r>
      <rPr>
        <b/>
        <u/>
        <sz val="10"/>
        <rFont val="Calibri"/>
        <family val="2"/>
        <scheme val="minor"/>
      </rPr>
      <t>R$ 300,00</t>
    </r>
  </si>
  <si>
    <t>ELETRO CENTRO COMÉRCIO DE PEÇAS E ELETROELETRONICOS LTDA</t>
  </si>
  <si>
    <t>Aparelho de ar condicionado tipo Split High Wall (para parede), ciclo somente frio, 220 V, capacidade frigorífica nominal de 9.000 btu’s, com controle remoto individual sem fio em português, filtro de ar lavável (de acordo com ABNT NBR 16401/2008), 60Hz, com ruído máximo de 60dB, tecnologia inverter, com gás refrigerante ecológico R410A, R-32 ou outro ecologicamente superior não nocivo para a camada de ozonio,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</si>
  <si>
    <t>AGRATTO/LCS9F</t>
  </si>
  <si>
    <t>00416-2-057</t>
  </si>
  <si>
    <t>VENTISOL DA AMAZONIA INDUSTRIA DE APARELHOS ELETRICOS LTDA</t>
  </si>
  <si>
    <t>Aparelho de ar condicionado tipo Split High Wall (para parede), ciclo quente e frio, 220 V, capacidade frigorífica nominal de 9.000 btu’s, com controle remoto individual sem fio em português, filtro de ar lavável (de acordo com ABNT NBR 16401/2008), capacidade de desumidificar o ambiente, 60Hz, com ruído máximo de 60dB, tecnologia inverter, com gás refrigerante ecológico R410A, R-32 ou outro ecologicamente superior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</si>
  <si>
    <t>AGRATTO /SPLIT INVERTER LIV TOP LCST9QF-02I</t>
  </si>
  <si>
    <t>Aparelho de ar condicionado tipo Split High Wall (para parede), ciclo somente frio, 220 V, capacidade frigorífica nominal de 12.000 btu’s, com controle remoto individual sem fio em português, filtro de ar lavável (de acordo com ABNT NBR 16401/2008), 60Hz, com ruído máximo de 60dB, tecnologia inverter, com gás refrigerante ecológico R410A, R-32 ou outro ecologicamente superior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</si>
  <si>
    <t>AGRATTO/LCS12F</t>
  </si>
  <si>
    <t>00416-2-084</t>
  </si>
  <si>
    <t>Aparelho de ar condicionado tipo Split High Wall (para parede), ciclo quente e frio, 220 V, capacidade frigorífica nominal de 12.000 btu’s, com controle remoto individual sem fio em português, filtro de ar lavável (de acordo com ABNT NBR 16401/2008), capacidade de desumidificar o ambiente, 60Hz, com ruído máximo de 60dB, tecnologia inverter, com gás refrigerante ecológico R410A, R-32 ou outro ecologicamente superior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</si>
  <si>
    <t>AGRATTO /SPLIT INVERTER LIV TOP LCST12QF-02I</t>
  </si>
  <si>
    <t>00416-2-120</t>
  </si>
  <si>
    <t>Aparelho de ar condicionado tipo Split High Wall (para parede), ciclo somente frio, 220 V, capacidade frigorífica nominal de 18.000 btu’s,  com controle remoto individual sem fio em português, filtro de ar lavável (de acordo com ABNT NBR 16401/2008), 60Hz, com ruído máximo de 60dB, tecnologia inverter, com gás refrigerante ecológico R410A, R-32 ou outro ecologicamente superior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</si>
  <si>
    <t>AGRATTO/LCS18F</t>
  </si>
  <si>
    <t>00416-2-020 por 00416-2-132</t>
  </si>
  <si>
    <t>Aparelho de ar condicionado tipo Split High Wall (para parede), ciclo quente e frio, 220 V, capacidade frigorífica nominal de 18.000 btu’s, com controle remoto individual sem fio em português, filtro de ar lavável (de acordo com ABNT NBR 16401/2008), capacidade de desumidificar o ambiente, 60Hz, com ruído máximo de 60dB, tecnologia inverter, com gás refrigerante ecológico R410A, R-32 ou outro ecologicamente superior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</si>
  <si>
    <t>Aparelho de ar condicionado tipo Split Cassete, ciclo somente frio, 220 V, capacidade frigorífica nominal de 17.000 a 18.000 btu’s, com controle remoto individual sem fio em português, filtro de ar lavável (de acordo com ABNT NBR 16401/2008), 60Hz, com ruído máximo de 60dB, tecnologia inverter, com gás refrigerante ecológico R410A, R-32 ou outro ecologicamente superior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ou "B", podendo ser confirmado no sitio http://www.inmetro.gov.br/registrosobjetos/Default.aspx?pag=1.</t>
  </si>
  <si>
    <t>CARRIER/40KVQA18C/38TVQA18515MC</t>
  </si>
  <si>
    <t>Aparelho de ar condicionado tipo Split Cassete, ciclo quente e frio, 220 V, capacidade frigorífica nominal de 17.000 a 18.000 btu’s, com controle remoto individual sem fio em português, filtro de ar lavável (de acordo com ABNT NBR 16401/2008), 60Hz, com ruído máximo de 60dB, tecnologia inverter, com gás refrigerante ecológico R410A, R-32 ou outro ecologicamente superior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ou "B", podendo ser confirmado no sitio http://www.inmetro.gov.br/registrosobjetos/Default.aspx?pag=1.</t>
  </si>
  <si>
    <t>MICROTECNICA INFORMATICA LTDA</t>
  </si>
  <si>
    <t>Aparelho de ar condicionado tipo Split Piso Teto, ciclo somente frio, 220 V, capacidade frigorífica nominal de 23.000 a 24.000 btu’s, com controle remoto individual sem fio em português, filtro de ar lavável (de acordo com ABNT NBR 16401/2008), 60Hz, com ruído máximo de 60dB, tecnologia inverter, com gás refrigerante ecológico R410A, R-32 ou outro ecologicamente superior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</si>
  <si>
    <t>Midea Carrier/42ZQVD30C5/38CCVD30515MC</t>
  </si>
  <si>
    <t>Aparelho de ar condicionado tipo Split Piso Teto, ciclo quente e frio, 220 V, capacidade frigorífica nominal de 23.000 a 24.000 btu’s, com controle remoto individual sem fio em português, filtro de ar lavável (de acordo com ABNT NBR 16401/2008), 60Hz, com ruído máximo de 60dB, tecnologia inverter, com gás refrigerante ecológico R410A, R-32 ou outro ecologicamente superior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</si>
  <si>
    <t>ELGIN/PVQ24000</t>
  </si>
  <si>
    <t>Aparelho de ar condicionado tipo Split High Wall (para parede), ciclo frio, 220 V, capacidade frigorífica nominal de 24.000 btu’s, com controle remoto individual sem fio em português, filtro de ar lavável (de acordo com ABNT NBR 16401/2008), 60Hz, com ruído máximo de 60dB, tecnologia inverter, com gás refrigerante ecológico R410A, R-32 ou outro ecologicamente superior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</si>
  <si>
    <t>TCL/TAC-24CSA2-INV</t>
  </si>
  <si>
    <t>Aparelho de ar condicionado tipo Split High Wall (para parede), ciclo quente e frio, 220 V, capacidade frigorífica nominal de 24.000 btu’s, com controle remoto individual sem fio em português, filtro de ar lavável (de acordo com ABNT NBR 16401/2008), capacidade de desumidificar o ambiente, 60Hz, com ruído máximo de 60dB, tecnologia inverter, com gás refrigerante ecológico R410A, R-32 ou outro ecologicamente superior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</si>
  <si>
    <t>TCL/TAC-24CHSA2-INV</t>
  </si>
  <si>
    <t>BONAR REFRIGERACAO LTDA</t>
  </si>
  <si>
    <t>Aparelho de ar condicionado tipo Split Cassete, ciclo somente frio, 220 V, capacidade frigorífica nominal de 23.000 a 24.000 btu’s, com controle remoto individual sem fio em português, filtro de ar lavável (de acordo com ABNT NBR 16401/2008), 60Hz, com ruído máximo de 60dB, tecnologia inverter, com gás refrigerante ecológico R410A, R-32 ou outro ecologicamente superior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ou "B", podendo ser confirmado no sitio http://www.inmetro.gov.br/registrosobjetos/Default.aspx?pag=1.</t>
  </si>
  <si>
    <t>PHILCO/PAC24000ICQFM9</t>
  </si>
  <si>
    <t>Aparelho de ar condicionado tipo Split Cassete, ciclo quente e frio, 220 V, capacidade frigorífica nominal de 23.000 a 24.000 btu’s, com controle remoto individual sem fio em português, filtro de ar lavável (de acordo com ABNT NBR 16401/2008), 60Hz, com ruído máximo de 60dB, tecnologia inverter, com gás refrigerante ecológico R410A, R-32 ou outro ecologicamente superior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ou "B", podendo ser confirmado no sitio http://www.inmetro.gov.br/registrosobjetos/Default.aspx?pag=1.</t>
  </si>
  <si>
    <t>Aparelho de ar condicionado tipo Split Piso Teto, ciclo somente frio, 220 V, capacidade frigorífica nominal de 27.000 a 30.000 btu’s, com controle remoto individual sem fio em português, filtro de ar lavável (de acordo com ABNT NBR 16401/2008), 60Hz, com ruído máximo de 60dB, tecnologia inverter, com gás refrigerante ecológico R410A, R-32 ou outro ecologicamente superior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</si>
  <si>
    <t>ELGIN/PVQ30000</t>
  </si>
  <si>
    <t>Aparelho de ar condicionado tipo Split High Wall (para parede), ciclo quente e frio, 220 V, capacidade frigorífica nominal de 27.000 a 30.000 btu’s, com controle remoto individual sem fio em português, filtro de ar lavável (de acordo com ABNT NBR 16401/2008), capacidade de desumidificar o ambiente, 60Hz, com ruído máximo de 60dB, tecnologia inverter, com gás refrigerante ecológico R410A, R-32 ou outro ecologicamente superior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</si>
  <si>
    <t>TCL/TAC-32CHSA2-INV</t>
  </si>
  <si>
    <t>00416-2-142</t>
  </si>
  <si>
    <t>Aparelho de ar condicionado tipo Split Piso Teto, ciclo somente frio, 220 V, capacidade frigorífica nominal de 32.000 a 36.000 btu’s, com controle remoto individual sem fio em português, filtro de ar lavável (de acordo com ABNT NBR 16401/2008), 60Hz, com ruído máximo de 60dB, tecnologia inverter, com gás refrigerante ecológico R410A, R-32 ou outro ecologicamente superior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</si>
  <si>
    <t>PHILCO/PAC36000IPFM5</t>
  </si>
  <si>
    <t>00416-2-044</t>
  </si>
  <si>
    <t xml:space="preserve"> MICROTECNICA INFORMATICA LTDA</t>
  </si>
  <si>
    <t>Aparelho de ar condicionado tipo Split Piso Teto, ciclo quente e frio, 220 V, capacidade frigorífica nominal de 32.000 a 36.000 btu’s, com controle remoto individual sem fio em português, filtro de ar lavável (de acordo com ABNT NBR 16401/2008), 60Hz, com ruído máximo de 60dB, tecnologia inverter, com gás refrigerante ecológico R410A, R-32 ou outro ecologicamente superior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</si>
  <si>
    <t>Midea Carrier/42ZQVD36C5/38CQVD36515MC</t>
  </si>
  <si>
    <t>00416-2-011</t>
  </si>
  <si>
    <t>Aparelho de ar condicionado tipo Split cassete, ciclo somente frio, 220 V, capacidade frigorífica nominal de 32.000 a 36.000 btu’s, com controle remoto individual sem fio em português, filtro de ar lavável (de acordo com ABNT NBR 16401/2008), 60Hz, com ruído máximo de 60dB, tecnologia inverter, com gás refrigerante ecológico R410A, R-32 ou outro ecologicamente superior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</si>
  <si>
    <t>PHILCO/PAC36000ICFM5</t>
  </si>
  <si>
    <t>Aparelho de ar condicionado tipo Split Piso Teto, ciclo somente frio, 380 V trifásico, com pressotato de alta e baixa e rele contra inversão de fase, capacidade frigorífica nominal de 45.000 a 48.000 btu’s, com controle remoto individual sem fio em português, filtro de ar lavável (de acordo com ABNT NBR 16401/2008), 60Hz, com ruído máximo de 60dB, tecnologia inverter, com gás refrigerante ecológico R410A, R-32 ou outro ecologicamente superior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"B", podendo ser confirmado no sitio http://www.inmetro.gov.br/registrosobjetos/Default.aspx?pag=1.</t>
  </si>
  <si>
    <t>ELGIN/PVF48000</t>
  </si>
  <si>
    <t>00416-2-026</t>
  </si>
  <si>
    <t>Aparelho de ar condicionado tipo Split Piso Teto, ciclo somente frio, 380 V trifásico, com pressotato de alta e baixa e rele contra inversão de fase, capacidade frigorífica nominal de  52.000 a 60.000 btu’s, com controle remoto individual sem fio em português, filtro de ar lavável (de acordo com ABNT NBR 16401/2008), 60Hz, com ruído máximo de 60dB, tecnologia inverter, com gás refrigerante ecológico R410A, R-32 ou outro ecologicamente superior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ou "B", podendo ser confirmado no sitio http://www.inmetro.gov.br/registrosobjetos/Default.aspx?pag=1.</t>
  </si>
  <si>
    <t>ELGIN/PVF60000</t>
  </si>
  <si>
    <t>00416-2-074</t>
  </si>
  <si>
    <t>Aparelho de ar condicionado tipo Split Piso Teto, ciclo quente e frio, 380 V trifásico, com pressotato de alta e baixa e rele contra inversão de fase, capacidade frigorífica nominal de 52.000 a 60.000 btu’s, com controle remoto individual sem fio em português, filtro de ar lavável (de acordo com ABNT NBR 16401/2008), 60Hz, com ruído máximo de 60dB, tecnologia inverter, com gás refrigerante ecológico R410A, R-32 ou outro ecologicamente superior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ou "B", podendo ser confirmado no sitio http://www.inmetro.gov.br/registrosobjetos/Default.aspx?pag=1.</t>
  </si>
  <si>
    <t>CARRIER/38CQVD60515MC // 42ZQVD60C5</t>
  </si>
  <si>
    <t>00416-2-122</t>
  </si>
  <si>
    <t>SUPERAR EIRELI - EPP</t>
  </si>
  <si>
    <t>Aparelho de ar condicionado tipo Split Cassete, ciclo somente frio,  380 V trifásico, capacidade frigorífica nominal de 52.000 a 60.000 btu’s , com controle remoto individual sem fio em português, filtro de ar lavável (de acordo com ABNT NBR 16401/2008), 60Hz, com ruído máximo de 60dB, tecnologia inverter, com gás refrigerante ecológico R410A, R-32 ou outro ecologicamente superior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ou "B", podendo ser confirmado no sitio http://www.inmetro.gov.br/registrosobjetos/Default.aspx?pag=1.</t>
  </si>
  <si>
    <t>PHILCO/PAC 60000ICFM5</t>
  </si>
  <si>
    <t>Aparelho de ar condicionado tipo Split Cassete, ciclo quente e frio,  380 V trifásico, capacidade frigorífica nominal de 52.000 a 60.000 btu’s, com controle remoto individual sem fio em português, filtro de ar lavável (de acordo com ABNT NBR 16401/2008), 60Hz, com ruído máximo de 60dB, tecnologia inverter, com gás refrigerante ecológico R410A, R-32 ou outro ecologicamente superior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ou "B", podendo ser confirmado no sitio http://www.inmetro.gov.br/registrosobjetos/Default.aspx?pag=1.</t>
  </si>
  <si>
    <t>CARRIER/38CQVD60515MC // 40KVQD60C5 // 40KWFLB</t>
  </si>
  <si>
    <t>12357-9-009</t>
  </si>
  <si>
    <t xml:space="preserve"> LINDNER ENGENHARIA DE CLIMATIZACAO LTDA</t>
  </si>
  <si>
    <t>Bomba de dreno com vazão de 35l/h, univolt, 220v, elevação de aspiração: 2m, altura da descarga :15m, ruído máximo: 35dB, para equipamentos com produção mínima de umidade de 157.000 btus/h, temperatura da água até 40ºc, com proteção térmica com sistema de boia elétrica e contato normalmente fechado de 3.0A.  Prazo de garantia de 01 ano</t>
  </si>
  <si>
    <t>ORING/ORING</t>
  </si>
  <si>
    <t>KOMECO/KCAF 15C</t>
  </si>
  <si>
    <t>07636-8-001</t>
  </si>
  <si>
    <t xml:space="preserve"> SUPERA COM E IMPORTAÇÃO LTDA</t>
  </si>
  <si>
    <t>Controle universal para ar condicionado. Precisa atender no mínimo as seguintes marcas: Komeco, Midea, Elgin, Carrier e Electrolux.</t>
  </si>
  <si>
    <t>EOS/KIT000687</t>
  </si>
  <si>
    <t>BT COMERCIO INTELIGENTE LTDA</t>
  </si>
  <si>
    <t>Desumidificador. Alimentação (V): 220V, Volume do ambiente (m³): até no mínimo 70m³, Potência aproximada do Desumidificador: 137W (110v) / 159W (220v), Peso bruto aproximado: 10,50Kg Desumidificação (Litros/dia): mínimo de 8L/D 30º 80% U.R, Capacidade do reservatório de água: mínimo de 1,8 Litros, Possui conector de dreno (mangueira), Composição: Plástico ABS, Cor: Branco, Corrente aproximada: 1,47A (110v) / 0,72A (220v), Tipo de motor: Compressor hermético rotativo, Capacidade do Compressor: 1/6HP - 1160 Btu's, Gás refrigerante do compressor: R134A, Defrost: Sim, Umidostato: Sim, Ruído: máximo de 53 db, Vazão de ar/hora: mínimo de 100 m³/h, Filtro: PVC, Garantia: 1 ano, Certificado: INMETRO – Modelo referencia: Desidrat Plus 70</t>
  </si>
  <si>
    <t>General Heater/Desumidificador / GHD-1200-2-220v</t>
  </si>
  <si>
    <t>39-04</t>
  </si>
  <si>
    <t>03792-3-011</t>
  </si>
  <si>
    <t>MAXIMARCAS COMERCIO E SERVICOS LTDA</t>
  </si>
  <si>
    <t>Desumidificador. Alimentação (V):  220V, Volume do ambiente (m³): até no mínimo 300m³, Potência Aproximada do Desumidificador:  330W (110v) / 255W (220v), Peso bruto aproximado: 13,40Kg, Desumidificação (Litros/dia): mínimo de 16L/D 30º 80%UR,  Capacidade mínima do reservatório de água: 6,5 Litros, Possui conector de dreno (mangueira não acompanha), Composição: Plástico ABS Cor: Branco, Corrente aproximada: 2,95A (110v)  / 1,15A (220v) Tipo de motor: Compressor hermético rotativo, Capacidade do Compressor: 1/3 HP; Gás Refrigerante Compressor: R134A, Defrost: Sim, Umidostato: Sim, Ruído: máximo de 48db, Vazão de ar/hora: mínimo de 165 m³/h, Filtro: PVC, Rodízio: Bidirecional, Garantia: 1 Ano, Certificado: INMETRO, Acessórios inclusos: Manual de instrução e Dreno. – Modelo referencia: Desidrat Plus 300</t>
  </si>
  <si>
    <t>DESIDRAT/PLUS300</t>
  </si>
  <si>
    <t>YNOV DISTRIBUICAO DE PRODUTOS LTDA ME</t>
  </si>
  <si>
    <t>Desumidificador compacto elétrico, automático, controlador da umidade ambiente, com capacidade para retirar até 30 litros de água por dia (24h) do ar, próprio para ambiente de até 1500 m3. Possui umidostato para regulagem da umidade do ambiente, defrost e filtro de ar incorporados. Características técnicas (V) 220V; Capacidade (m3): 1000m3; Capacidade do compressor: 1/2Hp; Potência desumidificador (W): 610W/720W; Corrente (A) 7,8/3,2a; Desumidificação (L/dia) 18L/dia 27ºC 60% RH - 30L/dia 30ºC 80%RH; Dimensões (mm) 350x455x603mm; Elemento Resfriamento: compressor, gás refrigerante compressor: R13A; Peso (kg):25Kg; Pressão Máx. Descarga: 3,5 Mpa; Pressão Máx. Sucção: 1,0 Mpa; Reservatório Desumidificador (L): 6L. Temperatura mínima c/ Defrost: Automático; Temperatura mínima s/ Defrost: Automático. Temperatura de trabalho (ºC): 5 ºC a 32ºC; Filtro: PVC, Ruído (db): 49db; Volume de Ar Hora: 110m3/H.</t>
  </si>
  <si>
    <t>Desidrat/Plus 1500</t>
  </si>
  <si>
    <t>SUPERA COM E IMPORTAÇÃO LTDA</t>
  </si>
  <si>
    <t>Exaustor in line; silent (silencioso); vazão máxima aprox.160 m³/h; pressão máxima aprox. 22mmca; frequência 50/60Hz; potência total absorvida aprox. 33W; tensão 220V; Garantia de 1 ano - Referência: MAXX S 100  SICFLUX</t>
  </si>
  <si>
    <t>SICFLUX/MAXX S 100</t>
  </si>
  <si>
    <t>00414-6-027</t>
  </si>
  <si>
    <t>Exaustor in line; silent (silencioso); vazão máxima aprox.480 m³/h; pressão máxima aprox. 19mmca; frequência 50/60Hz; potência total absorvida aprox. 36W; tensão 220V; Garantia de 1 ano - Referência: MAXX S 150 - ref. SICFLUX</t>
  </si>
  <si>
    <t>SICFLUX/MAXX S 150</t>
  </si>
  <si>
    <t>LINDNER ENGENHARIA DE CLIMATIZACAO LTDA</t>
  </si>
  <si>
    <t>Ventilador  in line; silent (silencioso); vazão máxima aprox.160 m³/h; pressão máxima aprox. 22mmca; frequência 50/60Hz; potência total absorvida aprox. 33W; tensão 220V; Garantia de 1 ano; com caixa de filtragem G4-M5 - Referência: MAXX S PRO 100 - ref. SICFLUX</t>
  </si>
  <si>
    <t>SICFLUX/MAXX S PRO 100</t>
  </si>
  <si>
    <t>Ventilador  in line; silent (silencioso); vazão máxima aprox.900 m³/h; pressão máxima aprox. 28mmca; frequência 50/60Hz; potência total absorvida aprox. 38W; tensão 220V; Garantia de 1 ano; com caixa de filtragem G4-M5 - Referência: MAXX S PRO 200 - ref. SICFLUX</t>
  </si>
  <si>
    <t>SICFLUX/MAXX S PRO 200</t>
  </si>
  <si>
    <t>35 - CAMPUS I (Reitoria, Museu, CEAD, CEART, ESAG, FAED) CEFID - FLORIANÓPOLIS, CESFI - BALNEÁRIO, CERES - LAGUNA e  CEAVI - IBIRAMA</t>
  </si>
  <si>
    <t xml:space="preserve">Metro adicional de linha para instalação de split de 25.000 a 48.000 BTU/h. </t>
  </si>
  <si>
    <t xml:space="preserve">Desinstalação de equipamento de ar-condicionado. </t>
  </si>
  <si>
    <t>Instalação completa de equipamento de ar-condicionado tipo "split" até 24.000 BTU/h, incluindo até 3 metros de distância entre evaporadora e condensadora – Composto de 01 (uma) unidade evaporadora e 01 (uma) unidade condensadora, com fornecimento e utilização de andaime até 12 metros (3º andar), em acordo com as normas de segurança vigentes.</t>
  </si>
  <si>
    <t>50155-0-006</t>
  </si>
  <si>
    <t>Instalação completa de equipamento de ar-condicionado tipo "split" acima de 48.000 BTU/h incluindo até 3 metros de distância entre evaporadora e condensadora – Composto de 01 (uma) unidade evaporadora e 01 (uma) unidade condensadora, com fornecimento e utilização de andaime e guindaste para até 20 metros, em acordo com as normas de segurança vigentes.</t>
  </si>
  <si>
    <t>36- CAV - Lages</t>
  </si>
  <si>
    <t>Instalação completa de equipamento de ar-condicionado tipo "split" até 24.000 BTU/h, incluindo até 3 metros de distância entre evaporadora e condensadora – Composto de 01 (uma) unidade evaporadora e 01 (uma) unidade condensadora, com fornecimento e utilização de andaime até 12 metros, em acordo com as normas de segurança vigentes.</t>
  </si>
  <si>
    <t>37 - CCT e CEPLAN - Norte Catarinense</t>
  </si>
  <si>
    <t xml:space="preserve">38 - CEO - CHAPECÓ </t>
  </si>
  <si>
    <t>Instalação completa de equipamento exaustor ou ventilador in-line</t>
  </si>
  <si>
    <t>39 - CESMO - CAÇADOR</t>
  </si>
  <si>
    <t>CENTRO PARTICIPANTE: REITORIA-MUSEU</t>
  </si>
  <si>
    <t>CENTRO PARTICIPANTE: REITORIA-SEMS</t>
  </si>
  <si>
    <t>CENTRO PARTICIPANTE: CESMO</t>
  </si>
  <si>
    <t>CONTROLE DO GESTOR</t>
  </si>
  <si>
    <r>
      <t xml:space="preserve">Órgão: </t>
    </r>
    <r>
      <rPr>
        <b/>
        <sz val="11"/>
        <rFont val="Calibri"/>
        <family val="2"/>
        <scheme val="minor"/>
      </rPr>
      <t>XXXXX</t>
    </r>
    <r>
      <rPr>
        <sz val="11"/>
        <rFont val="Calibri"/>
        <family val="2"/>
        <scheme val="minor"/>
      </rPr>
      <t xml:space="preserve"> - </t>
    </r>
    <r>
      <rPr>
        <u/>
        <sz val="11"/>
        <rFont val="Calibri"/>
        <family val="2"/>
        <scheme val="minor"/>
      </rPr>
      <t>Quantidade cedida</t>
    </r>
    <r>
      <rPr>
        <sz val="11"/>
        <rFont val="Calibri"/>
        <family val="2"/>
        <scheme val="minor"/>
      </rPr>
      <t xml:space="preserve"> </t>
    </r>
    <r>
      <rPr>
        <b/>
        <sz val="11"/>
        <rFont val="Calibri"/>
        <family val="2"/>
        <scheme val="minor"/>
      </rPr>
      <t>por Órgão</t>
    </r>
  </si>
  <si>
    <t>Especificação</t>
  </si>
  <si>
    <t>Marca /Modelo</t>
  </si>
  <si>
    <r>
      <rPr>
        <b/>
        <sz val="11"/>
        <rFont val="Calibri"/>
        <family val="2"/>
        <scheme val="minor"/>
      </rPr>
      <t>Qtde Registrada</t>
    </r>
    <r>
      <rPr>
        <sz val="11"/>
        <rFont val="Calibri"/>
        <family val="2"/>
        <scheme val="minor"/>
      </rPr>
      <t xml:space="preserve"> UDESC</t>
    </r>
  </si>
  <si>
    <r>
      <rPr>
        <sz val="12"/>
        <rFont val="Calibri"/>
        <family val="2"/>
        <scheme val="minor"/>
      </rPr>
      <t xml:space="preserve">Total </t>
    </r>
    <r>
      <rPr>
        <b/>
        <sz val="12"/>
        <rFont val="Calibri"/>
        <family val="2"/>
        <scheme val="minor"/>
      </rPr>
      <t xml:space="preserve">disponível </t>
    </r>
    <r>
      <rPr>
        <sz val="12"/>
        <rFont val="Calibri"/>
        <family val="2"/>
        <scheme val="minor"/>
      </rPr>
      <t>para CARONA</t>
    </r>
  </si>
  <si>
    <r>
      <rPr>
        <b/>
        <sz val="12"/>
        <rFont val="Calibri"/>
        <family val="2"/>
        <scheme val="minor"/>
      </rPr>
      <t>Saldo</t>
    </r>
    <r>
      <rPr>
        <sz val="12"/>
        <rFont val="Calibri"/>
        <family val="2"/>
        <scheme val="minor"/>
      </rPr>
      <t xml:space="preserve"> para CARONA</t>
    </r>
  </si>
  <si>
    <t>Valor Unitário (R$)</t>
  </si>
  <si>
    <t>Valor Total Registrado</t>
  </si>
  <si>
    <t>Valor cedido para carona</t>
  </si>
  <si>
    <t>% cedido para carona</t>
  </si>
  <si>
    <t>ELETRO CENTRO COMÉRCIO DE PEÇAS E ELETROELETRÔNICOS LTDA, CNPJ: 16.779.255/0002-15</t>
  </si>
  <si>
    <t>AGRATO/SPLIT
INVERTER LIV TOP
LCST18QF-02I</t>
  </si>
  <si>
    <t>D. R. DE CASTROS CLIMATIZAÇÃO, CNPJ: 22.867.040/0001-78</t>
  </si>
  <si>
    <t>MICROTÉCNICA INFORMÁTICA LTDA, CNPJ: 01.590.728/0007-79</t>
  </si>
  <si>
    <t xml:space="preserve">AF nº 1360/2024 (Quantidade)                                                                                                                       </t>
  </si>
  <si>
    <t xml:space="preserve">AF nº 1361/2024 (Quantidade)                                                                                                                       </t>
  </si>
  <si>
    <t>SUPERAR LTDA</t>
  </si>
  <si>
    <t xml:space="preserve">AF/OS nº 1542/2024 (Quantidade)                                                                                                                       </t>
  </si>
  <si>
    <r>
      <rPr>
        <b/>
        <sz val="11"/>
        <rFont val="Calibri"/>
        <family val="2"/>
        <scheme val="minor"/>
      </rPr>
      <t xml:space="preserve">VIGÊNCIA </t>
    </r>
    <r>
      <rPr>
        <sz val="11"/>
        <rFont val="Calibri"/>
        <family val="2"/>
        <scheme val="minor"/>
      </rPr>
      <t>DA ATA: 16/05/2024</t>
    </r>
    <r>
      <rPr>
        <b/>
        <sz val="11"/>
        <rFont val="Calibri"/>
        <family val="2"/>
        <scheme val="minor"/>
      </rPr>
      <t xml:space="preserve"> até </t>
    </r>
    <r>
      <rPr>
        <b/>
        <u/>
        <sz val="11"/>
        <rFont val="Calibri"/>
        <family val="2"/>
        <scheme val="minor"/>
      </rPr>
      <t>16/05/2025</t>
    </r>
  </si>
  <si>
    <r>
      <t xml:space="preserve">Órgão: </t>
    </r>
    <r>
      <rPr>
        <b/>
        <sz val="11"/>
        <rFont val="Calibri"/>
        <family val="2"/>
        <scheme val="minor"/>
      </rPr>
      <t>UEL/PR</t>
    </r>
    <r>
      <rPr>
        <sz val="11"/>
        <rFont val="Calibri"/>
        <family val="2"/>
        <scheme val="minor"/>
      </rPr>
      <t xml:space="preserve"> - </t>
    </r>
    <r>
      <rPr>
        <u/>
        <sz val="11"/>
        <rFont val="Calibri"/>
        <family val="2"/>
        <scheme val="minor"/>
      </rPr>
      <t>Quantidade cedida</t>
    </r>
    <r>
      <rPr>
        <sz val="11"/>
        <rFont val="Calibri"/>
        <family val="2"/>
        <scheme val="minor"/>
      </rPr>
      <t xml:space="preserve"> </t>
    </r>
    <r>
      <rPr>
        <b/>
        <sz val="11"/>
        <rFont val="Calibri"/>
        <family val="2"/>
        <scheme val="minor"/>
      </rPr>
      <t>por Órgão</t>
    </r>
  </si>
  <si>
    <t xml:space="preserve">AF nº 1658/2024 (Quantidade)                                                                                                                       </t>
  </si>
  <si>
    <t xml:space="preserve">AF nº 1668/2024 (Quantidade)                                                                                                                       </t>
  </si>
  <si>
    <t xml:space="preserve">AF nº 1670/2024 (Quantidade)                                                                                                                       </t>
  </si>
  <si>
    <t xml:space="preserve">OS nº  1671/2024 (Quantidade)                                                                                                                       </t>
  </si>
  <si>
    <t xml:space="preserve">OS nº 2032/2024 (Quantidade)                                                                                                                       </t>
  </si>
  <si>
    <t xml:space="preserve">AF/OS nº 1363/2024 (Quantidade)                                                                                                                       </t>
  </si>
  <si>
    <t xml:space="preserve">AF nº 1264/2024 (Quantidade)                                                                                                                       </t>
  </si>
  <si>
    <r>
      <t xml:space="preserve">CENTRO PARTICIPANTE: </t>
    </r>
    <r>
      <rPr>
        <b/>
        <sz val="11"/>
        <rFont val="Calibri"/>
        <family val="2"/>
        <scheme val="minor"/>
      </rPr>
      <t>CEAD</t>
    </r>
  </si>
  <si>
    <t xml:space="preserve">OS nº 2042/2024 (Quantidade)                                                                                                                       </t>
  </si>
  <si>
    <t xml:space="preserve">AF nº 2043/2024 (Quantidade)                                                                                                                       </t>
  </si>
  <si>
    <t xml:space="preserve">OS nº 2045/2024 (Quantidade)                                                                                                                       </t>
  </si>
  <si>
    <t xml:space="preserve">AF nº 2047/2024 (Quantidade)                                                                                                                       </t>
  </si>
  <si>
    <t xml:space="preserve">OS nº 2406/2024 (Quantidade)                                                                                                                       </t>
  </si>
  <si>
    <t xml:space="preserve">OS nº 2648/2024 (Quantidade)                                                                                                                       </t>
  </si>
  <si>
    <t xml:space="preserve">AF nº 3017/2024 (Quantidade)                                                                                                                       </t>
  </si>
  <si>
    <t>Valor Aditivado</t>
  </si>
  <si>
    <t xml:space="preserve">QUANTIDADE UTILIZADA da Ata </t>
  </si>
  <si>
    <t>QUANTIDADE UTILIZADA Total</t>
  </si>
  <si>
    <t>Quantidade Receb/Cedida</t>
  </si>
  <si>
    <t>QUANTIDADE DISPONÍVEL PARA ADITIVAR</t>
  </si>
  <si>
    <t>Quantidade Aditivada Própria</t>
  </si>
  <si>
    <t>QTDADE</t>
  </si>
  <si>
    <t>Quantidade Aditivos Recebidos</t>
  </si>
  <si>
    <t>Quantidade Aditivos Cedidos</t>
  </si>
  <si>
    <t>Valor Total Aditivado</t>
  </si>
  <si>
    <t>Qtde Utilizada Ata</t>
  </si>
  <si>
    <t>Qtde Utilizada Total</t>
  </si>
  <si>
    <t>Quantidade disponível para aditivar</t>
  </si>
  <si>
    <t>Qtde Aditivada</t>
  </si>
  <si>
    <t>SALDO</t>
  </si>
  <si>
    <t xml:space="preserve">Total Registrado </t>
  </si>
  <si>
    <t>Valor Total Utilizado</t>
  </si>
  <si>
    <t>AF/OS nº 1863/2024</t>
  </si>
  <si>
    <t xml:space="preserve">D.R. de Castros                                                                                                                   </t>
  </si>
  <si>
    <t>AF/OS nº 1922/2024</t>
  </si>
  <si>
    <t xml:space="preserve">Ventisol                                                       </t>
  </si>
  <si>
    <t xml:space="preserve">AF/OS nº 1928/2024 Microtecnica                                                                                                                       </t>
  </si>
  <si>
    <t xml:space="preserve">AF/OS nº 1929/2024 Superar                                                                                                                       </t>
  </si>
  <si>
    <t>AF/OS nº 2075/2024</t>
  </si>
  <si>
    <t xml:space="preserve">Denteck                                              </t>
  </si>
  <si>
    <t xml:space="preserve">AF nº 2260/2024 Lindner                                                                                                                      </t>
  </si>
  <si>
    <t xml:space="preserve">AF/OS nº 2282/2024 (Quantidade)                                                                                                                       </t>
  </si>
  <si>
    <t xml:space="preserve">AF/OS nº 2481/2024 (Quantidade)                                                                                                                       </t>
  </si>
  <si>
    <t xml:space="preserve">AF/OS nº 1290/2024 MAXIMARCAS - LUZIA)                                                                                                                       </t>
  </si>
  <si>
    <t xml:space="preserve">AF/OS nº 1789/2024 DR DE CASTROS                                                                                                                       </t>
  </si>
  <si>
    <t>AF nº 2657/2024</t>
  </si>
  <si>
    <t xml:space="preserve"> ELETRO                                                                                                                      </t>
  </si>
  <si>
    <t>AF nº</t>
  </si>
  <si>
    <t xml:space="preserve">2658/2024 MICROTECNICA                                                                                                                       </t>
  </si>
  <si>
    <t>AF nº 2663/2024</t>
  </si>
  <si>
    <t xml:space="preserve"> SUPERAR                                                                                                                   </t>
  </si>
  <si>
    <t>OS nº 2664/2024</t>
  </si>
  <si>
    <t xml:space="preserve">DR DE CASTROS                                                                                                                    </t>
  </si>
  <si>
    <t xml:space="preserve">AF/OS nº 1113/2024                                                                                                                     </t>
  </si>
  <si>
    <t xml:space="preserve">AF/OS nº 1116/2024                                                                                                            </t>
  </si>
  <si>
    <t xml:space="preserve">AF/OS nº 1119/2024                                                                                                                </t>
  </si>
  <si>
    <t xml:space="preserve">AF/OS nº 1279/2024                                                                                                         </t>
  </si>
  <si>
    <t xml:space="preserve">AF/OS nº 1517/2024                                                                                                                 </t>
  </si>
  <si>
    <t>AF/OS nº 1596/2024</t>
  </si>
  <si>
    <t xml:space="preserve">AF/OS nº 1713/2024                                                                                                                       </t>
  </si>
  <si>
    <t xml:space="preserve">AF/OS nº 1843/2024                                                                                                                       </t>
  </si>
  <si>
    <t xml:space="preserve">AF/OS nº 1873/2024                                                                                                                        </t>
  </si>
  <si>
    <t xml:space="preserve">AF/OS nº 2028/2024                                                                                                                       </t>
  </si>
  <si>
    <t xml:space="preserve">AF/OS nº 2330/2024                                                                                                                        </t>
  </si>
  <si>
    <t xml:space="preserve">AF/OS nº 2525/2024                                                                                                                       </t>
  </si>
  <si>
    <t xml:space="preserve">AF/OS nº 2466/2024                                                                                                                       </t>
  </si>
  <si>
    <t xml:space="preserve">AF/OS nº 2679/2024                                                                                                                        </t>
  </si>
  <si>
    <t xml:space="preserve">AF/OS nº 2680/2024                                                                                                                        </t>
  </si>
  <si>
    <t xml:space="preserve">AF/OS nº 2468/2024                                                                                                                       </t>
  </si>
  <si>
    <t xml:space="preserve">AF/OS nº 2470/2024                                                                                                                       </t>
  </si>
  <si>
    <t xml:space="preserve">AF/OS nº 2472/2024                                                                                                                       </t>
  </si>
  <si>
    <t>OS 2640/2024</t>
  </si>
  <si>
    <t xml:space="preserve">AF/OS nº 1890/2024 (Quantidade)                                                                                                                       </t>
  </si>
  <si>
    <t xml:space="preserve">AF/OS nº 1891/2024 (Quantidade)                                                                                                                       </t>
  </si>
  <si>
    <t xml:space="preserve">AF/OS nº 1892/2024 (Quantidade)                                                                                                                       </t>
  </si>
  <si>
    <t xml:space="preserve">AF/OS nº 1893/2024 (Quantidade)                                                                                                                       </t>
  </si>
  <si>
    <t xml:space="preserve">AF/OS nº 2314/2024 (Quantidade)                                                                                                                       </t>
  </si>
  <si>
    <t xml:space="preserve">AF/OS nº 1168/2024 (Quantidade)                                                                                                                       </t>
  </si>
  <si>
    <t xml:space="preserve">AF/OS nº 1201/2024 (Quantidade)                                                                                                                       </t>
  </si>
  <si>
    <t xml:space="preserve">AF/OS nº 1202/2024 (Quantidade)                                                                                                                       </t>
  </si>
  <si>
    <t xml:space="preserve">AF/OS nº 1203/2024 (Quantidade)                                                                                                                       </t>
  </si>
  <si>
    <t xml:space="preserve">AF/OS nº 1795/2024 (Quantidade)                                                                                                                       </t>
  </si>
  <si>
    <t xml:space="preserve">AF/OS nº 1915/2024 (Quantidade)                                                                                                                       </t>
  </si>
  <si>
    <t xml:space="preserve">AF/OS nº 2543/2024 (Quantidade)                                                                                                                       </t>
  </si>
  <si>
    <t xml:space="preserve">AF/OS nº 2546/2024 (Quantidade)                                                                                                                       </t>
  </si>
  <si>
    <t xml:space="preserve">AF/OS nº 1686/2024 (Quantidade)                                                                                                                       </t>
  </si>
  <si>
    <t xml:space="preserve">AF/OS nº 1687/2024 (Quantidade)                                                                                                                       </t>
  </si>
  <si>
    <t xml:space="preserve">AF/OS nº 1693/2024 (Quantidade)                                                                                                                       </t>
  </si>
  <si>
    <t xml:space="preserve">AF/OS nº 1593/2024 (Quantidade)                                                                                                                       </t>
  </si>
  <si>
    <t xml:space="preserve">AF/OS nº 1933/2024 (Quantidade)                                                                                                                       </t>
  </si>
  <si>
    <t xml:space="preserve">AF/OS nº 1935/2024 (Quantidade)                                                                                                                       </t>
  </si>
  <si>
    <t xml:space="preserve">AF/OS nº 1937/2024 (Quantidade)                                                                                                                       </t>
  </si>
  <si>
    <t xml:space="preserve">AF/OS nº 1948/2024 (Quantidade)                                                                                                                       </t>
  </si>
  <si>
    <t xml:space="preserve">AF/OS nº 1952/2024 (Quantidade)                                                                                                                       </t>
  </si>
  <si>
    <t xml:space="preserve">AF/OS nº 1954/2024 (Quantidade)                                                                                                                       </t>
  </si>
  <si>
    <t xml:space="preserve">AF/OS nº 1955/2024 (Quantidade)                                                                                                                       </t>
  </si>
  <si>
    <t xml:space="preserve">AF/OS nº 2431/2024 VENTISOL                                                                                                                       </t>
  </si>
  <si>
    <t xml:space="preserve">AF/OS nº 2432/2024 MICROTECNICA                                                                                                                   </t>
  </si>
  <si>
    <t>VENTISOL</t>
  </si>
  <si>
    <t>ELETRO CENTRO</t>
  </si>
  <si>
    <t>BONAR</t>
  </si>
  <si>
    <t>MICROTECNICA</t>
  </si>
  <si>
    <t>DENTECK</t>
  </si>
  <si>
    <t>SUPERA</t>
  </si>
  <si>
    <t>LINDNER</t>
  </si>
  <si>
    <t xml:space="preserve">AF/OS nº 1359/2024 (Quantidade)                                                                                                                       </t>
  </si>
  <si>
    <t xml:space="preserve">AF/OS nº 1889/2024 (Quantidade)                                                                                                                       </t>
  </si>
  <si>
    <t xml:space="preserve">AF/OS nº 1888/2024 (Quantidade)                                                                                                                       </t>
  </si>
  <si>
    <t xml:space="preserve">AF/OS nº 2061/2024 (Quantidade)                                                                                                                       </t>
  </si>
  <si>
    <t xml:space="preserve">AF/OS nº 2181/2024 (Quantidade)                                                                                                                       </t>
  </si>
  <si>
    <t xml:space="preserve">AF/OS nº 2196/2024 (Quantidade)                                                                                                                       </t>
  </si>
  <si>
    <t xml:space="preserve">AF/OS nº 2622/2024 (Quantidade)                                                                                                                       </t>
  </si>
  <si>
    <t xml:space="preserve">AF/OS nº 2713/2024 (Quantidade)                                                                                                                       </t>
  </si>
  <si>
    <t xml:space="preserve">AF/OS nº 1173/2024                                                                                                                       </t>
  </si>
  <si>
    <t xml:space="preserve">AF/OS nº 1694/2024 (Quantidade)                                                                                                                       </t>
  </si>
  <si>
    <t xml:space="preserve">OS nº 69/2025 (Quantidade)                                                                                                                       </t>
  </si>
  <si>
    <r>
      <t xml:space="preserve"> REGISTRO DE CARONA PARA OUTROS ÓRGÃOS     (</t>
    </r>
    <r>
      <rPr>
        <b/>
        <u/>
        <sz val="16"/>
        <rFont val="Calibri"/>
        <family val="2"/>
        <scheme val="minor"/>
      </rPr>
      <t>OBS</t>
    </r>
    <r>
      <rPr>
        <b/>
        <sz val="16"/>
        <rFont val="Calibri"/>
        <family val="2"/>
        <scheme val="minor"/>
      </rPr>
      <t xml:space="preserve"> - itens demandados até o momento):</t>
    </r>
  </si>
  <si>
    <t>SGPe (ÓRGÃO) XXX/2024 - Ofício nº</t>
  </si>
  <si>
    <r>
      <t xml:space="preserve">Órgão: </t>
    </r>
    <r>
      <rPr>
        <b/>
        <sz val="11"/>
        <rFont val="Calibri"/>
        <family val="2"/>
        <scheme val="minor"/>
      </rPr>
      <t>DETRAN/SC</t>
    </r>
    <r>
      <rPr>
        <sz val="11"/>
        <rFont val="Calibri"/>
        <family val="2"/>
        <scheme val="minor"/>
      </rPr>
      <t xml:space="preserve"> - </t>
    </r>
    <r>
      <rPr>
        <u/>
        <sz val="11"/>
        <rFont val="Calibri"/>
        <family val="2"/>
        <scheme val="minor"/>
      </rPr>
      <t>Quantidade cedida</t>
    </r>
    <r>
      <rPr>
        <sz val="11"/>
        <rFont val="Calibri"/>
        <family val="2"/>
        <scheme val="minor"/>
      </rPr>
      <t xml:space="preserve"> </t>
    </r>
    <r>
      <rPr>
        <b/>
        <sz val="11"/>
        <rFont val="Calibri"/>
        <family val="2"/>
        <scheme val="minor"/>
      </rPr>
      <t>por Órgão</t>
    </r>
  </si>
  <si>
    <t>SGPe DETRAN 37524/2024 (27/05/2024) - (Ofício 029/2024)</t>
  </si>
  <si>
    <t>SGPe  PCI 5370/2024 (13/06/2024) - (Ofício 032/2024)</t>
  </si>
  <si>
    <t>SGPe DETRAN 55723/2024 (26/07/2024) - (Ofício 039/2024)</t>
  </si>
  <si>
    <t>SGPE UDESC 33878/2024 (08/08/2024) - (Ofício 41/2024)</t>
  </si>
  <si>
    <t>SGPe DETRAN 13867/2025 - (Ofício 12/2025)</t>
  </si>
  <si>
    <t xml:space="preserve">AF/OS nº xxx/2025 (Quantidade)                                                                                                                       </t>
  </si>
  <si>
    <t xml:space="preserve">OS nº 438/2025 (Quantidade)                                                                                                                       </t>
  </si>
  <si>
    <t xml:space="preserve">OS nº 236/2025 (Quantidade)                                                                                                                       </t>
  </si>
  <si>
    <t xml:space="preserve">OS nº 298/2025 (Quantidade)                                                                                                                       </t>
  </si>
  <si>
    <t xml:space="preserve">OS nº 577/2025 (Quantidade)                                                                                                                       </t>
  </si>
  <si>
    <r>
      <t xml:space="preserve">Órgão: </t>
    </r>
    <r>
      <rPr>
        <b/>
        <sz val="11"/>
        <rFont val="Calibri"/>
        <family val="2"/>
        <scheme val="minor"/>
      </rPr>
      <t xml:space="preserve">PCI/SC </t>
    </r>
    <r>
      <rPr>
        <sz val="11"/>
        <rFont val="Calibri"/>
        <family val="2"/>
        <scheme val="minor"/>
      </rPr>
      <t xml:space="preserve">- </t>
    </r>
    <r>
      <rPr>
        <u/>
        <sz val="11"/>
        <rFont val="Calibri"/>
        <family val="2"/>
        <scheme val="minor"/>
      </rPr>
      <t>Quantidade cedida</t>
    </r>
    <r>
      <rPr>
        <sz val="11"/>
        <rFont val="Calibri"/>
        <family val="2"/>
        <scheme val="minor"/>
      </rPr>
      <t xml:space="preserve"> </t>
    </r>
    <r>
      <rPr>
        <b/>
        <sz val="11"/>
        <rFont val="Calibri"/>
        <family val="2"/>
        <scheme val="minor"/>
      </rPr>
      <t>por Órgão</t>
    </r>
  </si>
  <si>
    <t>Resumo Atualizado em 28/04/2025</t>
  </si>
  <si>
    <r>
      <t xml:space="preserve">PE 0612/2024 SRP - </t>
    </r>
    <r>
      <rPr>
        <b/>
        <sz val="11"/>
        <rFont val="Calibri"/>
        <family val="2"/>
        <scheme val="minor"/>
      </rPr>
      <t>(SGPE DE ORIGEM: 42405/2023)</t>
    </r>
  </si>
  <si>
    <t>SGPe PCI 4072/2025 - Ofício nº 28/2025</t>
  </si>
  <si>
    <t xml:space="preserve">AF/OS nº 750/2025 (Quantidade)                                                                                                                       </t>
  </si>
  <si>
    <t xml:space="preserve">AF/OS nº 751/2025 (Quantidade)                                                                                                                       </t>
  </si>
  <si>
    <t xml:space="preserve">AF/OS nº 752/2025 (Quantidade)                                                                                                                       </t>
  </si>
  <si>
    <t xml:space="preserve">AF/OS nº 753/2025 (Quantidade)                                                                                                                       </t>
  </si>
  <si>
    <t xml:space="preserve">AF/OS nº 0594/2025 (Quantidade)                                                                                                                       </t>
  </si>
  <si>
    <t xml:space="preserve">AF/OS nº 0595/2025 (Quantidade)                                                                                                                       </t>
  </si>
  <si>
    <t xml:space="preserve">OS 2857/2024 </t>
  </si>
  <si>
    <t>OS 2925/2024</t>
  </si>
  <si>
    <t>AF 740/2025</t>
  </si>
  <si>
    <t>AF 741/2025</t>
  </si>
  <si>
    <t>AF 742/2025</t>
  </si>
  <si>
    <t>AF 743/2025</t>
  </si>
  <si>
    <t>AF 745/2025</t>
  </si>
  <si>
    <t>AF 746/2025</t>
  </si>
  <si>
    <t>AF 748/2025</t>
  </si>
  <si>
    <t xml:space="preserve">AF/OS nº 2781/2024 (Quantidade)                                                                                                                       </t>
  </si>
  <si>
    <t xml:space="preserve">AF/OS nº 0336/2025 (Quantidade)                                                                                                                       </t>
  </si>
  <si>
    <t xml:space="preserve">AF/OS nº 3134/2024 (Quantidade)                                                                                                                       </t>
  </si>
  <si>
    <t xml:space="preserve">AF/OS nº 62/2025 (Quantidade)                                                                                                                       </t>
  </si>
  <si>
    <t xml:space="preserve">AF/OS nº 2885/2024 (Quantidade)                                                                                                                       </t>
  </si>
  <si>
    <t xml:space="preserve">AF/OS nº 2903/2024 (Quantidade)                                                                                                                       </t>
  </si>
  <si>
    <t xml:space="preserve">AF/OS nº 3012/2024 (Quantidade)                                                                                                                       </t>
  </si>
  <si>
    <t xml:space="preserve">AF/OS nº 296/2025 (Quantidade)                                                                                                                       </t>
  </si>
  <si>
    <t xml:space="preserve">AF/OS nº 292/20245                                                                                            </t>
  </si>
  <si>
    <t xml:space="preserve">AF/OS nº 453/2025                                                                                             </t>
  </si>
  <si>
    <t xml:space="preserve">AF/OS nº 2935/2024 (Quantidade)                                                                                                                       </t>
  </si>
  <si>
    <t>AF/OS nº 2954/2024</t>
  </si>
  <si>
    <t xml:space="preserve">Denteck                                                                                                                       </t>
  </si>
  <si>
    <t xml:space="preserve">AF/OS nº 2970/2024 Microtecnica                                                                                                                       </t>
  </si>
  <si>
    <t>AF/OS nº 3004/2024</t>
  </si>
  <si>
    <t xml:space="preserve">Ventisol                                                                                                                     </t>
  </si>
  <si>
    <t xml:space="preserve">AF/OS nº 77/2025     DR Castro                                                                                                                      </t>
  </si>
  <si>
    <t>AF/OS nº 677/2025</t>
  </si>
  <si>
    <t xml:space="preserve">D. R de Castros                                                                      </t>
  </si>
  <si>
    <t xml:space="preserve">AF/OS nº 2727/2024 (Quantidade)                                                                                                                       </t>
  </si>
  <si>
    <t xml:space="preserve">AF/OS nº 0586/2025 (Quantidade)                                                                                                                       </t>
  </si>
  <si>
    <t xml:space="preserve">AF/OS nº 1259/2024 (Quantidade)                                                                                                                       </t>
  </si>
  <si>
    <t xml:space="preserve">AF/OS nº 1196/2024 (Quantidade)                                                                                                                       </t>
  </si>
  <si>
    <t xml:space="preserve">AF/OS nº 1450/2024 (Quantidade)                                                                                                                       </t>
  </si>
  <si>
    <t xml:space="preserve">AF/OS nº 1555/2024 (Quantidade)                                                                                                                       </t>
  </si>
  <si>
    <t xml:space="preserve">AF/OS nº 157/2025 (Quantidade)                                                                                                                       </t>
  </si>
  <si>
    <t xml:space="preserve">AF/OS nº 522/2025 (Quantidade)                                                                                                                       </t>
  </si>
  <si>
    <t xml:space="preserve">AF/OS nº 524/2025 (Quantidade)                                                                                                                       </t>
  </si>
  <si>
    <t xml:space="preserve">AF/OS nº 526/2025 (Quantidade)                                                                                                                       </t>
  </si>
  <si>
    <t xml:space="preserve">AF/OS nº 527/2025 (Quantidade)                                                                                                                       </t>
  </si>
  <si>
    <t xml:space="preserve">AF/OS nº 733/2025 (Quantidade)                                                                                                                       </t>
  </si>
  <si>
    <t xml:space="preserve">AF/OS nº 760/2025 (Quantidade)                                                                                                                       </t>
  </si>
  <si>
    <t xml:space="preserve">AF/OS nº 761/2025 (Quantidade)                                                                                                                       </t>
  </si>
  <si>
    <t xml:space="preserve">AF/OS nº 799/2025 (Quantidade)                                                                                                                       </t>
  </si>
  <si>
    <t>Atualizado em 02/07/2025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</si>
</sst>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8" formatCode="&quot;R$&quot;\ #,##0.00;[Red]\-&quot;R$&quot;\ #,##0.00"/>
    <numFmt numFmtId="44" formatCode="_-&quot;R$&quot;\ * #,##0.00_-;\-&quot;R$&quot;\ * #,##0.00_-;_-&quot;R$&quot;\ * &quot;-&quot;??_-;_-@_-"/>
    <numFmt numFmtId="43" formatCode="_-* #,##0.00_-;\-* #,##0.00_-;_-* &quot;-&quot;??_-;_-@_-"/>
    <numFmt numFmtId="164" formatCode="_(* #,##0.00_);_(* \(#,##0.00\);_(* &quot;-&quot;??_);_(@_)"/>
    <numFmt numFmtId="165" formatCode="_(* #,##0.00_);_(* \(#,##0.00\);_(* \-??_);_(@_)"/>
    <numFmt numFmtId="166" formatCode="#,##0;[Red]#,##0"/>
    <numFmt numFmtId="167" formatCode="_-* #,##0.00\ &quot;€&quot;_-;\-* #,##0.00\ &quot;€&quot;_-;_-* &quot;-&quot;??\ &quot;€&quot;_-;_-@_-"/>
    <numFmt numFmtId="168" formatCode="_-[$R$-416]\ * #,##0.00_-;\-[$R$-416]\ * #,##0.00_-;_-[$R$-416]\ * &quot;-&quot;??_-;_-@_-"/>
    <numFmt numFmtId="169" formatCode="&quot;R$&quot;\ #,##0.00"/>
    <numFmt numFmtId="170" formatCode="#,##0_ ;[Red]\-#,##0\ "/>
  </numFmts>
  <fonts count="33" x14ac:knownFonts="1">
    <font>
      <sz val="10"/>
      <name val="Arial"/>
    </font>
    <font>
      <sz val="11"/>
      <color theme="1"/>
      <name val="Calibri"/>
      <family val="2"/>
      <scheme val="minor"/>
    </font>
    <font>
      <sz val="10"/>
      <name val="Arial"/>
      <family val="2"/>
    </font>
    <font>
      <b/>
      <sz val="18"/>
      <color indexed="56"/>
      <name val="Cambria"/>
      <family val="2"/>
    </font>
    <font>
      <sz val="11"/>
      <name val="Calibri"/>
      <family val="2"/>
      <scheme val="minor"/>
    </font>
    <font>
      <sz val="10"/>
      <name val="Arial"/>
      <family val="2"/>
    </font>
    <font>
      <sz val="12"/>
      <name val="Calibri"/>
      <family val="2"/>
      <scheme val="minor"/>
    </font>
    <font>
      <sz val="10"/>
      <name val="Arial"/>
      <family val="2"/>
    </font>
    <font>
      <sz val="10"/>
      <name val="Arial"/>
      <family val="2"/>
    </font>
    <font>
      <sz val="10"/>
      <name val="Arial"/>
      <family val="2"/>
    </font>
    <font>
      <b/>
      <sz val="11"/>
      <name val="Calibri"/>
      <family val="2"/>
      <scheme val="minor"/>
    </font>
    <font>
      <sz val="10"/>
      <name val="Arial"/>
      <family val="2"/>
    </font>
    <font>
      <b/>
      <sz val="10"/>
      <name val="Calibri"/>
      <family val="2"/>
      <scheme val="minor"/>
    </font>
    <font>
      <b/>
      <u/>
      <sz val="10"/>
      <name val="Calibri"/>
      <family val="2"/>
      <scheme val="minor"/>
    </font>
    <font>
      <sz val="10"/>
      <name val="Calibri"/>
      <family val="2"/>
      <scheme val="minor"/>
    </font>
    <font>
      <b/>
      <sz val="11"/>
      <color theme="1"/>
      <name val="Calibri"/>
      <family val="2"/>
      <scheme val="minor"/>
    </font>
    <font>
      <u/>
      <sz val="11"/>
      <name val="Calibri"/>
      <family val="2"/>
      <scheme val="minor"/>
    </font>
    <font>
      <b/>
      <sz val="16"/>
      <name val="Calibri"/>
      <family val="2"/>
      <scheme val="minor"/>
    </font>
    <font>
      <b/>
      <sz val="12"/>
      <name val="Calibri"/>
      <family val="2"/>
      <scheme val="minor"/>
    </font>
    <font>
      <b/>
      <sz val="9"/>
      <color indexed="81"/>
      <name val="Segoe UI"/>
      <family val="2"/>
    </font>
    <font>
      <sz val="9"/>
      <color indexed="81"/>
      <name val="Segoe UI"/>
      <family val="2"/>
    </font>
    <font>
      <u/>
      <sz val="9"/>
      <color indexed="81"/>
      <name val="Segoe UI"/>
      <family val="2"/>
    </font>
    <font>
      <b/>
      <sz val="11"/>
      <color rgb="FF0066FF"/>
      <name val="Calibri"/>
      <family val="2"/>
      <scheme val="minor"/>
    </font>
    <font>
      <b/>
      <u/>
      <sz val="11"/>
      <name val="Calibri"/>
      <family val="2"/>
      <scheme val="minor"/>
    </font>
    <font>
      <sz val="11"/>
      <color rgb="FF0066FF"/>
      <name val="Calibri"/>
      <family val="2"/>
      <scheme val="minor"/>
    </font>
    <font>
      <sz val="10"/>
      <color indexed="81"/>
      <name val="Segoe UI"/>
      <family val="2"/>
    </font>
    <font>
      <b/>
      <sz val="10"/>
      <color indexed="81"/>
      <name val="Segoe UI"/>
      <family val="2"/>
    </font>
    <font>
      <sz val="11"/>
      <name val="Calibri"/>
      <family val="2"/>
    </font>
    <font>
      <b/>
      <sz val="11"/>
      <name val="Calibri"/>
      <family val="2"/>
    </font>
    <font>
      <sz val="11"/>
      <color rgb="FFFF0000"/>
      <name val="Calibri"/>
      <family val="2"/>
    </font>
    <font>
      <b/>
      <u/>
      <sz val="16"/>
      <name val="Calibri"/>
      <family val="2"/>
      <scheme val="minor"/>
    </font>
    <font>
      <sz val="11"/>
      <color rgb="FFFF0000"/>
      <name val="Calibri"/>
      <family val="2"/>
      <scheme val="minor"/>
    </font>
    <font>
      <b/>
      <u/>
      <sz val="14"/>
      <name val="Calibri"/>
      <family val="2"/>
      <scheme val="minor"/>
    </font>
  </fonts>
  <fills count="34">
    <fill>
      <patternFill patternType="none"/>
    </fill>
    <fill>
      <patternFill patternType="gray125"/>
    </fill>
    <fill>
      <patternFill patternType="solid">
        <fgColor indexed="41"/>
        <bgColor indexed="64"/>
      </patternFill>
    </fill>
    <fill>
      <patternFill patternType="solid">
        <fgColor rgb="FFFFFF0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rgb="FFFF5050"/>
        <bgColor indexed="64"/>
      </patternFill>
    </fill>
    <fill>
      <patternFill patternType="solid">
        <fgColor rgb="FF66FF99"/>
        <bgColor indexed="64"/>
      </patternFill>
    </fill>
    <fill>
      <patternFill patternType="solid">
        <fgColor rgb="FFFFFF99"/>
        <bgColor indexed="26"/>
      </patternFill>
    </fill>
    <fill>
      <patternFill patternType="solid">
        <fgColor rgb="FFFFCDFF"/>
        <bgColor indexed="64"/>
      </patternFill>
    </fill>
    <fill>
      <patternFill patternType="solid">
        <fgColor theme="2" tint="-0.249977111117893"/>
        <bgColor indexed="64"/>
      </patternFill>
    </fill>
    <fill>
      <patternFill patternType="solid">
        <fgColor theme="4" tint="0.39997558519241921"/>
        <bgColor indexed="64"/>
      </patternFill>
    </fill>
    <fill>
      <patternFill patternType="solid">
        <fgColor theme="0" tint="-0.34998626667073579"/>
        <bgColor indexed="64"/>
      </patternFill>
    </fill>
    <fill>
      <patternFill patternType="solid">
        <fgColor rgb="FFCCFFFF"/>
        <bgColor indexed="64"/>
      </patternFill>
    </fill>
    <fill>
      <patternFill patternType="solid">
        <fgColor theme="0"/>
        <bgColor indexed="64"/>
      </patternFill>
    </fill>
    <fill>
      <patternFill patternType="solid">
        <fgColor rgb="FF95B3D7"/>
        <bgColor indexed="10"/>
      </patternFill>
    </fill>
    <fill>
      <patternFill patternType="solid">
        <fgColor rgb="FFFFFF00"/>
        <bgColor indexed="26"/>
      </patternFill>
    </fill>
    <fill>
      <patternFill patternType="solid">
        <fgColor rgb="FFFFC00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rgb="FF99FF33"/>
        <bgColor indexed="64"/>
      </patternFill>
    </fill>
    <fill>
      <patternFill patternType="solid">
        <fgColor rgb="FFFFFF99"/>
        <bgColor rgb="FFFFFFCC"/>
      </patternFill>
    </fill>
    <fill>
      <patternFill patternType="solid">
        <fgColor rgb="FFCCFFFF"/>
        <bgColor rgb="FF000000"/>
      </patternFill>
    </fill>
    <fill>
      <patternFill patternType="solid">
        <fgColor rgb="FFFFFF66"/>
        <bgColor rgb="FF000000"/>
      </patternFill>
    </fill>
    <fill>
      <patternFill patternType="solid">
        <fgColor rgb="FFFFFF00"/>
        <bgColor rgb="FF000000"/>
      </patternFill>
    </fill>
    <fill>
      <patternFill patternType="solid">
        <fgColor rgb="FF92D050"/>
        <bgColor indexed="26"/>
      </patternFill>
    </fill>
    <fill>
      <patternFill patternType="solid">
        <fgColor rgb="FFFFC000"/>
        <bgColor indexed="26"/>
      </patternFill>
    </fill>
    <fill>
      <patternFill patternType="solid">
        <fgColor theme="4" tint="0.39997558519241921"/>
        <bgColor indexed="26"/>
      </patternFill>
    </fill>
    <fill>
      <patternFill patternType="solid">
        <fgColor theme="0"/>
        <bgColor rgb="FF000000"/>
      </patternFill>
    </fill>
    <fill>
      <patternFill patternType="solid">
        <fgColor theme="8" tint="0.59999389629810485"/>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64"/>
      </left>
      <right style="thin">
        <color indexed="8"/>
      </right>
      <top style="thin">
        <color indexed="8"/>
      </top>
      <bottom style="thin">
        <color indexed="64"/>
      </bottom>
      <diagonal/>
    </border>
  </borders>
  <cellStyleXfs count="1662">
    <xf numFmtId="0" fontId="0" fillId="0" borderId="0"/>
    <xf numFmtId="0" fontId="2" fillId="0" borderId="0"/>
    <xf numFmtId="164" fontId="2" fillId="0" borderId="0" applyFill="0" applyBorder="0" applyAlignment="0" applyProtection="0"/>
    <xf numFmtId="165" fontId="2" fillId="0" borderId="0" applyFill="0" applyBorder="0" applyAlignment="0" applyProtection="0"/>
    <xf numFmtId="0" fontId="3" fillId="0" borderId="0" applyNumberFormat="0" applyFill="0" applyBorder="0" applyAlignment="0" applyProtection="0"/>
    <xf numFmtId="167" fontId="5"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167"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9" fontId="2" fillId="0" borderId="0" applyFont="0" applyFill="0" applyBorder="0" applyAlignment="0" applyProtection="0"/>
    <xf numFmtId="43" fontId="7" fillId="0" borderId="0" applyFont="0" applyFill="0" applyBorder="0" applyAlignment="0" applyProtection="0"/>
    <xf numFmtId="44" fontId="8"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9" fontId="9"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0" fontId="2" fillId="0" borderId="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9" fontId="11"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9"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cellStyleXfs>
  <cellXfs count="276">
    <xf numFmtId="0" fontId="0" fillId="0" borderId="0" xfId="0"/>
    <xf numFmtId="0" fontId="4" fillId="0" borderId="0" xfId="1" applyFont="1" applyFill="1" applyAlignment="1">
      <alignment horizontal="center" vertical="center" wrapText="1"/>
    </xf>
    <xf numFmtId="0" fontId="4" fillId="0" borderId="0" xfId="1" applyFont="1" applyAlignment="1">
      <alignment wrapText="1"/>
    </xf>
    <xf numFmtId="0" fontId="4" fillId="0" borderId="0" xfId="1" applyFont="1" applyFill="1" applyAlignment="1">
      <alignment vertical="center" wrapText="1"/>
    </xf>
    <xf numFmtId="0" fontId="4" fillId="0" borderId="0" xfId="1" applyFont="1" applyFill="1" applyAlignment="1" applyProtection="1">
      <alignment wrapText="1"/>
      <protection locked="0"/>
    </xf>
    <xf numFmtId="3" fontId="4" fillId="0" borderId="0" xfId="1" applyNumberFormat="1" applyFont="1" applyAlignment="1" applyProtection="1">
      <alignment wrapText="1"/>
      <protection locked="0"/>
    </xf>
    <xf numFmtId="0" fontId="4" fillId="0" borderId="0" xfId="1" applyFont="1" applyAlignment="1" applyProtection="1">
      <alignment wrapText="1"/>
      <protection locked="0"/>
    </xf>
    <xf numFmtId="0" fontId="4" fillId="2" borderId="1" xfId="1"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165" fontId="4" fillId="2" borderId="1" xfId="3" applyFont="1" applyFill="1" applyBorder="1" applyAlignment="1" applyProtection="1">
      <alignment horizontal="center" vertical="center" wrapText="1"/>
    </xf>
    <xf numFmtId="0" fontId="4" fillId="2" borderId="1" xfId="1" applyFont="1" applyFill="1" applyBorder="1" applyAlignment="1" applyProtection="1">
      <alignment horizontal="center" vertical="center" wrapText="1"/>
    </xf>
    <xf numFmtId="166" fontId="4" fillId="2" borderId="1" xfId="1" applyNumberFormat="1" applyFont="1" applyFill="1" applyBorder="1" applyAlignment="1">
      <alignment horizontal="center" vertical="center" wrapText="1"/>
    </xf>
    <xf numFmtId="166" fontId="4" fillId="0" borderId="0" xfId="0" applyNumberFormat="1" applyFont="1" applyFill="1" applyAlignment="1">
      <alignment horizontal="center" vertical="center" wrapText="1"/>
    </xf>
    <xf numFmtId="166" fontId="4" fillId="4" borderId="1" xfId="0" applyNumberFormat="1" applyFont="1" applyFill="1" applyBorder="1" applyAlignment="1">
      <alignment horizontal="center" vertical="center" wrapText="1"/>
    </xf>
    <xf numFmtId="0" fontId="4" fillId="3" borderId="1" xfId="13" applyNumberFormat="1" applyFont="1" applyFill="1" applyBorder="1" applyAlignment="1" applyProtection="1">
      <alignment horizontal="center" vertical="center" wrapText="1"/>
      <protection locked="0"/>
    </xf>
    <xf numFmtId="3" fontId="4" fillId="6" borderId="7" xfId="1" applyNumberFormat="1" applyFont="1" applyFill="1" applyBorder="1" applyAlignment="1" applyProtection="1">
      <alignment horizontal="center" vertical="center" wrapText="1"/>
      <protection locked="0"/>
    </xf>
    <xf numFmtId="44" fontId="4" fillId="5" borderId="1" xfId="14" applyFont="1" applyFill="1" applyBorder="1" applyAlignment="1">
      <alignment vertical="center" wrapText="1"/>
    </xf>
    <xf numFmtId="168" fontId="6" fillId="4" borderId="4" xfId="1" applyNumberFormat="1" applyFont="1" applyFill="1" applyBorder="1" applyAlignment="1" applyProtection="1">
      <alignment horizontal="right"/>
      <protection locked="0"/>
    </xf>
    <xf numFmtId="168" fontId="6" fillId="4" borderId="5" xfId="1" applyNumberFormat="1" applyFont="1" applyFill="1" applyBorder="1" applyAlignment="1" applyProtection="1">
      <alignment horizontal="right"/>
      <protection locked="0"/>
    </xf>
    <xf numFmtId="2" fontId="6" fillId="4" borderId="5" xfId="1" applyNumberFormat="1" applyFont="1" applyFill="1" applyBorder="1" applyAlignment="1">
      <alignment horizontal="right"/>
    </xf>
    <xf numFmtId="0" fontId="4" fillId="0" borderId="3" xfId="1" applyFont="1" applyFill="1" applyBorder="1" applyAlignment="1" applyProtection="1">
      <alignment horizontal="center" wrapText="1"/>
      <protection locked="0"/>
    </xf>
    <xf numFmtId="44" fontId="4" fillId="0" borderId="16" xfId="1" applyNumberFormat="1" applyFont="1" applyBorder="1" applyAlignment="1">
      <alignment wrapText="1"/>
    </xf>
    <xf numFmtId="0" fontId="4" fillId="0" borderId="1" xfId="1" applyFont="1" applyFill="1" applyBorder="1" applyAlignment="1" applyProtection="1">
      <alignment horizontal="center" vertical="center" wrapText="1"/>
      <protection locked="0"/>
    </xf>
    <xf numFmtId="14" fontId="4" fillId="2" borderId="1" xfId="1" applyNumberFormat="1" applyFont="1" applyFill="1" applyBorder="1" applyAlignment="1" applyProtection="1">
      <alignment horizontal="center" vertical="center" wrapText="1"/>
      <protection locked="0"/>
    </xf>
    <xf numFmtId="0" fontId="10" fillId="0" borderId="1" xfId="1" applyFont="1" applyFill="1" applyBorder="1" applyAlignment="1" applyProtection="1">
      <alignment horizontal="center" vertical="center" wrapText="1"/>
      <protection locked="0"/>
    </xf>
    <xf numFmtId="3" fontId="4" fillId="9" borderId="1" xfId="1" applyNumberFormat="1" applyFont="1" applyFill="1" applyBorder="1" applyAlignment="1" applyProtection="1">
      <alignment horizontal="center" vertical="center" wrapText="1"/>
      <protection locked="0"/>
    </xf>
    <xf numFmtId="166" fontId="4" fillId="10" borderId="1" xfId="0" applyNumberFormat="1" applyFont="1" applyFill="1" applyBorder="1" applyAlignment="1">
      <alignment horizontal="center" vertical="center" wrapText="1"/>
    </xf>
    <xf numFmtId="0" fontId="4" fillId="11" borderId="1" xfId="13" applyNumberFormat="1" applyFont="1" applyFill="1" applyBorder="1" applyAlignment="1" applyProtection="1">
      <alignment horizontal="center" vertical="center" wrapText="1"/>
      <protection locked="0"/>
    </xf>
    <xf numFmtId="169" fontId="10" fillId="0" borderId="1" xfId="1" applyNumberFormat="1" applyFont="1" applyFill="1" applyBorder="1" applyAlignment="1" applyProtection="1">
      <alignment horizontal="center" vertical="center" wrapText="1"/>
      <protection locked="0"/>
    </xf>
    <xf numFmtId="169" fontId="4" fillId="0" borderId="1" xfId="1" applyNumberFormat="1" applyFont="1" applyFill="1" applyBorder="1" applyAlignment="1" applyProtection="1">
      <alignment horizontal="center" vertical="center" wrapText="1"/>
      <protection locked="0"/>
    </xf>
    <xf numFmtId="44" fontId="4" fillId="0" borderId="0" xfId="14" applyFont="1" applyAlignment="1" applyProtection="1">
      <alignment wrapText="1"/>
      <protection locked="0"/>
    </xf>
    <xf numFmtId="0" fontId="10" fillId="0" borderId="17" xfId="1" applyFont="1" applyFill="1" applyBorder="1" applyAlignment="1">
      <alignment vertical="center" wrapText="1"/>
    </xf>
    <xf numFmtId="0" fontId="4" fillId="0" borderId="18" xfId="1" applyFont="1" applyFill="1" applyBorder="1" applyAlignment="1">
      <alignment vertical="center" wrapText="1"/>
    </xf>
    <xf numFmtId="0" fontId="4" fillId="0" borderId="19" xfId="1" applyFont="1" applyFill="1" applyBorder="1" applyAlignment="1">
      <alignment vertical="center" wrapText="1"/>
    </xf>
    <xf numFmtId="0" fontId="4" fillId="0" borderId="1" xfId="0" applyFont="1" applyFill="1" applyBorder="1" applyAlignment="1">
      <alignment horizontal="justify" vertical="top" wrapText="1"/>
    </xf>
    <xf numFmtId="0" fontId="4" fillId="0" borderId="1" xfId="0" applyFont="1" applyFill="1" applyBorder="1" applyAlignment="1">
      <alignment horizontal="center" vertical="center" wrapText="1"/>
    </xf>
    <xf numFmtId="16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4" xfId="0" applyFont="1" applyFill="1" applyBorder="1" applyAlignment="1">
      <alignment horizontal="justify" vertical="top" wrapText="1"/>
    </xf>
    <xf numFmtId="0" fontId="4" fillId="0" borderId="4" xfId="0" applyFont="1" applyFill="1" applyBorder="1" applyAlignment="1">
      <alignment horizontal="center" vertical="top" wrapText="1"/>
    </xf>
    <xf numFmtId="0" fontId="4" fillId="0" borderId="4" xfId="0" applyFont="1" applyFill="1" applyBorder="1" applyAlignment="1">
      <alignment horizontal="center" vertical="center"/>
    </xf>
    <xf numFmtId="0" fontId="4" fillId="0" borderId="1" xfId="0" applyFont="1" applyFill="1" applyBorder="1" applyAlignment="1">
      <alignment horizontal="center" vertical="top"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4" fillId="7" borderId="1" xfId="0" applyFont="1" applyFill="1" applyBorder="1" applyAlignment="1">
      <alignment horizontal="center" vertical="center"/>
    </xf>
    <xf numFmtId="0" fontId="4" fillId="7" borderId="1" xfId="0" applyFont="1" applyFill="1" applyBorder="1" applyAlignment="1">
      <alignment horizontal="center" vertical="center" wrapText="1"/>
    </xf>
    <xf numFmtId="0" fontId="4" fillId="7" borderId="1" xfId="0" applyFont="1" applyFill="1" applyBorder="1" applyAlignment="1">
      <alignment horizontal="justify" vertical="top" wrapText="1"/>
    </xf>
    <xf numFmtId="169" fontId="4" fillId="7" borderId="1" xfId="0" applyNumberFormat="1" applyFont="1" applyFill="1" applyBorder="1" applyAlignment="1">
      <alignment horizontal="center" vertical="center" wrapText="1"/>
    </xf>
    <xf numFmtId="0" fontId="4" fillId="7" borderId="1" xfId="0" applyFont="1" applyFill="1" applyBorder="1" applyAlignment="1">
      <alignment horizontal="center" vertical="top" wrapText="1"/>
    </xf>
    <xf numFmtId="49" fontId="4" fillId="7" borderId="1" xfId="0" applyNumberFormat="1" applyFont="1" applyFill="1" applyBorder="1" applyAlignment="1">
      <alignment horizontal="center" vertical="center" wrapText="1"/>
    </xf>
    <xf numFmtId="49" fontId="4" fillId="7" borderId="1" xfId="0" applyNumberFormat="1" applyFont="1" applyFill="1" applyBorder="1" applyAlignment="1">
      <alignment horizontal="center" vertical="center"/>
    </xf>
    <xf numFmtId="0" fontId="4" fillId="0" borderId="16" xfId="1" applyFont="1" applyFill="1" applyBorder="1" applyAlignment="1" applyProtection="1">
      <alignment wrapText="1"/>
      <protection locked="0"/>
    </xf>
    <xf numFmtId="0" fontId="15" fillId="15" borderId="1" xfId="0" applyFont="1" applyFill="1" applyBorder="1" applyAlignment="1">
      <alignment horizontal="center" vertical="center" wrapText="1"/>
    </xf>
    <xf numFmtId="0" fontId="4" fillId="2" borderId="1" xfId="1" applyFont="1" applyFill="1" applyBorder="1" applyAlignment="1">
      <alignment horizontal="center" vertical="center" wrapText="1"/>
    </xf>
    <xf numFmtId="166" fontId="18" fillId="2" borderId="1" xfId="1" applyNumberFormat="1" applyFont="1" applyFill="1" applyBorder="1" applyAlignment="1">
      <alignment horizontal="center" vertical="center" wrapText="1"/>
    </xf>
    <xf numFmtId="0" fontId="6" fillId="2" borderId="1" xfId="1" applyFont="1" applyFill="1" applyBorder="1" applyAlignment="1" applyProtection="1">
      <alignment horizontal="center" vertical="center" wrapText="1"/>
      <protection locked="0"/>
    </xf>
    <xf numFmtId="165" fontId="4" fillId="16" borderId="1" xfId="3" applyFont="1" applyFill="1" applyBorder="1" applyAlignment="1" applyProtection="1">
      <alignment horizontal="center" vertical="center" wrapText="1"/>
    </xf>
    <xf numFmtId="168" fontId="4" fillId="16" borderId="1" xfId="3" applyNumberFormat="1" applyFont="1" applyFill="1" applyBorder="1" applyAlignment="1" applyProtection="1">
      <alignment horizontal="center" vertical="center" wrapText="1"/>
    </xf>
    <xf numFmtId="14" fontId="10" fillId="2" borderId="1" xfId="1" applyNumberFormat="1" applyFont="1" applyFill="1" applyBorder="1" applyAlignment="1" applyProtection="1">
      <alignment horizontal="center" vertical="center" wrapText="1"/>
      <protection locked="0"/>
    </xf>
    <xf numFmtId="0" fontId="4" fillId="17" borderId="1" xfId="0" applyFont="1" applyFill="1" applyBorder="1" applyAlignment="1">
      <alignment horizontal="center" vertical="center" wrapText="1"/>
    </xf>
    <xf numFmtId="0" fontId="4" fillId="17" borderId="1" xfId="0" applyFont="1" applyFill="1" applyBorder="1" applyAlignment="1">
      <alignment horizontal="left" vertical="center" wrapText="1"/>
    </xf>
    <xf numFmtId="49" fontId="4" fillId="17" borderId="1" xfId="0" applyNumberFormat="1" applyFont="1" applyFill="1" applyBorder="1" applyAlignment="1">
      <alignment horizontal="center" vertical="center" wrapText="1"/>
    </xf>
    <xf numFmtId="3" fontId="4" fillId="3" borderId="21" xfId="0" applyNumberFormat="1" applyFont="1" applyFill="1" applyBorder="1" applyAlignment="1">
      <alignment horizontal="center" vertical="center" wrapText="1"/>
    </xf>
    <xf numFmtId="3" fontId="4" fillId="18" borderId="1" xfId="1" applyNumberFormat="1" applyFont="1" applyFill="1" applyBorder="1" applyAlignment="1" applyProtection="1">
      <alignment horizontal="center" vertical="center" wrapText="1"/>
      <protection locked="0"/>
    </xf>
    <xf numFmtId="3" fontId="4" fillId="4" borderId="1" xfId="488" applyNumberFormat="1" applyFont="1" applyFill="1" applyBorder="1" applyAlignment="1">
      <alignment vertical="center" wrapText="1"/>
    </xf>
    <xf numFmtId="169" fontId="4" fillId="5" borderId="10" xfId="0" applyNumberFormat="1" applyFont="1" applyFill="1" applyBorder="1" applyAlignment="1">
      <alignment horizontal="center" vertical="center"/>
    </xf>
    <xf numFmtId="0" fontId="0" fillId="0" borderId="1" xfId="0" applyBorder="1" applyAlignment="1">
      <alignment horizontal="center" vertical="center"/>
    </xf>
    <xf numFmtId="0" fontId="4" fillId="0" borderId="0" xfId="1" applyFont="1" applyAlignment="1">
      <alignment horizontal="center" vertical="center" wrapText="1"/>
    </xf>
    <xf numFmtId="166" fontId="4" fillId="0" borderId="0" xfId="0" applyNumberFormat="1" applyFont="1" applyAlignment="1">
      <alignment horizontal="center" vertical="center" wrapText="1"/>
    </xf>
    <xf numFmtId="44" fontId="4" fillId="0" borderId="0" xfId="410" applyFont="1" applyFill="1" applyAlignment="1">
      <alignment horizontal="center" vertical="center" wrapText="1"/>
    </xf>
    <xf numFmtId="44" fontId="4" fillId="0" borderId="0" xfId="410" applyFont="1" applyFill="1" applyAlignment="1" applyProtection="1">
      <alignment wrapText="1"/>
      <protection locked="0"/>
    </xf>
    <xf numFmtId="44" fontId="0" fillId="0" borderId="0" xfId="410" applyFont="1"/>
    <xf numFmtId="4" fontId="4" fillId="0" borderId="0" xfId="1" applyNumberFormat="1" applyFont="1" applyAlignment="1" applyProtection="1">
      <alignment wrapText="1"/>
      <protection locked="0"/>
    </xf>
    <xf numFmtId="3" fontId="4" fillId="0" borderId="0" xfId="1" applyNumberFormat="1" applyFont="1" applyAlignment="1" applyProtection="1">
      <alignment horizontal="center" vertical="center" wrapText="1"/>
      <protection locked="0"/>
    </xf>
    <xf numFmtId="44" fontId="4" fillId="4" borderId="14" xfId="410" applyFont="1" applyFill="1" applyBorder="1" applyAlignment="1" applyProtection="1">
      <alignment wrapText="1"/>
      <protection locked="0"/>
    </xf>
    <xf numFmtId="44" fontId="10" fillId="4" borderId="0" xfId="410" applyFont="1" applyFill="1" applyBorder="1" applyAlignment="1" applyProtection="1">
      <alignment wrapText="1"/>
      <protection locked="0"/>
    </xf>
    <xf numFmtId="0" fontId="4" fillId="4" borderId="2" xfId="1" applyFont="1" applyFill="1" applyBorder="1" applyAlignment="1" applyProtection="1">
      <alignment horizontal="left"/>
      <protection locked="0"/>
    </xf>
    <xf numFmtId="0" fontId="4" fillId="4" borderId="3" xfId="1" applyFont="1" applyFill="1" applyBorder="1" applyAlignment="1" applyProtection="1">
      <alignment horizontal="left" wrapText="1"/>
      <protection locked="0"/>
    </xf>
    <xf numFmtId="10" fontId="4" fillId="4" borderId="3" xfId="12" applyNumberFormat="1" applyFont="1" applyFill="1" applyBorder="1" applyAlignment="1" applyProtection="1">
      <alignment wrapText="1"/>
      <protection locked="0"/>
    </xf>
    <xf numFmtId="44" fontId="4" fillId="17" borderId="0" xfId="8" applyFont="1" applyFill="1" applyBorder="1" applyAlignment="1" applyProtection="1">
      <alignment wrapText="1"/>
      <protection locked="0"/>
    </xf>
    <xf numFmtId="0" fontId="10" fillId="7" borderId="1" xfId="0" applyFont="1" applyFill="1" applyBorder="1" applyAlignment="1">
      <alignment horizontal="center" vertical="center"/>
    </xf>
    <xf numFmtId="0" fontId="10" fillId="7" borderId="1" xfId="0" applyFont="1" applyFill="1" applyBorder="1" applyAlignment="1">
      <alignment horizontal="center" vertical="center" wrapText="1"/>
    </xf>
    <xf numFmtId="0" fontId="10" fillId="7" borderId="1" xfId="0" applyFont="1" applyFill="1" applyBorder="1" applyAlignment="1">
      <alignment horizontal="justify" vertical="top" wrapText="1"/>
    </xf>
    <xf numFmtId="169" fontId="10" fillId="7" borderId="1" xfId="0" applyNumberFormat="1" applyFont="1" applyFill="1" applyBorder="1" applyAlignment="1">
      <alignment horizontal="center" vertical="center" wrapText="1"/>
    </xf>
    <xf numFmtId="0" fontId="4" fillId="17" borderId="1" xfId="0" applyFont="1" applyFill="1" applyBorder="1" applyAlignment="1">
      <alignment horizontal="center" vertical="center"/>
    </xf>
    <xf numFmtId="0" fontId="4" fillId="17" borderId="1" xfId="0" applyFont="1" applyFill="1" applyBorder="1" applyAlignment="1">
      <alignment horizontal="justify" vertical="top" wrapText="1"/>
    </xf>
    <xf numFmtId="169" fontId="4" fillId="17" borderId="1" xfId="0" applyNumberFormat="1" applyFont="1" applyFill="1" applyBorder="1" applyAlignment="1">
      <alignment horizontal="center" vertical="center" wrapText="1"/>
    </xf>
    <xf numFmtId="0" fontId="22" fillId="7"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4" xfId="0" applyFont="1" applyFill="1" applyBorder="1" applyAlignment="1">
      <alignment horizontal="justify" vertical="top" wrapText="1"/>
    </xf>
    <xf numFmtId="0" fontId="10" fillId="0" borderId="4" xfId="0" applyFont="1" applyFill="1" applyBorder="1" applyAlignment="1">
      <alignment horizontal="center" vertical="top" wrapText="1"/>
    </xf>
    <xf numFmtId="0" fontId="10" fillId="0" borderId="4" xfId="0" applyFont="1" applyFill="1" applyBorder="1" applyAlignment="1">
      <alignment horizontal="center" vertical="center"/>
    </xf>
    <xf numFmtId="169" fontId="10" fillId="0" borderId="1" xfId="0" applyNumberFormat="1" applyFont="1" applyFill="1" applyBorder="1" applyAlignment="1">
      <alignment horizontal="center" vertical="center" wrapText="1"/>
    </xf>
    <xf numFmtId="0" fontId="10" fillId="0" borderId="1" xfId="0" applyFont="1" applyFill="1" applyBorder="1" applyAlignment="1">
      <alignment horizontal="justify" vertical="top" wrapText="1"/>
    </xf>
    <xf numFmtId="0" fontId="10" fillId="0" borderId="1" xfId="0" applyFont="1" applyFill="1" applyBorder="1" applyAlignment="1">
      <alignment horizontal="center" vertical="top" wrapText="1"/>
    </xf>
    <xf numFmtId="49" fontId="10" fillId="0" borderId="1" xfId="0" applyNumberFormat="1" applyFont="1" applyFill="1" applyBorder="1" applyAlignment="1">
      <alignment horizontal="center" vertical="center"/>
    </xf>
    <xf numFmtId="3" fontId="4" fillId="3" borderId="23" xfId="0" applyNumberFormat="1" applyFont="1" applyFill="1" applyBorder="1" applyAlignment="1">
      <alignment horizontal="center" vertical="center" wrapText="1"/>
    </xf>
    <xf numFmtId="169" fontId="4" fillId="5" borderId="12" xfId="0" applyNumberFormat="1" applyFont="1" applyFill="1" applyBorder="1" applyAlignment="1">
      <alignment horizontal="center" vertical="center"/>
    </xf>
    <xf numFmtId="0" fontId="0" fillId="0" borderId="4" xfId="0" applyBorder="1" applyAlignment="1">
      <alignment horizontal="center" vertical="center"/>
    </xf>
    <xf numFmtId="0" fontId="4" fillId="0" borderId="1" xfId="1" applyFont="1" applyBorder="1" applyAlignment="1">
      <alignment wrapText="1"/>
    </xf>
    <xf numFmtId="3" fontId="4" fillId="3" borderId="24" xfId="0" applyNumberFormat="1" applyFont="1" applyFill="1" applyBorder="1" applyAlignment="1">
      <alignment horizontal="center" vertical="center" wrapText="1"/>
    </xf>
    <xf numFmtId="44" fontId="2" fillId="0" borderId="0" xfId="410" applyFont="1"/>
    <xf numFmtId="44" fontId="0" fillId="0" borderId="0" xfId="410" applyFont="1" applyFill="1"/>
    <xf numFmtId="44" fontId="10" fillId="0" borderId="0" xfId="1" applyNumberFormat="1" applyFont="1" applyAlignment="1" applyProtection="1">
      <alignment wrapText="1"/>
      <protection locked="0"/>
    </xf>
    <xf numFmtId="0" fontId="4" fillId="17" borderId="4" xfId="0" applyFont="1" applyFill="1" applyBorder="1" applyAlignment="1">
      <alignment horizontal="center" vertical="center" wrapText="1"/>
    </xf>
    <xf numFmtId="0" fontId="4" fillId="17" borderId="4" xfId="0" applyFont="1" applyFill="1" applyBorder="1" applyAlignment="1">
      <alignment horizontal="left" vertical="center" wrapText="1"/>
    </xf>
    <xf numFmtId="0" fontId="24" fillId="7" borderId="1" xfId="0" applyFont="1" applyFill="1" applyBorder="1" applyAlignment="1">
      <alignment horizontal="center" vertical="center" wrapText="1"/>
    </xf>
    <xf numFmtId="0" fontId="10" fillId="0" borderId="0" xfId="1" applyFont="1" applyAlignment="1" applyProtection="1">
      <alignment wrapText="1"/>
      <protection locked="0"/>
    </xf>
    <xf numFmtId="0" fontId="4" fillId="0" borderId="4" xfId="0" applyFont="1" applyFill="1" applyBorder="1" applyAlignment="1">
      <alignment horizontal="center" vertical="center" wrapText="1"/>
    </xf>
    <xf numFmtId="0" fontId="4" fillId="0" borderId="1" xfId="1" applyFont="1" applyBorder="1" applyAlignment="1" applyProtection="1">
      <alignment horizontal="center" vertical="center" wrapText="1"/>
      <protection locked="0"/>
    </xf>
    <xf numFmtId="44" fontId="4" fillId="0" borderId="0" xfId="410" applyFont="1" applyAlignment="1" applyProtection="1">
      <alignment wrapText="1"/>
      <protection locked="0"/>
    </xf>
    <xf numFmtId="169" fontId="4" fillId="0" borderId="1" xfId="1" applyNumberFormat="1" applyFont="1" applyBorder="1" applyAlignment="1" applyProtection="1">
      <alignment horizontal="center" vertical="center" wrapText="1"/>
      <protection locked="0"/>
    </xf>
    <xf numFmtId="0" fontId="4" fillId="0" borderId="4" xfId="0" applyFont="1" applyFill="1" applyBorder="1" applyAlignment="1">
      <alignment vertical="center" wrapText="1"/>
    </xf>
    <xf numFmtId="0" fontId="4" fillId="17" borderId="1" xfId="0" applyFont="1" applyFill="1" applyBorder="1" applyAlignment="1">
      <alignment horizontal="center" vertical="top" wrapText="1"/>
    </xf>
    <xf numFmtId="49" fontId="4" fillId="17" borderId="1" xfId="0" applyNumberFormat="1" applyFont="1" applyFill="1" applyBorder="1" applyAlignment="1">
      <alignment horizontal="center" vertical="center"/>
    </xf>
    <xf numFmtId="0" fontId="15" fillId="17" borderId="1" xfId="0" applyFont="1" applyFill="1" applyBorder="1" applyAlignment="1">
      <alignment horizontal="center" vertical="center" wrapText="1"/>
    </xf>
    <xf numFmtId="0" fontId="4" fillId="3" borderId="0" xfId="1" applyFont="1" applyFill="1" applyBorder="1" applyAlignment="1">
      <alignment horizontal="center" vertical="center" wrapText="1"/>
    </xf>
    <xf numFmtId="14" fontId="10" fillId="17" borderId="1" xfId="1" applyNumberFormat="1" applyFont="1" applyFill="1" applyBorder="1" applyAlignment="1" applyProtection="1">
      <alignment horizontal="center" vertical="center" wrapText="1"/>
      <protection locked="0"/>
    </xf>
    <xf numFmtId="14" fontId="4" fillId="17" borderId="1" xfId="1" applyNumberFormat="1" applyFont="1" applyFill="1" applyBorder="1" applyAlignment="1" applyProtection="1">
      <alignment horizontal="center" vertical="center" wrapText="1"/>
      <protection locked="0"/>
    </xf>
    <xf numFmtId="0" fontId="6" fillId="4" borderId="13" xfId="1" applyFont="1" applyFill="1" applyBorder="1" applyAlignment="1" applyProtection="1">
      <alignment horizontal="left"/>
      <protection locked="0"/>
    </xf>
    <xf numFmtId="0" fontId="6" fillId="4" borderId="12" xfId="1" applyFont="1" applyFill="1" applyBorder="1" applyAlignment="1" applyProtection="1">
      <alignment horizontal="left"/>
      <protection locked="0"/>
    </xf>
    <xf numFmtId="0" fontId="6" fillId="4" borderId="8" xfId="1" applyFont="1" applyFill="1" applyBorder="1" applyAlignment="1" applyProtection="1">
      <alignment horizontal="left"/>
      <protection locked="0"/>
    </xf>
    <xf numFmtId="0" fontId="6" fillId="4" borderId="0" xfId="1" applyFont="1" applyFill="1" applyBorder="1" applyAlignment="1" applyProtection="1">
      <alignment horizontal="left"/>
      <protection locked="0"/>
    </xf>
    <xf numFmtId="0" fontId="6" fillId="4" borderId="15" xfId="1" applyFont="1" applyFill="1" applyBorder="1" applyAlignment="1" applyProtection="1">
      <alignment horizontal="left"/>
      <protection locked="0"/>
    </xf>
    <xf numFmtId="166" fontId="4" fillId="0" borderId="0" xfId="13" applyNumberFormat="1" applyFont="1" applyFill="1" applyBorder="1" applyAlignment="1" applyProtection="1">
      <alignment horizontal="center" vertical="center" wrapText="1"/>
      <protection locked="0"/>
    </xf>
    <xf numFmtId="169" fontId="4" fillId="0" borderId="0" xfId="1" applyNumberFormat="1" applyFont="1" applyFill="1" applyAlignment="1" applyProtection="1">
      <alignment wrapText="1"/>
      <protection locked="0"/>
    </xf>
    <xf numFmtId="3" fontId="4" fillId="20" borderId="1" xfId="0" applyNumberFormat="1" applyFont="1" applyFill="1" applyBorder="1" applyAlignment="1">
      <alignment horizontal="center" vertical="center" wrapText="1"/>
    </xf>
    <xf numFmtId="3" fontId="4" fillId="21" borderId="1" xfId="0" applyNumberFormat="1" applyFont="1" applyFill="1" applyBorder="1" applyAlignment="1">
      <alignment horizontal="center" vertical="center" wrapText="1"/>
    </xf>
    <xf numFmtId="3" fontId="4" fillId="6" borderId="1" xfId="0" applyNumberFormat="1" applyFont="1" applyFill="1" applyBorder="1" applyAlignment="1">
      <alignment horizontal="center" vertical="center" wrapText="1"/>
    </xf>
    <xf numFmtId="166" fontId="10" fillId="15" borderId="1" xfId="1" applyNumberFormat="1" applyFont="1" applyFill="1" applyBorder="1" applyAlignment="1">
      <alignment horizontal="center" vertical="center" wrapText="1"/>
    </xf>
    <xf numFmtId="0" fontId="10" fillId="15" borderId="1" xfId="1" applyFont="1" applyFill="1" applyBorder="1" applyAlignment="1" applyProtection="1">
      <alignment horizontal="center" vertical="center" wrapText="1"/>
      <protection locked="0"/>
    </xf>
    <xf numFmtId="169" fontId="4" fillId="0" borderId="0" xfId="14" applyNumberFormat="1" applyFont="1" applyFill="1" applyAlignment="1" applyProtection="1">
      <alignment wrapText="1"/>
      <protection locked="0"/>
    </xf>
    <xf numFmtId="1" fontId="4" fillId="22" borderId="7" xfId="0" applyNumberFormat="1" applyFont="1" applyFill="1" applyBorder="1" applyAlignment="1">
      <alignment horizontal="center" vertical="center" wrapText="1"/>
    </xf>
    <xf numFmtId="3" fontId="4" fillId="23" borderId="7" xfId="0" applyNumberFormat="1" applyFont="1" applyFill="1" applyBorder="1" applyAlignment="1">
      <alignment horizontal="center" vertical="center" wrapText="1"/>
    </xf>
    <xf numFmtId="168" fontId="4" fillId="2" borderId="1" xfId="3" applyNumberFormat="1" applyFont="1" applyFill="1" applyBorder="1" applyAlignment="1" applyProtection="1">
      <alignment horizontal="center" vertical="center" wrapText="1"/>
    </xf>
    <xf numFmtId="166" fontId="4" fillId="24" borderId="1" xfId="0" applyNumberFormat="1" applyFont="1" applyFill="1" applyBorder="1" applyAlignment="1">
      <alignment horizontal="center" vertical="center" wrapText="1"/>
    </xf>
    <xf numFmtId="14" fontId="27" fillId="26" borderId="1" xfId="0" applyNumberFormat="1" applyFont="1" applyFill="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7" fillId="27" borderId="1" xfId="0" applyFont="1" applyFill="1" applyBorder="1" applyAlignment="1">
      <alignment horizontal="center" vertical="center" wrapText="1"/>
    </xf>
    <xf numFmtId="0" fontId="28" fillId="27" borderId="1" xfId="0" applyFont="1" applyFill="1" applyBorder="1" applyAlignment="1">
      <alignment horizontal="center" vertical="center" wrapText="1"/>
    </xf>
    <xf numFmtId="0" fontId="27" fillId="0" borderId="0" xfId="0" applyFont="1" applyAlignment="1">
      <alignment wrapText="1"/>
    </xf>
    <xf numFmtId="0" fontId="27" fillId="25" borderId="4" xfId="0" applyFont="1" applyFill="1" applyBorder="1" applyAlignment="1">
      <alignment horizontal="center" vertical="center" wrapText="1"/>
    </xf>
    <xf numFmtId="0" fontId="27" fillId="25" borderId="6" xfId="0" applyFont="1" applyFill="1" applyBorder="1" applyAlignment="1">
      <alignment horizontal="center" vertical="center" wrapText="1"/>
    </xf>
    <xf numFmtId="0" fontId="4" fillId="0" borderId="0" xfId="14" applyNumberFormat="1" applyFont="1" applyFill="1" applyAlignment="1" applyProtection="1">
      <alignment wrapText="1"/>
      <protection locked="0"/>
    </xf>
    <xf numFmtId="8" fontId="4" fillId="0" borderId="0" xfId="1" applyNumberFormat="1" applyFont="1" applyAlignment="1" applyProtection="1">
      <alignment wrapText="1"/>
      <protection locked="0"/>
    </xf>
    <xf numFmtId="8" fontId="27" fillId="0" borderId="0" xfId="0" applyNumberFormat="1" applyFont="1" applyAlignment="1">
      <alignment wrapText="1"/>
    </xf>
    <xf numFmtId="0" fontId="27" fillId="26" borderId="1" xfId="0" applyFont="1" applyFill="1" applyBorder="1" applyAlignment="1">
      <alignment horizontal="center" vertical="center" wrapText="1"/>
    </xf>
    <xf numFmtId="14" fontId="28" fillId="26" borderId="1" xfId="0" applyNumberFormat="1" applyFont="1" applyFill="1" applyBorder="1" applyAlignment="1">
      <alignment horizontal="center" vertical="center" wrapText="1"/>
    </xf>
    <xf numFmtId="0" fontId="27" fillId="28" borderId="1" xfId="0" applyFont="1" applyFill="1" applyBorder="1" applyAlignment="1">
      <alignment horizontal="center" vertical="center" wrapText="1"/>
    </xf>
    <xf numFmtId="0" fontId="28" fillId="28" borderId="1" xfId="0" applyFont="1" applyFill="1" applyBorder="1" applyAlignment="1">
      <alignment horizontal="center" vertical="center" wrapText="1"/>
    </xf>
    <xf numFmtId="0" fontId="29" fillId="0" borderId="1" xfId="0" applyFont="1" applyBorder="1" applyAlignment="1">
      <alignment horizontal="center" vertical="center" wrapText="1"/>
    </xf>
    <xf numFmtId="1" fontId="4" fillId="0" borderId="1" xfId="1" applyNumberFormat="1" applyFont="1" applyFill="1" applyBorder="1" applyAlignment="1" applyProtection="1">
      <alignment horizontal="center" vertical="center" wrapText="1"/>
      <protection locked="0"/>
    </xf>
    <xf numFmtId="169" fontId="4" fillId="0" borderId="0" xfId="1" applyNumberFormat="1" applyFont="1" applyAlignment="1" applyProtection="1">
      <alignment wrapText="1"/>
      <protection locked="0"/>
    </xf>
    <xf numFmtId="166" fontId="4" fillId="20" borderId="1" xfId="1" applyNumberFormat="1" applyFont="1" applyFill="1" applyBorder="1" applyAlignment="1">
      <alignment horizontal="center" vertical="center" wrapText="1"/>
    </xf>
    <xf numFmtId="14" fontId="14" fillId="2" borderId="1" xfId="1" applyNumberFormat="1" applyFont="1" applyFill="1" applyBorder="1" applyAlignment="1" applyProtection="1">
      <alignment horizontal="center" vertical="center" wrapText="1"/>
      <protection locked="0"/>
    </xf>
    <xf numFmtId="14" fontId="12" fillId="2" borderId="1" xfId="1" applyNumberFormat="1" applyFont="1" applyFill="1" applyBorder="1" applyAlignment="1" applyProtection="1">
      <alignment horizontal="center" vertical="center" wrapText="1"/>
      <protection locked="0"/>
    </xf>
    <xf numFmtId="0" fontId="4" fillId="0" borderId="20" xfId="0" applyFont="1" applyFill="1" applyBorder="1" applyAlignment="1">
      <alignment horizontal="center" vertical="center"/>
    </xf>
    <xf numFmtId="0" fontId="4" fillId="0" borderId="1" xfId="0" applyFont="1" applyFill="1" applyBorder="1" applyAlignment="1">
      <alignment horizontal="left" vertical="center" wrapText="1"/>
    </xf>
    <xf numFmtId="0" fontId="1" fillId="17" borderId="0" xfId="0" applyFont="1" applyFill="1" applyBorder="1" applyAlignment="1">
      <alignment horizontal="center" vertical="center" wrapText="1"/>
    </xf>
    <xf numFmtId="0" fontId="4" fillId="17" borderId="20" xfId="0" applyFont="1" applyFill="1" applyBorder="1" applyAlignment="1">
      <alignment horizontal="center" vertical="center"/>
    </xf>
    <xf numFmtId="0" fontId="4" fillId="17" borderId="22" xfId="0" applyFont="1" applyFill="1" applyBorder="1" applyAlignment="1">
      <alignment horizontal="center" vertical="center"/>
    </xf>
    <xf numFmtId="10" fontId="18" fillId="4" borderId="6" xfId="24" applyNumberFormat="1" applyFont="1" applyFill="1" applyBorder="1" applyAlignment="1" applyProtection="1">
      <alignment horizontal="right"/>
      <protection locked="0"/>
    </xf>
    <xf numFmtId="166" fontId="4" fillId="17" borderId="1" xfId="0" applyNumberFormat="1" applyFont="1" applyFill="1" applyBorder="1" applyAlignment="1">
      <alignment horizontal="center" vertical="center" wrapText="1"/>
    </xf>
    <xf numFmtId="0" fontId="4" fillId="0" borderId="0" xfId="1" applyFont="1" applyAlignment="1">
      <alignment wrapText="1"/>
    </xf>
    <xf numFmtId="14" fontId="4" fillId="2" borderId="1" xfId="1" applyNumberFormat="1" applyFont="1" applyFill="1" applyBorder="1" applyAlignment="1" applyProtection="1">
      <alignment horizontal="center" vertical="center" wrapText="1"/>
      <protection locked="0"/>
    </xf>
    <xf numFmtId="166" fontId="4" fillId="10" borderId="1" xfId="0" applyNumberFormat="1" applyFont="1" applyFill="1" applyBorder="1" applyAlignment="1">
      <alignment horizontal="center" vertical="center" wrapText="1"/>
    </xf>
    <xf numFmtId="44" fontId="4" fillId="0" borderId="0" xfId="961" applyFont="1" applyAlignment="1" applyProtection="1">
      <alignment wrapText="1"/>
      <protection locked="0"/>
    </xf>
    <xf numFmtId="3" fontId="4" fillId="11" borderId="4" xfId="1" applyNumberFormat="1" applyFont="1" applyFill="1" applyBorder="1" applyAlignment="1" applyProtection="1">
      <alignment horizontal="center" vertical="center" wrapText="1"/>
      <protection locked="0"/>
    </xf>
    <xf numFmtId="3" fontId="4" fillId="11" borderId="6" xfId="1" applyNumberFormat="1" applyFont="1" applyFill="1" applyBorder="1" applyAlignment="1" applyProtection="1">
      <alignment horizontal="center" vertical="center" wrapText="1"/>
      <protection locked="0"/>
    </xf>
    <xf numFmtId="0" fontId="4" fillId="0" borderId="1" xfId="1" applyFont="1" applyFill="1" applyBorder="1" applyAlignment="1" applyProtection="1">
      <alignment horizontal="center" vertical="center" wrapText="1"/>
      <protection locked="0"/>
    </xf>
    <xf numFmtId="14" fontId="4" fillId="2" borderId="1" xfId="1" applyNumberFormat="1" applyFont="1" applyFill="1" applyBorder="1" applyAlignment="1" applyProtection="1">
      <alignment horizontal="center" vertical="center" wrapText="1"/>
      <protection locked="0"/>
    </xf>
    <xf numFmtId="0" fontId="4" fillId="0" borderId="1" xfId="1" applyFont="1" applyFill="1" applyBorder="1" applyAlignment="1" applyProtection="1">
      <alignment horizontal="center" vertical="center" wrapText="1"/>
      <protection locked="0"/>
    </xf>
    <xf numFmtId="0" fontId="10" fillId="0" borderId="1" xfId="1" applyFont="1" applyFill="1" applyBorder="1" applyAlignment="1" applyProtection="1">
      <alignment horizontal="center" vertical="center" wrapText="1"/>
      <protection locked="0"/>
    </xf>
    <xf numFmtId="3" fontId="10" fillId="11" borderId="4" xfId="1" applyNumberFormat="1" applyFont="1" applyFill="1" applyBorder="1" applyAlignment="1" applyProtection="1">
      <alignment horizontal="center" vertical="center" wrapText="1"/>
      <protection locked="0"/>
    </xf>
    <xf numFmtId="3" fontId="10" fillId="11" borderId="6" xfId="1" applyNumberFormat="1" applyFont="1" applyFill="1" applyBorder="1" applyAlignment="1" applyProtection="1">
      <alignment horizontal="center" vertical="center" wrapText="1"/>
      <protection locked="0"/>
    </xf>
    <xf numFmtId="0" fontId="28" fillId="25" borderId="4" xfId="0" applyFont="1" applyFill="1" applyBorder="1" applyAlignment="1">
      <alignment horizontal="center" vertical="center" wrapText="1"/>
    </xf>
    <xf numFmtId="0" fontId="4" fillId="0" borderId="1" xfId="1" applyFont="1" applyBorder="1" applyAlignment="1" applyProtection="1">
      <alignment horizontal="center" vertical="center" wrapText="1"/>
      <protection locked="0"/>
    </xf>
    <xf numFmtId="0" fontId="28" fillId="25" borderId="5" xfId="0" applyFont="1" applyFill="1" applyBorder="1" applyAlignment="1">
      <alignment horizontal="center" vertical="center" wrapText="1"/>
    </xf>
    <xf numFmtId="3" fontId="4" fillId="0" borderId="0" xfId="14" applyNumberFormat="1" applyFont="1" applyFill="1" applyAlignment="1" applyProtection="1">
      <alignment wrapText="1"/>
      <protection locked="0"/>
    </xf>
    <xf numFmtId="3" fontId="4" fillId="0" borderId="0" xfId="1" applyNumberFormat="1" applyFont="1" applyFill="1" applyAlignment="1" applyProtection="1">
      <alignment wrapText="1"/>
      <protection locked="0"/>
    </xf>
    <xf numFmtId="14" fontId="10" fillId="2" borderId="6" xfId="1" applyNumberFormat="1" applyFont="1" applyFill="1" applyBorder="1" applyAlignment="1" applyProtection="1">
      <alignment horizontal="center" vertical="center" wrapText="1"/>
      <protection locked="0"/>
    </xf>
    <xf numFmtId="0" fontId="4" fillId="21" borderId="1" xfId="14" applyNumberFormat="1" applyFont="1" applyFill="1" applyBorder="1" applyAlignment="1">
      <alignment horizontal="center" vertical="center" wrapText="1"/>
    </xf>
    <xf numFmtId="170" fontId="4" fillId="10" borderId="1" xfId="0" applyNumberFormat="1" applyFont="1" applyFill="1" applyBorder="1" applyAlignment="1">
      <alignment horizontal="center" vertical="center" wrapText="1"/>
    </xf>
    <xf numFmtId="170" fontId="4" fillId="0" borderId="0" xfId="0" applyNumberFormat="1" applyFont="1" applyFill="1" applyAlignment="1">
      <alignment horizontal="center" vertical="center" wrapText="1"/>
    </xf>
    <xf numFmtId="0" fontId="28" fillId="26" borderId="1" xfId="0" applyFont="1" applyFill="1" applyBorder="1" applyAlignment="1">
      <alignment horizontal="center" vertical="center" wrapText="1"/>
    </xf>
    <xf numFmtId="0" fontId="27" fillId="17" borderId="1" xfId="0" applyFont="1" applyFill="1" applyBorder="1" applyAlignment="1">
      <alignment horizontal="center" vertical="center" wrapText="1"/>
    </xf>
    <xf numFmtId="0" fontId="27" fillId="32" borderId="1" xfId="0" applyFont="1" applyFill="1" applyBorder="1" applyAlignment="1">
      <alignment horizontal="center" vertical="center" wrapText="1"/>
    </xf>
    <xf numFmtId="0" fontId="29" fillId="17" borderId="1" xfId="0" applyFont="1" applyFill="1" applyBorder="1" applyAlignment="1">
      <alignment horizontal="center" vertical="center" wrapText="1"/>
    </xf>
    <xf numFmtId="0" fontId="31" fillId="0" borderId="1" xfId="1" applyFont="1" applyBorder="1" applyAlignment="1" applyProtection="1">
      <alignment horizontal="center" vertical="center" wrapText="1"/>
      <protection locked="0"/>
    </xf>
    <xf numFmtId="3" fontId="14" fillId="11" borderId="4" xfId="1" applyNumberFormat="1" applyFont="1" applyFill="1" applyBorder="1" applyAlignment="1" applyProtection="1">
      <alignment horizontal="center" vertical="center" wrapText="1"/>
      <protection locked="0"/>
    </xf>
    <xf numFmtId="3" fontId="14" fillId="11" borderId="6" xfId="1" applyNumberFormat="1" applyFont="1" applyFill="1" applyBorder="1" applyAlignment="1" applyProtection="1">
      <alignment horizontal="center" vertical="center" wrapText="1"/>
      <protection locked="0"/>
    </xf>
    <xf numFmtId="3" fontId="12" fillId="11" borderId="4" xfId="1" applyNumberFormat="1" applyFont="1" applyFill="1" applyBorder="1" applyAlignment="1" applyProtection="1">
      <alignment horizontal="center" vertical="center" wrapText="1"/>
      <protection locked="0"/>
    </xf>
    <xf numFmtId="3" fontId="12" fillId="11" borderId="6" xfId="1" applyNumberFormat="1" applyFont="1" applyFill="1" applyBorder="1" applyAlignment="1" applyProtection="1">
      <alignment horizontal="center" vertical="center" wrapText="1"/>
      <protection locked="0"/>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textRotation="90"/>
    </xf>
    <xf numFmtId="0" fontId="4" fillId="0" borderId="5" xfId="0" applyFont="1" applyFill="1" applyBorder="1" applyAlignment="1">
      <alignment horizontal="center" vertical="center" textRotation="90"/>
    </xf>
    <xf numFmtId="0" fontId="4" fillId="0" borderId="6" xfId="0" applyFont="1" applyFill="1" applyBorder="1" applyAlignment="1">
      <alignment horizontal="center" vertical="center" textRotation="90"/>
    </xf>
    <xf numFmtId="0" fontId="4" fillId="8" borderId="1" xfId="0" applyNumberFormat="1" applyFont="1" applyFill="1" applyBorder="1" applyAlignment="1">
      <alignment horizontal="left" vertical="center" wrapText="1"/>
    </xf>
    <xf numFmtId="0" fontId="4" fillId="8" borderId="7" xfId="0" applyNumberFormat="1" applyFont="1" applyFill="1" applyBorder="1" applyAlignment="1">
      <alignment horizontal="center" vertical="center" wrapText="1"/>
    </xf>
    <xf numFmtId="0" fontId="4" fillId="8" borderId="9" xfId="0" applyNumberFormat="1" applyFont="1" applyFill="1" applyBorder="1" applyAlignment="1">
      <alignment horizontal="center" vertical="center" wrapText="1"/>
    </xf>
    <xf numFmtId="0" fontId="4" fillId="8" borderId="10" xfId="0" applyNumberFormat="1"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4" xfId="0" applyFont="1" applyFill="1" applyBorder="1" applyAlignment="1">
      <alignment horizontal="center" vertical="center" textRotation="90"/>
    </xf>
    <xf numFmtId="0" fontId="4" fillId="7" borderId="5" xfId="0" applyFont="1" applyFill="1" applyBorder="1" applyAlignment="1">
      <alignment horizontal="center" vertical="center" textRotation="90"/>
    </xf>
    <xf numFmtId="0" fontId="4" fillId="7" borderId="6" xfId="0" applyFont="1" applyFill="1" applyBorder="1" applyAlignment="1">
      <alignment horizontal="center" vertical="center" textRotation="90"/>
    </xf>
    <xf numFmtId="0" fontId="4" fillId="8" borderId="7" xfId="0" applyNumberFormat="1" applyFont="1" applyFill="1" applyBorder="1" applyAlignment="1">
      <alignment vertical="center" wrapText="1"/>
    </xf>
    <xf numFmtId="0" fontId="4" fillId="8" borderId="9" xfId="0" applyNumberFormat="1" applyFont="1" applyFill="1" applyBorder="1" applyAlignment="1">
      <alignment vertical="center" wrapText="1"/>
    </xf>
    <xf numFmtId="0" fontId="4" fillId="8" borderId="10" xfId="0" applyNumberFormat="1" applyFont="1" applyFill="1" applyBorder="1" applyAlignment="1">
      <alignment vertical="center" wrapText="1"/>
    </xf>
    <xf numFmtId="0" fontId="12" fillId="12" borderId="7" xfId="0" applyFont="1" applyFill="1" applyBorder="1" applyAlignment="1">
      <alignment horizontal="center" vertical="center" wrapText="1"/>
    </xf>
    <xf numFmtId="0" fontId="12" fillId="12" borderId="9" xfId="0" applyFont="1" applyFill="1" applyBorder="1" applyAlignment="1">
      <alignment horizontal="center" vertical="center" wrapText="1"/>
    </xf>
    <xf numFmtId="0" fontId="12" fillId="12" borderId="10" xfId="0" applyFont="1" applyFill="1" applyBorder="1" applyAlignment="1">
      <alignment horizontal="center" vertical="center" wrapText="1"/>
    </xf>
    <xf numFmtId="3" fontId="4" fillId="11" borderId="4" xfId="1" applyNumberFormat="1" applyFont="1" applyFill="1" applyBorder="1" applyAlignment="1" applyProtection="1">
      <alignment horizontal="center" vertical="center" wrapText="1"/>
      <protection locked="0"/>
    </xf>
    <xf numFmtId="3" fontId="4" fillId="11" borderId="6" xfId="1" applyNumberFormat="1" applyFont="1" applyFill="1" applyBorder="1" applyAlignment="1" applyProtection="1">
      <alignment horizontal="center" vertical="center" wrapText="1"/>
      <protection locked="0"/>
    </xf>
    <xf numFmtId="3" fontId="10" fillId="11" borderId="4" xfId="1" applyNumberFormat="1" applyFont="1" applyFill="1" applyBorder="1" applyAlignment="1" applyProtection="1">
      <alignment horizontal="center" vertical="center" wrapText="1"/>
      <protection locked="0"/>
    </xf>
    <xf numFmtId="3" fontId="10" fillId="11" borderId="6" xfId="1" applyNumberFormat="1" applyFont="1" applyFill="1" applyBorder="1" applyAlignment="1" applyProtection="1">
      <alignment horizontal="center" vertical="center" wrapText="1"/>
      <protection locked="0"/>
    </xf>
    <xf numFmtId="0" fontId="28" fillId="25" borderId="4" xfId="0" applyFont="1" applyFill="1" applyBorder="1" applyAlignment="1">
      <alignment horizontal="center" vertical="center" wrapText="1"/>
    </xf>
    <xf numFmtId="0" fontId="28" fillId="25" borderId="6" xfId="0" applyFont="1" applyFill="1" applyBorder="1" applyAlignment="1">
      <alignment horizontal="center" vertical="center" wrapText="1"/>
    </xf>
    <xf numFmtId="0" fontId="27" fillId="25" borderId="4" xfId="0" applyFont="1" applyFill="1" applyBorder="1" applyAlignment="1">
      <alignment horizontal="center" vertical="center" wrapText="1"/>
    </xf>
    <xf numFmtId="0" fontId="27" fillId="25" borderId="6" xfId="0" applyFont="1" applyFill="1" applyBorder="1" applyAlignment="1">
      <alignment horizontal="center" vertical="center" wrapText="1"/>
    </xf>
    <xf numFmtId="3" fontId="4" fillId="11" borderId="4" xfId="1" applyNumberFormat="1" applyFont="1" applyFill="1" applyBorder="1" applyAlignment="1" applyProtection="1">
      <alignment horizontal="center" vertical="center"/>
      <protection locked="0"/>
    </xf>
    <xf numFmtId="3" fontId="4" fillId="11" borderId="6" xfId="1" applyNumberFormat="1" applyFont="1" applyFill="1" applyBorder="1" applyAlignment="1" applyProtection="1">
      <alignment horizontal="center" vertical="center"/>
      <protection locked="0"/>
    </xf>
    <xf numFmtId="0" fontId="4" fillId="17" borderId="4" xfId="0" applyFont="1" applyFill="1" applyBorder="1" applyAlignment="1">
      <alignment horizontal="center" vertical="center" wrapText="1"/>
    </xf>
    <xf numFmtId="0" fontId="4" fillId="17" borderId="5" xfId="0" applyFont="1" applyFill="1" applyBorder="1" applyAlignment="1">
      <alignment horizontal="center" vertical="center" wrapText="1"/>
    </xf>
    <xf numFmtId="0" fontId="4" fillId="17" borderId="6" xfId="0" applyFont="1" applyFill="1" applyBorder="1" applyAlignment="1">
      <alignment horizontal="center" vertical="center" wrapText="1"/>
    </xf>
    <xf numFmtId="0" fontId="18" fillId="4" borderId="2" xfId="1" applyFont="1" applyFill="1" applyBorder="1" applyAlignment="1" applyProtection="1">
      <alignment horizontal="left"/>
      <protection locked="0"/>
    </xf>
    <xf numFmtId="0" fontId="18" fillId="4" borderId="3" xfId="1" applyFont="1" applyFill="1" applyBorder="1" applyAlignment="1" applyProtection="1">
      <alignment horizontal="left"/>
      <protection locked="0"/>
    </xf>
    <xf numFmtId="0" fontId="18" fillId="4" borderId="13" xfId="1" applyFont="1" applyFill="1" applyBorder="1" applyAlignment="1" applyProtection="1">
      <alignment horizontal="left"/>
      <protection locked="0"/>
    </xf>
    <xf numFmtId="0" fontId="6" fillId="4" borderId="7" xfId="1" applyFont="1" applyFill="1" applyBorder="1" applyAlignment="1">
      <alignment vertical="center" wrapText="1"/>
    </xf>
    <xf numFmtId="0" fontId="6" fillId="4" borderId="9" xfId="1" applyFont="1" applyFill="1" applyBorder="1" applyAlignment="1">
      <alignment vertical="center" wrapText="1"/>
    </xf>
    <xf numFmtId="0" fontId="6" fillId="4" borderId="10" xfId="1" applyFont="1" applyFill="1" applyBorder="1" applyAlignment="1">
      <alignment vertical="center" wrapText="1"/>
    </xf>
    <xf numFmtId="0" fontId="6" fillId="4" borderId="7" xfId="1" applyFont="1" applyFill="1" applyBorder="1" applyAlignment="1">
      <alignment horizontal="left" vertical="center" wrapText="1"/>
    </xf>
    <xf numFmtId="0" fontId="6" fillId="4" borderId="9" xfId="1" applyFont="1" applyFill="1" applyBorder="1" applyAlignment="1">
      <alignment horizontal="left" vertical="center" wrapText="1"/>
    </xf>
    <xf numFmtId="0" fontId="6" fillId="4" borderId="10" xfId="1" applyFont="1" applyFill="1" applyBorder="1" applyAlignment="1">
      <alignment horizontal="left" vertical="center" wrapText="1"/>
    </xf>
    <xf numFmtId="0" fontId="6" fillId="4" borderId="11" xfId="1" applyFont="1" applyFill="1" applyBorder="1" applyAlignment="1" applyProtection="1">
      <alignment horizontal="left"/>
      <protection locked="0"/>
    </xf>
    <xf numFmtId="0" fontId="6" fillId="4" borderId="14" xfId="1" applyFont="1" applyFill="1" applyBorder="1" applyAlignment="1" applyProtection="1">
      <alignment horizontal="left"/>
      <protection locked="0"/>
    </xf>
    <xf numFmtId="0" fontId="6" fillId="4" borderId="12" xfId="1" applyFont="1" applyFill="1" applyBorder="1" applyAlignment="1" applyProtection="1">
      <alignment horizontal="left"/>
      <protection locked="0"/>
    </xf>
    <xf numFmtId="0" fontId="6" fillId="4" borderId="8" xfId="1" applyFont="1" applyFill="1" applyBorder="1" applyAlignment="1" applyProtection="1">
      <alignment horizontal="left"/>
      <protection locked="0"/>
    </xf>
    <xf numFmtId="0" fontId="6" fillId="4" borderId="0" xfId="1" applyFont="1" applyFill="1" applyBorder="1" applyAlignment="1" applyProtection="1">
      <alignment horizontal="left"/>
      <protection locked="0"/>
    </xf>
    <xf numFmtId="0" fontId="6" fillId="4" borderId="15" xfId="1" applyFont="1" applyFill="1" applyBorder="1" applyAlignment="1" applyProtection="1">
      <alignment horizontal="left"/>
      <protection locked="0"/>
    </xf>
    <xf numFmtId="0" fontId="4" fillId="14" borderId="9" xfId="0" applyFont="1" applyFill="1" applyBorder="1" applyAlignment="1">
      <alignment horizontal="center" vertical="center" wrapText="1"/>
    </xf>
    <xf numFmtId="0" fontId="4" fillId="14" borderId="10" xfId="0" applyFont="1" applyFill="1" applyBorder="1" applyAlignment="1">
      <alignment horizontal="center" vertical="center" wrapText="1"/>
    </xf>
    <xf numFmtId="3" fontId="4" fillId="31" borderId="1" xfId="1" applyNumberFormat="1" applyFont="1" applyFill="1" applyBorder="1" applyAlignment="1" applyProtection="1">
      <alignment horizontal="center" vertical="center" wrapText="1"/>
      <protection locked="0"/>
    </xf>
    <xf numFmtId="0" fontId="4" fillId="14" borderId="2" xfId="0" applyFont="1" applyFill="1" applyBorder="1" applyAlignment="1">
      <alignment horizontal="center" vertical="center" wrapText="1"/>
    </xf>
    <xf numFmtId="0" fontId="4" fillId="14" borderId="3" xfId="0" applyFont="1" applyFill="1" applyBorder="1" applyAlignment="1">
      <alignment horizontal="center" vertical="center" wrapText="1"/>
    </xf>
    <xf numFmtId="3" fontId="4" fillId="29" borderId="1" xfId="1" applyNumberFormat="1" applyFont="1" applyFill="1" applyBorder="1" applyAlignment="1" applyProtection="1">
      <alignment horizontal="center" vertical="center" wrapText="1"/>
      <protection locked="0"/>
    </xf>
    <xf numFmtId="3" fontId="4" fillId="30" borderId="1" xfId="1" applyNumberFormat="1" applyFont="1" applyFill="1" applyBorder="1" applyAlignment="1" applyProtection="1">
      <alignment horizontal="center" vertical="center" wrapText="1"/>
      <protection locked="0"/>
    </xf>
    <xf numFmtId="0" fontId="17" fillId="14" borderId="9" xfId="0" applyFont="1" applyFill="1" applyBorder="1" applyAlignment="1">
      <alignment horizontal="center" vertical="center" wrapText="1"/>
    </xf>
    <xf numFmtId="0" fontId="17" fillId="14" borderId="10" xfId="0" applyFont="1" applyFill="1" applyBorder="1" applyAlignment="1">
      <alignment horizontal="center" vertical="center" wrapText="1"/>
    </xf>
    <xf numFmtId="0" fontId="10" fillId="4" borderId="7" xfId="1" applyFont="1" applyFill="1" applyBorder="1" applyAlignment="1" applyProtection="1">
      <alignment horizontal="left" wrapText="1"/>
      <protection locked="0"/>
    </xf>
    <xf numFmtId="0" fontId="10" fillId="4" borderId="9" xfId="1" applyFont="1" applyFill="1" applyBorder="1" applyAlignment="1" applyProtection="1">
      <alignment horizontal="left" wrapText="1"/>
      <protection locked="0"/>
    </xf>
    <xf numFmtId="3" fontId="4" fillId="19" borderId="1" xfId="1" applyNumberFormat="1" applyFont="1" applyFill="1" applyBorder="1" applyAlignment="1" applyProtection="1">
      <alignment horizontal="center" vertical="center" wrapText="1"/>
      <protection locked="0"/>
    </xf>
    <xf numFmtId="0" fontId="4" fillId="4" borderId="1" xfId="1" applyFont="1" applyFill="1" applyBorder="1" applyAlignment="1">
      <alignment horizontal="center" vertical="center" wrapText="1"/>
    </xf>
    <xf numFmtId="0" fontId="4" fillId="4" borderId="11" xfId="1" applyFont="1" applyFill="1" applyBorder="1" applyAlignment="1" applyProtection="1">
      <alignment wrapText="1"/>
      <protection locked="0"/>
    </xf>
    <xf numFmtId="0" fontId="4" fillId="4" borderId="14" xfId="1" applyFont="1" applyFill="1" applyBorder="1" applyAlignment="1" applyProtection="1">
      <alignment wrapText="1"/>
      <protection locked="0"/>
    </xf>
    <xf numFmtId="0" fontId="4" fillId="4" borderId="8" xfId="1" applyFont="1" applyFill="1" applyBorder="1" applyAlignment="1" applyProtection="1">
      <alignment wrapText="1"/>
      <protection locked="0"/>
    </xf>
    <xf numFmtId="0" fontId="4" fillId="4" borderId="0" xfId="1" applyFont="1" applyFill="1" applyAlignment="1" applyProtection="1">
      <alignment wrapText="1"/>
      <protection locked="0"/>
    </xf>
    <xf numFmtId="0" fontId="18" fillId="4" borderId="7" xfId="1" applyFont="1" applyFill="1" applyBorder="1" applyAlignment="1" applyProtection="1">
      <alignment horizontal="left" vertical="center"/>
      <protection locked="0"/>
    </xf>
    <xf numFmtId="0" fontId="18" fillId="4" borderId="9" xfId="1" applyFont="1" applyFill="1" applyBorder="1" applyAlignment="1" applyProtection="1">
      <alignment horizontal="left" vertical="center"/>
      <protection locked="0"/>
    </xf>
    <xf numFmtId="0" fontId="18" fillId="4" borderId="10" xfId="1" applyFont="1" applyFill="1" applyBorder="1" applyAlignment="1" applyProtection="1">
      <alignment horizontal="left" vertical="center"/>
      <protection locked="0"/>
    </xf>
    <xf numFmtId="0" fontId="4" fillId="13" borderId="7" xfId="0" applyNumberFormat="1" applyFont="1" applyFill="1" applyBorder="1" applyAlignment="1">
      <alignment horizontal="center" vertical="center" wrapText="1"/>
    </xf>
    <xf numFmtId="0" fontId="4" fillId="13" borderId="9" xfId="0" applyNumberFormat="1" applyFont="1" applyFill="1" applyBorder="1" applyAlignment="1">
      <alignment horizontal="center" vertical="center" wrapText="1"/>
    </xf>
    <xf numFmtId="0" fontId="4" fillId="13" borderId="7" xfId="0" applyNumberFormat="1" applyFont="1" applyFill="1" applyBorder="1" applyAlignment="1">
      <alignment vertical="center" wrapText="1"/>
    </xf>
    <xf numFmtId="0" fontId="4" fillId="13" borderId="9" xfId="0" applyNumberFormat="1" applyFont="1" applyFill="1" applyBorder="1" applyAlignment="1">
      <alignment vertical="center" wrapText="1"/>
    </xf>
    <xf numFmtId="0" fontId="4" fillId="13" borderId="10" xfId="0" applyNumberFormat="1" applyFont="1" applyFill="1" applyBorder="1" applyAlignment="1">
      <alignment vertical="center" wrapText="1"/>
    </xf>
    <xf numFmtId="0" fontId="32" fillId="13" borderId="7" xfId="0" applyNumberFormat="1" applyFont="1" applyFill="1" applyBorder="1" applyAlignment="1">
      <alignment horizontal="center" vertical="center" wrapText="1"/>
    </xf>
    <xf numFmtId="0" fontId="32" fillId="13" borderId="9" xfId="0" applyNumberFormat="1" applyFont="1" applyFill="1" applyBorder="1" applyAlignment="1">
      <alignment horizontal="center" vertical="center" wrapText="1"/>
    </xf>
    <xf numFmtId="0" fontId="32" fillId="13" borderId="10" xfId="0" applyNumberFormat="1" applyFont="1" applyFill="1" applyBorder="1" applyAlignment="1">
      <alignment horizontal="center" vertical="center" wrapText="1"/>
    </xf>
    <xf numFmtId="0" fontId="4" fillId="33" borderId="1" xfId="1" applyFont="1" applyFill="1" applyBorder="1" applyAlignment="1" applyProtection="1">
      <alignment horizontal="center" vertical="center" wrapText="1"/>
      <protection locked="0"/>
    </xf>
    <xf numFmtId="0" fontId="4" fillId="33" borderId="1" xfId="0" applyFont="1" applyFill="1" applyBorder="1" applyAlignment="1">
      <alignment horizontal="center" vertical="center" wrapText="1"/>
    </xf>
    <xf numFmtId="165" fontId="4" fillId="33" borderId="1" xfId="3" applyFont="1" applyFill="1" applyBorder="1" applyAlignment="1" applyProtection="1">
      <alignment horizontal="center" vertical="center" wrapText="1"/>
    </xf>
  </cellXfs>
  <cellStyles count="1662">
    <cellStyle name="Moeda" xfId="14" builtinId="4"/>
    <cellStyle name="Moeda 10" xfId="410" xr:uid="{00000000-0005-0000-0000-0000BF010000}"/>
    <cellStyle name="Moeda 10 2" xfId="961" xr:uid="{372ACDED-0377-4803-95AD-98DB583CD6A9}"/>
    <cellStyle name="Moeda 10 3" xfId="1511" xr:uid="{1637500B-6B32-447B-B962-60A7A4609F50}"/>
    <cellStyle name="Moeda 11" xfId="567" xr:uid="{8970EA90-0213-4782-B477-05C8E27909ED}"/>
    <cellStyle name="Moeda 12" xfId="1118" xr:uid="{C276CAB7-9723-495F-9A48-BE80D922959A}"/>
    <cellStyle name="Moeda 2" xfId="5" xr:uid="{00000000-0005-0000-0000-000001000000}"/>
    <cellStyle name="Moeda 2 2" xfId="9" xr:uid="{00000000-0005-0000-0000-000002000000}"/>
    <cellStyle name="Moeda 3" xfId="8" xr:uid="{00000000-0005-0000-0000-000003000000}"/>
    <cellStyle name="Moeda 3 10" xfId="406" xr:uid="{00000000-0005-0000-0000-000003000000}"/>
    <cellStyle name="Moeda 3 10 2" xfId="957" xr:uid="{98E3FAD0-4FB7-4000-94F3-14195994039F}"/>
    <cellStyle name="Moeda 3 10 3" xfId="1507" xr:uid="{9D2F4267-0250-462B-93CE-A522D05BA893}"/>
    <cellStyle name="Moeda 3 11" xfId="485" xr:uid="{00000000-0005-0000-0000-000003000000}"/>
    <cellStyle name="Moeda 3 11 2" xfId="1036" xr:uid="{8503AE0D-1E41-4515-A043-5BA97BBA4B8A}"/>
    <cellStyle name="Moeda 3 11 3" xfId="1586" xr:uid="{8CC08879-74DA-4EFF-92BD-585FFB10B2BF}"/>
    <cellStyle name="Moeda 3 12" xfId="563" xr:uid="{4445D727-53FC-473C-9458-839E5BD3BD5C}"/>
    <cellStyle name="Moeda 3 13" xfId="1114" xr:uid="{F4CC42E8-BD9E-4943-BB4C-E793BE22D8D1}"/>
    <cellStyle name="Moeda 3 2" xfId="17" xr:uid="{00000000-0005-0000-0000-000004000000}"/>
    <cellStyle name="Moeda 3 2 10" xfId="491" xr:uid="{00000000-0005-0000-0000-000004000000}"/>
    <cellStyle name="Moeda 3 2 10 2" xfId="1042" xr:uid="{C002378C-1ADD-4D18-8F5C-ADED7D9BBE32}"/>
    <cellStyle name="Moeda 3 2 10 3" xfId="1592" xr:uid="{B7A7B88B-911C-4BFF-AD29-33D3F496E28E}"/>
    <cellStyle name="Moeda 3 2 11" xfId="570" xr:uid="{E665BEA5-71CE-41F0-9E08-1C78D18F7186}"/>
    <cellStyle name="Moeda 3 2 12" xfId="1121" xr:uid="{DBCFA150-1875-47BA-AAD3-6461C9D2E290}"/>
    <cellStyle name="Moeda 3 2 2" xfId="34" xr:uid="{00000000-0005-0000-0000-000004000000}"/>
    <cellStyle name="Moeda 3 2 2 10" xfId="1137" xr:uid="{C9A42A79-607B-4DFD-9A90-0E47358D0169}"/>
    <cellStyle name="Moeda 3 2 2 2" xfId="66" xr:uid="{00000000-0005-0000-0000-000005000000}"/>
    <cellStyle name="Moeda 3 2 2 2 2" xfId="145" xr:uid="{00000000-0005-0000-0000-000005000000}"/>
    <cellStyle name="Moeda 3 2 2 2 2 2" xfId="696" xr:uid="{0BD2AA81-2507-4068-97CF-42D55C46DE30}"/>
    <cellStyle name="Moeda 3 2 2 2 2 3" xfId="1247" xr:uid="{2736C385-8748-42E1-9B52-DA4436C95AD0}"/>
    <cellStyle name="Moeda 3 2 2 2 3" xfId="224" xr:uid="{00000000-0005-0000-0000-000005000000}"/>
    <cellStyle name="Moeda 3 2 2 2 3 2" xfId="775" xr:uid="{2368D2C8-9C17-41ED-B9C5-A92EC6786F21}"/>
    <cellStyle name="Moeda 3 2 2 2 3 3" xfId="1326" xr:uid="{1DF8A9A2-F335-43E0-844A-0526FA2B5BA5}"/>
    <cellStyle name="Moeda 3 2 2 2 4" xfId="304" xr:uid="{00000000-0005-0000-0000-000005000000}"/>
    <cellStyle name="Moeda 3 2 2 2 4 2" xfId="855" xr:uid="{0E92BE46-9BDB-4938-8005-85140CA07586}"/>
    <cellStyle name="Moeda 3 2 2 2 4 3" xfId="1405" xr:uid="{0AE684FD-40AD-4E30-981A-331291D0CBDC}"/>
    <cellStyle name="Moeda 3 2 2 2 5" xfId="382" xr:uid="{00000000-0005-0000-0000-000005000000}"/>
    <cellStyle name="Moeda 3 2 2 2 5 2" xfId="933" xr:uid="{0813E732-FFE1-4D65-B5D7-9A3A2B281692}"/>
    <cellStyle name="Moeda 3 2 2 2 5 3" xfId="1483" xr:uid="{54E5882C-FF12-4118-AE85-EABED9F7ABBF}"/>
    <cellStyle name="Moeda 3 2 2 2 6" xfId="461" xr:uid="{00000000-0005-0000-0000-000005000000}"/>
    <cellStyle name="Moeda 3 2 2 2 6 2" xfId="1012" xr:uid="{02F1BF25-6F4F-4B1E-8AF8-46AFBBF22980}"/>
    <cellStyle name="Moeda 3 2 2 2 6 3" xfId="1562" xr:uid="{67AC4289-B365-4FCF-9D8F-983FCB177521}"/>
    <cellStyle name="Moeda 3 2 2 2 7" xfId="539" xr:uid="{00000000-0005-0000-0000-000005000000}"/>
    <cellStyle name="Moeda 3 2 2 2 7 2" xfId="1090" xr:uid="{3F39858E-5498-4123-84AF-3B180CC251C8}"/>
    <cellStyle name="Moeda 3 2 2 2 7 3" xfId="1640" xr:uid="{262C9F84-D2E3-4704-B2DF-876DC41FA1FA}"/>
    <cellStyle name="Moeda 3 2 2 2 8" xfId="618" xr:uid="{82CD1FCF-EF36-409F-82DB-B21D1E44EECE}"/>
    <cellStyle name="Moeda 3 2 2 2 9" xfId="1169" xr:uid="{6CF73062-B2AF-4E99-9CEF-B6560CF5B88E}"/>
    <cellStyle name="Moeda 3 2 2 3" xfId="113" xr:uid="{00000000-0005-0000-0000-000004000000}"/>
    <cellStyle name="Moeda 3 2 2 3 2" xfId="664" xr:uid="{693F20B1-D35B-4B18-89A4-E92D77B28E78}"/>
    <cellStyle name="Moeda 3 2 2 3 3" xfId="1215" xr:uid="{70052CB0-C670-4F04-B2F6-017F569C4E38}"/>
    <cellStyle name="Moeda 3 2 2 4" xfId="192" xr:uid="{00000000-0005-0000-0000-000004000000}"/>
    <cellStyle name="Moeda 3 2 2 4 2" xfId="743" xr:uid="{54AADB86-75CA-4B06-9375-4BF4EF488AD6}"/>
    <cellStyle name="Moeda 3 2 2 4 3" xfId="1294" xr:uid="{5694B147-2792-4991-B4D4-DDDA1D81A36D}"/>
    <cellStyle name="Moeda 3 2 2 5" xfId="272" xr:uid="{00000000-0005-0000-0000-000004000000}"/>
    <cellStyle name="Moeda 3 2 2 5 2" xfId="823" xr:uid="{14CD74A2-9396-410F-AA08-F845A1A02C48}"/>
    <cellStyle name="Moeda 3 2 2 5 3" xfId="1373" xr:uid="{F43E6CB1-6D8E-44E2-BFA2-F5198D9CEF7B}"/>
    <cellStyle name="Moeda 3 2 2 6" xfId="350" xr:uid="{00000000-0005-0000-0000-000004000000}"/>
    <cellStyle name="Moeda 3 2 2 6 2" xfId="901" xr:uid="{B3EB5C28-8116-4654-A925-57A726AB4009}"/>
    <cellStyle name="Moeda 3 2 2 6 3" xfId="1451" xr:uid="{452C793F-B09C-4192-8748-614C92D5DC21}"/>
    <cellStyle name="Moeda 3 2 2 7" xfId="429" xr:uid="{00000000-0005-0000-0000-000004000000}"/>
    <cellStyle name="Moeda 3 2 2 7 2" xfId="980" xr:uid="{44DB9D8D-C211-4A42-82CC-AD32B26C54DF}"/>
    <cellStyle name="Moeda 3 2 2 7 3" xfId="1530" xr:uid="{DC04E9E2-6696-499F-83F9-0A559A2205CD}"/>
    <cellStyle name="Moeda 3 2 2 8" xfId="507" xr:uid="{00000000-0005-0000-0000-000004000000}"/>
    <cellStyle name="Moeda 3 2 2 8 2" xfId="1058" xr:uid="{7774D03F-DDC0-49FE-8B33-731A4E0BCDD8}"/>
    <cellStyle name="Moeda 3 2 2 8 3" xfId="1608" xr:uid="{EA324A2D-7DEB-475F-A5E2-777EAE5E26D4}"/>
    <cellStyle name="Moeda 3 2 2 9" xfId="586" xr:uid="{97E62318-43F6-4067-9ED6-EEC5E70AE8F9}"/>
    <cellStyle name="Moeda 3 2 3" xfId="50" xr:uid="{00000000-0005-0000-0000-000004000000}"/>
    <cellStyle name="Moeda 3 2 3 2" xfId="129" xr:uid="{00000000-0005-0000-0000-000004000000}"/>
    <cellStyle name="Moeda 3 2 3 2 2" xfId="680" xr:uid="{DB2422EC-9F03-403F-9BB2-D575A83CC835}"/>
    <cellStyle name="Moeda 3 2 3 2 3" xfId="1231" xr:uid="{7FFCD633-F52E-4F23-B245-0928B33A9A2F}"/>
    <cellStyle name="Moeda 3 2 3 3" xfId="208" xr:uid="{00000000-0005-0000-0000-000004000000}"/>
    <cellStyle name="Moeda 3 2 3 3 2" xfId="759" xr:uid="{01EDE516-8B81-4E67-B458-B13761599D0D}"/>
    <cellStyle name="Moeda 3 2 3 3 3" xfId="1310" xr:uid="{3121B867-884A-48E0-9DD8-E782C8840464}"/>
    <cellStyle name="Moeda 3 2 3 4" xfId="288" xr:uid="{00000000-0005-0000-0000-000004000000}"/>
    <cellStyle name="Moeda 3 2 3 4 2" xfId="839" xr:uid="{B9352B41-8BD9-4883-8D66-1A584A7B8DCE}"/>
    <cellStyle name="Moeda 3 2 3 4 3" xfId="1389" xr:uid="{692E42A2-E01A-479A-B406-054EAED0EC1C}"/>
    <cellStyle name="Moeda 3 2 3 5" xfId="366" xr:uid="{00000000-0005-0000-0000-000004000000}"/>
    <cellStyle name="Moeda 3 2 3 5 2" xfId="917" xr:uid="{E958D5A9-745C-49E6-8AC8-5B36246FADA5}"/>
    <cellStyle name="Moeda 3 2 3 5 3" xfId="1467" xr:uid="{55DE986C-D693-435D-A53F-5303A31F7C8C}"/>
    <cellStyle name="Moeda 3 2 3 6" xfId="445" xr:uid="{00000000-0005-0000-0000-000004000000}"/>
    <cellStyle name="Moeda 3 2 3 6 2" xfId="996" xr:uid="{93A5A168-6B06-480D-A709-E9F2C9C72B24}"/>
    <cellStyle name="Moeda 3 2 3 6 3" xfId="1546" xr:uid="{871EA7FA-3D85-4879-A835-F8CDBC910905}"/>
    <cellStyle name="Moeda 3 2 3 7" xfId="523" xr:uid="{00000000-0005-0000-0000-000004000000}"/>
    <cellStyle name="Moeda 3 2 3 7 2" xfId="1074" xr:uid="{F5E42D49-759E-4131-B27A-083B653C5B26}"/>
    <cellStyle name="Moeda 3 2 3 7 3" xfId="1624" xr:uid="{E791495C-6E8A-40AE-843E-ACE7EAD08204}"/>
    <cellStyle name="Moeda 3 2 3 8" xfId="602" xr:uid="{21837706-9C91-46F0-BBFC-BFA6B3481D6F}"/>
    <cellStyle name="Moeda 3 2 3 9" xfId="1153" xr:uid="{641C994D-0472-4D11-8FB2-769688349EAD}"/>
    <cellStyle name="Moeda 3 2 4" xfId="81" xr:uid="{00000000-0005-0000-0000-000003000000}"/>
    <cellStyle name="Moeda 3 2 4 2" xfId="160" xr:uid="{00000000-0005-0000-0000-000003000000}"/>
    <cellStyle name="Moeda 3 2 4 2 2" xfId="711" xr:uid="{FBECDEDF-801D-4E8C-A4CA-A6979F48A2E2}"/>
    <cellStyle name="Moeda 3 2 4 2 3" xfId="1262" xr:uid="{528F6DDB-85A6-4BD5-A10C-1ABAD46414FF}"/>
    <cellStyle name="Moeda 3 2 4 3" xfId="239" xr:uid="{00000000-0005-0000-0000-000003000000}"/>
    <cellStyle name="Moeda 3 2 4 3 2" xfId="790" xr:uid="{98E7A0A5-62BC-4708-B574-84E31CF12D4A}"/>
    <cellStyle name="Moeda 3 2 4 3 3" xfId="1341" xr:uid="{88655ADA-EE36-42D5-9821-D13EE783D2DD}"/>
    <cellStyle name="Moeda 3 2 4 4" xfId="319" xr:uid="{00000000-0005-0000-0000-000003000000}"/>
    <cellStyle name="Moeda 3 2 4 4 2" xfId="870" xr:uid="{205E174E-6419-400F-9DB1-47287C21384A}"/>
    <cellStyle name="Moeda 3 2 4 4 3" xfId="1420" xr:uid="{5B11C179-5DB5-43C0-98E8-2EBBECAA11D2}"/>
    <cellStyle name="Moeda 3 2 4 5" xfId="397" xr:uid="{00000000-0005-0000-0000-000003000000}"/>
    <cellStyle name="Moeda 3 2 4 5 2" xfId="948" xr:uid="{AC228859-F4BE-4417-BF3E-2A3AB4CEAF06}"/>
    <cellStyle name="Moeda 3 2 4 5 3" xfId="1498" xr:uid="{D526235A-87F6-46EF-BA22-601239499448}"/>
    <cellStyle name="Moeda 3 2 4 6" xfId="476" xr:uid="{00000000-0005-0000-0000-000003000000}"/>
    <cellStyle name="Moeda 3 2 4 6 2" xfId="1027" xr:uid="{E9332E71-16E6-4700-9E91-E698A976B33B}"/>
    <cellStyle name="Moeda 3 2 4 6 3" xfId="1577" xr:uid="{8AF97379-0AEF-40B5-8757-EC07D7497E0D}"/>
    <cellStyle name="Moeda 3 2 4 7" xfId="554" xr:uid="{00000000-0005-0000-0000-000003000000}"/>
    <cellStyle name="Moeda 3 2 4 7 2" xfId="1105" xr:uid="{5BF80701-E8CE-4E17-B64E-E38B781BC3ED}"/>
    <cellStyle name="Moeda 3 2 4 7 3" xfId="1655" xr:uid="{C2F03476-F9C2-43E3-B160-A9AAFEF34C13}"/>
    <cellStyle name="Moeda 3 2 4 8" xfId="633" xr:uid="{9421FEDB-DC21-409B-8CC2-CE1C950C5CA2}"/>
    <cellStyle name="Moeda 3 2 4 9" xfId="1184" xr:uid="{D5692A34-0B00-4AF8-A525-997C85AFCF78}"/>
    <cellStyle name="Moeda 3 2 5" xfId="97" xr:uid="{00000000-0005-0000-0000-000004000000}"/>
    <cellStyle name="Moeda 3 2 5 2" xfId="648" xr:uid="{7F2DE087-540D-444E-82C3-670D3B6C9FF8}"/>
    <cellStyle name="Moeda 3 2 5 3" xfId="1199" xr:uid="{BA67FB64-2CF9-45D7-B4F1-F98B32607D69}"/>
    <cellStyle name="Moeda 3 2 6" xfId="176" xr:uid="{00000000-0005-0000-0000-000004000000}"/>
    <cellStyle name="Moeda 3 2 6 2" xfId="727" xr:uid="{12319B5B-32EC-4911-AFDE-9C85AA2A69BE}"/>
    <cellStyle name="Moeda 3 2 6 3" xfId="1278" xr:uid="{D142C584-9319-4F55-96BE-FD2B56A8AE10}"/>
    <cellStyle name="Moeda 3 2 7" xfId="255" xr:uid="{00000000-0005-0000-0000-000004000000}"/>
    <cellStyle name="Moeda 3 2 7 2" xfId="806" xr:uid="{ECFD2D0D-E1C1-45EA-AB61-121803818243}"/>
    <cellStyle name="Moeda 3 2 7 3" xfId="1357" xr:uid="{432011E9-B578-4B42-8002-1F8DD3A56BEF}"/>
    <cellStyle name="Moeda 3 2 8" xfId="334" xr:uid="{00000000-0005-0000-0000-000004000000}"/>
    <cellStyle name="Moeda 3 2 8 2" xfId="885" xr:uid="{1BAE1DC3-3A9E-4EDF-8133-9457D1CA6288}"/>
    <cellStyle name="Moeda 3 2 8 3" xfId="1435" xr:uid="{D2300CD9-44D4-4BB0-A13D-DD62EEDA908B}"/>
    <cellStyle name="Moeda 3 2 9" xfId="413" xr:uid="{00000000-0005-0000-0000-000004000000}"/>
    <cellStyle name="Moeda 3 2 9 2" xfId="964" xr:uid="{08CB3881-8808-42AE-AD43-BFE8525B25FA}"/>
    <cellStyle name="Moeda 3 2 9 3" xfId="1514" xr:uid="{57475FB9-2A5C-409E-9732-919B6BD74234}"/>
    <cellStyle name="Moeda 3 3" xfId="27" xr:uid="{00000000-0005-0000-0000-000003000000}"/>
    <cellStyle name="Moeda 3 3 10" xfId="1130" xr:uid="{627B0C53-AAB4-45EB-83CA-83C605C575DF}"/>
    <cellStyle name="Moeda 3 3 2" xfId="59" xr:uid="{00000000-0005-0000-0000-000006000000}"/>
    <cellStyle name="Moeda 3 3 2 2" xfId="138" xr:uid="{00000000-0005-0000-0000-000006000000}"/>
    <cellStyle name="Moeda 3 3 2 2 2" xfId="689" xr:uid="{4927573B-786B-47A3-9427-93D760DE1F8B}"/>
    <cellStyle name="Moeda 3 3 2 2 3" xfId="1240" xr:uid="{F9B9BA24-CCC0-4C28-B870-89F7DE4DE420}"/>
    <cellStyle name="Moeda 3 3 2 3" xfId="217" xr:uid="{00000000-0005-0000-0000-000006000000}"/>
    <cellStyle name="Moeda 3 3 2 3 2" xfId="768" xr:uid="{F34A329D-DA7A-4098-A68D-ECF87C8CBC67}"/>
    <cellStyle name="Moeda 3 3 2 3 3" xfId="1319" xr:uid="{7C33E801-F0BA-4CAD-A3CE-75238D4C730C}"/>
    <cellStyle name="Moeda 3 3 2 4" xfId="297" xr:uid="{00000000-0005-0000-0000-000006000000}"/>
    <cellStyle name="Moeda 3 3 2 4 2" xfId="848" xr:uid="{6DBE0D8D-1703-47DB-8C67-DA1E1C5474B3}"/>
    <cellStyle name="Moeda 3 3 2 4 3" xfId="1398" xr:uid="{F660FA81-3B5C-496F-B4FC-B56760DECB5E}"/>
    <cellStyle name="Moeda 3 3 2 5" xfId="375" xr:uid="{00000000-0005-0000-0000-000006000000}"/>
    <cellStyle name="Moeda 3 3 2 5 2" xfId="926" xr:uid="{2D0DF9B8-B865-4DA6-926B-2F38E5FA58AC}"/>
    <cellStyle name="Moeda 3 3 2 5 3" xfId="1476" xr:uid="{1A5D5524-50AD-49DF-A21E-DA181B219A75}"/>
    <cellStyle name="Moeda 3 3 2 6" xfId="454" xr:uid="{00000000-0005-0000-0000-000006000000}"/>
    <cellStyle name="Moeda 3 3 2 6 2" xfId="1005" xr:uid="{DCB7D21C-01AC-4473-904E-40A211C3CB64}"/>
    <cellStyle name="Moeda 3 3 2 6 3" xfId="1555" xr:uid="{372785D1-C5C2-4F1E-873B-99C98E131B09}"/>
    <cellStyle name="Moeda 3 3 2 7" xfId="532" xr:uid="{00000000-0005-0000-0000-000006000000}"/>
    <cellStyle name="Moeda 3 3 2 7 2" xfId="1083" xr:uid="{99676368-8047-422C-81B8-24C768850D0C}"/>
    <cellStyle name="Moeda 3 3 2 7 3" xfId="1633" xr:uid="{2A08718D-BE2E-410B-B1D6-6678CE5F63FA}"/>
    <cellStyle name="Moeda 3 3 2 8" xfId="611" xr:uid="{8AC41DA6-1D8B-4C36-90B4-4029D245E4EB}"/>
    <cellStyle name="Moeda 3 3 2 9" xfId="1162" xr:uid="{F4E1289D-4F5E-4F91-B1A4-8E91B94CC7F7}"/>
    <cellStyle name="Moeda 3 3 3" xfId="106" xr:uid="{00000000-0005-0000-0000-000003000000}"/>
    <cellStyle name="Moeda 3 3 3 2" xfId="657" xr:uid="{9FCF479B-DBD5-4693-A8D0-AC4AEE7E4696}"/>
    <cellStyle name="Moeda 3 3 3 3" xfId="1208" xr:uid="{170B701E-0DFC-4039-85A2-2B613751F1D1}"/>
    <cellStyle name="Moeda 3 3 4" xfId="185" xr:uid="{00000000-0005-0000-0000-000003000000}"/>
    <cellStyle name="Moeda 3 3 4 2" xfId="736" xr:uid="{17FE90F3-DF74-4C68-B938-F1C3280B713B}"/>
    <cellStyle name="Moeda 3 3 4 3" xfId="1287" xr:uid="{967AD4D8-01FD-4A54-BB84-441335158C31}"/>
    <cellStyle name="Moeda 3 3 5" xfId="265" xr:uid="{00000000-0005-0000-0000-000003000000}"/>
    <cellStyle name="Moeda 3 3 5 2" xfId="816" xr:uid="{5D465F64-02A0-4233-94E0-BBE4CB182FEF}"/>
    <cellStyle name="Moeda 3 3 5 3" xfId="1366" xr:uid="{75276DE0-93A1-4675-8BDA-7E4D3501B2CB}"/>
    <cellStyle name="Moeda 3 3 6" xfId="343" xr:uid="{00000000-0005-0000-0000-000003000000}"/>
    <cellStyle name="Moeda 3 3 6 2" xfId="894" xr:uid="{F14E4E5F-19AE-4A26-8BA8-783924F8A298}"/>
    <cellStyle name="Moeda 3 3 6 3" xfId="1444" xr:uid="{160252B9-315A-4CD2-B232-D3B1CB1F21FC}"/>
    <cellStyle name="Moeda 3 3 7" xfId="422" xr:uid="{00000000-0005-0000-0000-000003000000}"/>
    <cellStyle name="Moeda 3 3 7 2" xfId="973" xr:uid="{51FCA755-64CC-461C-B399-66F0F6BE6FAA}"/>
    <cellStyle name="Moeda 3 3 7 3" xfId="1523" xr:uid="{5DE02FAC-134F-4398-8170-43EC851D19FE}"/>
    <cellStyle name="Moeda 3 3 8" xfId="500" xr:uid="{00000000-0005-0000-0000-000003000000}"/>
    <cellStyle name="Moeda 3 3 8 2" xfId="1051" xr:uid="{CC38870E-5444-4907-BEA2-5703F0039E2C}"/>
    <cellStyle name="Moeda 3 3 8 3" xfId="1601" xr:uid="{46B66E79-4950-486E-A15B-8F8884C99321}"/>
    <cellStyle name="Moeda 3 3 9" xfId="579" xr:uid="{2BDEB628-224B-432E-B2E2-B023B4A10009}"/>
    <cellStyle name="Moeda 3 4" xfId="43" xr:uid="{00000000-0005-0000-0000-000003000000}"/>
    <cellStyle name="Moeda 3 4 2" xfId="122" xr:uid="{00000000-0005-0000-0000-000003000000}"/>
    <cellStyle name="Moeda 3 4 2 2" xfId="673" xr:uid="{6E0E310F-691A-40E5-9D97-12459CD49EDD}"/>
    <cellStyle name="Moeda 3 4 2 3" xfId="1224" xr:uid="{1B9AD943-F02B-4A36-9636-B097EBC95EB8}"/>
    <cellStyle name="Moeda 3 4 3" xfId="201" xr:uid="{00000000-0005-0000-0000-000003000000}"/>
    <cellStyle name="Moeda 3 4 3 2" xfId="752" xr:uid="{8B63E9E8-77CD-4A30-A29B-1C535A46F68B}"/>
    <cellStyle name="Moeda 3 4 3 3" xfId="1303" xr:uid="{F715D131-AE7F-4876-9DB6-9DD0936DA28E}"/>
    <cellStyle name="Moeda 3 4 4" xfId="281" xr:uid="{00000000-0005-0000-0000-000003000000}"/>
    <cellStyle name="Moeda 3 4 4 2" xfId="832" xr:uid="{B4841E9B-5725-4F4A-B0F6-6315876F9355}"/>
    <cellStyle name="Moeda 3 4 4 3" xfId="1382" xr:uid="{A42B38CE-D216-4E0D-AE07-7B42E34EE6F3}"/>
    <cellStyle name="Moeda 3 4 5" xfId="359" xr:uid="{00000000-0005-0000-0000-000003000000}"/>
    <cellStyle name="Moeda 3 4 5 2" xfId="910" xr:uid="{A547CBA7-8027-4ED1-B754-86FCD024035E}"/>
    <cellStyle name="Moeda 3 4 5 3" xfId="1460" xr:uid="{2886840D-6667-402C-8836-E6B7E5465692}"/>
    <cellStyle name="Moeda 3 4 6" xfId="438" xr:uid="{00000000-0005-0000-0000-000003000000}"/>
    <cellStyle name="Moeda 3 4 6 2" xfId="989" xr:uid="{6D41A123-188D-4420-AAF5-7FFDEFEA207E}"/>
    <cellStyle name="Moeda 3 4 6 3" xfId="1539" xr:uid="{68E3E746-E82A-493C-9773-91EAC785718A}"/>
    <cellStyle name="Moeda 3 4 7" xfId="516" xr:uid="{00000000-0005-0000-0000-000003000000}"/>
    <cellStyle name="Moeda 3 4 7 2" xfId="1067" xr:uid="{1F6580A2-22DB-4FC3-9589-E990E2A27C36}"/>
    <cellStyle name="Moeda 3 4 7 3" xfId="1617" xr:uid="{0B51DEF6-7B01-4C0C-9EDB-BC94B6A1B5E5}"/>
    <cellStyle name="Moeda 3 4 8" xfId="595" xr:uid="{6327E19C-ABB5-47EB-8F5E-9FC0E97EC691}"/>
    <cellStyle name="Moeda 3 4 9" xfId="1146" xr:uid="{CD980B90-66FA-42D6-9D42-CF700A866BA9}"/>
    <cellStyle name="Moeda 3 5" xfId="75" xr:uid="{00000000-0005-0000-0000-000002000000}"/>
    <cellStyle name="Moeda 3 5 2" xfId="154" xr:uid="{00000000-0005-0000-0000-000002000000}"/>
    <cellStyle name="Moeda 3 5 2 2" xfId="705" xr:uid="{DB633012-C18B-4A99-B725-9B88AEB04AF3}"/>
    <cellStyle name="Moeda 3 5 2 3" xfId="1256" xr:uid="{F6BCBF32-6E38-4AB4-9920-E61B018712EB}"/>
    <cellStyle name="Moeda 3 5 3" xfId="233" xr:uid="{00000000-0005-0000-0000-000002000000}"/>
    <cellStyle name="Moeda 3 5 3 2" xfId="784" xr:uid="{560285CD-DF92-40BA-B6F6-FBC761AED581}"/>
    <cellStyle name="Moeda 3 5 3 3" xfId="1335" xr:uid="{6B5D3B29-4C36-45BB-AF11-FBA9D4052CD4}"/>
    <cellStyle name="Moeda 3 5 4" xfId="313" xr:uid="{00000000-0005-0000-0000-000002000000}"/>
    <cellStyle name="Moeda 3 5 4 2" xfId="864" xr:uid="{1B63E3CB-6BBE-4E6A-B153-7C182749D781}"/>
    <cellStyle name="Moeda 3 5 4 3" xfId="1414" xr:uid="{2473931F-3250-480F-8F7A-4B93CC2A655F}"/>
    <cellStyle name="Moeda 3 5 5" xfId="391" xr:uid="{00000000-0005-0000-0000-000002000000}"/>
    <cellStyle name="Moeda 3 5 5 2" xfId="942" xr:uid="{97B6130C-C9A1-4098-A359-E7F938F91C9A}"/>
    <cellStyle name="Moeda 3 5 5 3" xfId="1492" xr:uid="{203FDDF6-789B-40D3-9608-4A304C3D8B10}"/>
    <cellStyle name="Moeda 3 5 6" xfId="470" xr:uid="{00000000-0005-0000-0000-000002000000}"/>
    <cellStyle name="Moeda 3 5 6 2" xfId="1021" xr:uid="{2EB16B90-B721-4E28-8D50-EEFBA938F55D}"/>
    <cellStyle name="Moeda 3 5 6 3" xfId="1571" xr:uid="{FEA99F48-D708-483B-97DD-5A8F79346485}"/>
    <cellStyle name="Moeda 3 5 7" xfId="548" xr:uid="{00000000-0005-0000-0000-000002000000}"/>
    <cellStyle name="Moeda 3 5 7 2" xfId="1099" xr:uid="{6007CCB6-C7BF-4B3C-8452-F1AF140DA475}"/>
    <cellStyle name="Moeda 3 5 7 3" xfId="1649" xr:uid="{739D4610-A0C6-4387-925F-9E59DCC32594}"/>
    <cellStyle name="Moeda 3 5 8" xfId="627" xr:uid="{074E8D30-E5FC-4746-BE4E-427A6296C740}"/>
    <cellStyle name="Moeda 3 5 9" xfId="1178" xr:uid="{8E332C92-09D2-4A6C-A422-98A0184F8336}"/>
    <cellStyle name="Moeda 3 6" xfId="91" xr:uid="{00000000-0005-0000-0000-000003000000}"/>
    <cellStyle name="Moeda 3 6 2" xfId="642" xr:uid="{FF40312A-9B8D-4D86-9BDF-2C0016740E1B}"/>
    <cellStyle name="Moeda 3 6 3" xfId="1193" xr:uid="{26DA4B23-AFA3-4D18-83A1-B900AA127127}"/>
    <cellStyle name="Moeda 3 7" xfId="169" xr:uid="{00000000-0005-0000-0000-000003000000}"/>
    <cellStyle name="Moeda 3 7 2" xfId="720" xr:uid="{A13FB6D3-DD63-48A6-AF30-0420D08916DB}"/>
    <cellStyle name="Moeda 3 7 3" xfId="1271" xr:uid="{5C7A7CFB-0CB1-4A46-9C37-3E3B88BF7ED3}"/>
    <cellStyle name="Moeda 3 8" xfId="248" xr:uid="{00000000-0005-0000-0000-000003000000}"/>
    <cellStyle name="Moeda 3 8 2" xfId="799" xr:uid="{37E27892-0E48-4CFF-A054-6FCD1B26C7A2}"/>
    <cellStyle name="Moeda 3 8 3" xfId="1350" xr:uid="{E2F9FBD9-0B9F-44B5-8721-B3051552587F}"/>
    <cellStyle name="Moeda 3 9" xfId="328" xr:uid="{00000000-0005-0000-0000-000003000000}"/>
    <cellStyle name="Moeda 3 9 2" xfId="879" xr:uid="{A06B3816-E154-415D-A1C3-FBF466E1D412}"/>
    <cellStyle name="Moeda 3 9 3" xfId="1429" xr:uid="{3FA2B28D-1EFA-4F38-A617-A863EBAABF14}"/>
    <cellStyle name="Moeda 4" xfId="21" xr:uid="{00000000-0005-0000-0000-000005000000}"/>
    <cellStyle name="Moeda 4 10" xfId="495" xr:uid="{00000000-0005-0000-0000-000005000000}"/>
    <cellStyle name="Moeda 4 10 2" xfId="1046" xr:uid="{ACAC98EE-3B1B-465C-9F60-16C37A9CC142}"/>
    <cellStyle name="Moeda 4 10 3" xfId="1596" xr:uid="{525B10D3-1F67-4826-9D19-BAAF3E72F226}"/>
    <cellStyle name="Moeda 4 11" xfId="574" xr:uid="{31D13986-E849-47AA-9965-715D0AAF9502}"/>
    <cellStyle name="Moeda 4 12" xfId="1125" xr:uid="{8523A14A-DEE0-43BE-A222-D77F47E36CFD}"/>
    <cellStyle name="Moeda 4 2" xfId="38" xr:uid="{00000000-0005-0000-0000-000005000000}"/>
    <cellStyle name="Moeda 4 2 10" xfId="1141" xr:uid="{5747E6E6-A6DC-4405-8BAD-5C4FA8BFB4C6}"/>
    <cellStyle name="Moeda 4 2 2" xfId="70" xr:uid="{00000000-0005-0000-0000-000008000000}"/>
    <cellStyle name="Moeda 4 2 2 2" xfId="149" xr:uid="{00000000-0005-0000-0000-000008000000}"/>
    <cellStyle name="Moeda 4 2 2 2 2" xfId="700" xr:uid="{95AD7656-DA71-4EA6-95D6-D21075B83E7F}"/>
    <cellStyle name="Moeda 4 2 2 2 3" xfId="1251" xr:uid="{E6CA614C-CAFE-4A69-8E3F-52E3F9AC51C6}"/>
    <cellStyle name="Moeda 4 2 2 3" xfId="228" xr:uid="{00000000-0005-0000-0000-000008000000}"/>
    <cellStyle name="Moeda 4 2 2 3 2" xfId="779" xr:uid="{2D5E2342-EAEE-4C15-BE4E-F43E303BA0FE}"/>
    <cellStyle name="Moeda 4 2 2 3 3" xfId="1330" xr:uid="{F963685B-FC62-4DB1-9CB4-9BEF8251B1AB}"/>
    <cellStyle name="Moeda 4 2 2 4" xfId="308" xr:uid="{00000000-0005-0000-0000-000008000000}"/>
    <cellStyle name="Moeda 4 2 2 4 2" xfId="859" xr:uid="{D89F9FDD-B7B0-4416-B845-A4673CA78150}"/>
    <cellStyle name="Moeda 4 2 2 4 3" xfId="1409" xr:uid="{0BC88A9E-FB07-4C56-A42E-B2BB83E21D63}"/>
    <cellStyle name="Moeda 4 2 2 5" xfId="386" xr:uid="{00000000-0005-0000-0000-000008000000}"/>
    <cellStyle name="Moeda 4 2 2 5 2" xfId="937" xr:uid="{087025C0-88B4-479F-B13D-1372F36F1028}"/>
    <cellStyle name="Moeda 4 2 2 5 3" xfId="1487" xr:uid="{D7123789-7AB4-4A24-A979-73A3F5174815}"/>
    <cellStyle name="Moeda 4 2 2 6" xfId="465" xr:uid="{00000000-0005-0000-0000-000008000000}"/>
    <cellStyle name="Moeda 4 2 2 6 2" xfId="1016" xr:uid="{82B75EE6-5220-4C92-964A-392958AE66A3}"/>
    <cellStyle name="Moeda 4 2 2 6 3" xfId="1566" xr:uid="{BF0CD999-C48A-431D-BE81-8E52DCF9F1A9}"/>
    <cellStyle name="Moeda 4 2 2 7" xfId="543" xr:uid="{00000000-0005-0000-0000-000008000000}"/>
    <cellStyle name="Moeda 4 2 2 7 2" xfId="1094" xr:uid="{EF8EBC1F-C465-4AFD-9EEE-DF4DEB7B8E71}"/>
    <cellStyle name="Moeda 4 2 2 7 3" xfId="1644" xr:uid="{1DA89194-52F3-4F9E-8A21-D3908E24B936}"/>
    <cellStyle name="Moeda 4 2 2 8" xfId="622" xr:uid="{1ADCCAAB-4850-4091-898C-5B4EF6348EF8}"/>
    <cellStyle name="Moeda 4 2 2 9" xfId="1173" xr:uid="{A4FB40D4-9BA9-4D86-B988-8EE375929282}"/>
    <cellStyle name="Moeda 4 2 3" xfId="117" xr:uid="{00000000-0005-0000-0000-000005000000}"/>
    <cellStyle name="Moeda 4 2 3 2" xfId="668" xr:uid="{7AFC46E7-3245-4E02-BC73-89D1D79B4767}"/>
    <cellStyle name="Moeda 4 2 3 3" xfId="1219" xr:uid="{DF7BFEE8-8AF5-4308-8638-A09A11B61833}"/>
    <cellStyle name="Moeda 4 2 4" xfId="196" xr:uid="{00000000-0005-0000-0000-000005000000}"/>
    <cellStyle name="Moeda 4 2 4 2" xfId="747" xr:uid="{60F5AA36-6ADD-4927-A0A9-3E36400E5625}"/>
    <cellStyle name="Moeda 4 2 4 3" xfId="1298" xr:uid="{331DD559-352A-4CC1-8A50-6E099E7EA170}"/>
    <cellStyle name="Moeda 4 2 5" xfId="276" xr:uid="{00000000-0005-0000-0000-000005000000}"/>
    <cellStyle name="Moeda 4 2 5 2" xfId="827" xr:uid="{D07F3000-B25C-493A-8FB7-37F6CD043F68}"/>
    <cellStyle name="Moeda 4 2 5 3" xfId="1377" xr:uid="{0062B54B-8C8E-4E0D-A2DE-29151AEDEBBD}"/>
    <cellStyle name="Moeda 4 2 6" xfId="354" xr:uid="{00000000-0005-0000-0000-000005000000}"/>
    <cellStyle name="Moeda 4 2 6 2" xfId="905" xr:uid="{CB4579AA-48B8-4ABA-9FD6-B4F72C3FF9C2}"/>
    <cellStyle name="Moeda 4 2 6 3" xfId="1455" xr:uid="{BCBA1C07-33AA-4453-B5CC-E8E3D911C078}"/>
    <cellStyle name="Moeda 4 2 7" xfId="433" xr:uid="{00000000-0005-0000-0000-000005000000}"/>
    <cellStyle name="Moeda 4 2 7 2" xfId="984" xr:uid="{0ECD66C1-3FE3-41F8-9558-E9617B22B0FE}"/>
    <cellStyle name="Moeda 4 2 7 3" xfId="1534" xr:uid="{CB315E09-E301-4BCA-BCE4-0575A81F778D}"/>
    <cellStyle name="Moeda 4 2 8" xfId="511" xr:uid="{00000000-0005-0000-0000-000005000000}"/>
    <cellStyle name="Moeda 4 2 8 2" xfId="1062" xr:uid="{2229E085-F2CE-47C9-AE45-0E5AE74FED14}"/>
    <cellStyle name="Moeda 4 2 8 3" xfId="1612" xr:uid="{0B092FF8-E2DB-4038-BC9C-2F198D6C5414}"/>
    <cellStyle name="Moeda 4 2 9" xfId="590" xr:uid="{F805F682-47EF-4D51-B703-CBBF4D6D31D7}"/>
    <cellStyle name="Moeda 4 3" xfId="54" xr:uid="{00000000-0005-0000-0000-000005000000}"/>
    <cellStyle name="Moeda 4 3 2" xfId="133" xr:uid="{00000000-0005-0000-0000-000005000000}"/>
    <cellStyle name="Moeda 4 3 2 2" xfId="684" xr:uid="{41AB77D7-B4A0-40F5-BCD6-BFDC9A02D133}"/>
    <cellStyle name="Moeda 4 3 2 3" xfId="1235" xr:uid="{EFE3401D-C6F3-44CD-881F-1947CC2990E9}"/>
    <cellStyle name="Moeda 4 3 3" xfId="212" xr:uid="{00000000-0005-0000-0000-000005000000}"/>
    <cellStyle name="Moeda 4 3 3 2" xfId="763" xr:uid="{B6F01163-D5DC-4E40-B30B-54DC1DFF9962}"/>
    <cellStyle name="Moeda 4 3 3 3" xfId="1314" xr:uid="{8939FAAA-4D5F-4910-B7B2-111ECFDB6F25}"/>
    <cellStyle name="Moeda 4 3 4" xfId="292" xr:uid="{00000000-0005-0000-0000-000005000000}"/>
    <cellStyle name="Moeda 4 3 4 2" xfId="843" xr:uid="{61B30D03-68FF-4076-AB14-67322E961389}"/>
    <cellStyle name="Moeda 4 3 4 3" xfId="1393" xr:uid="{FE382850-4074-46FF-982B-68B97E5F7048}"/>
    <cellStyle name="Moeda 4 3 5" xfId="370" xr:uid="{00000000-0005-0000-0000-000005000000}"/>
    <cellStyle name="Moeda 4 3 5 2" xfId="921" xr:uid="{776092BC-E0F0-48B7-BBB6-491E294047A4}"/>
    <cellStyle name="Moeda 4 3 5 3" xfId="1471" xr:uid="{8B7E46F0-DF4E-427A-AA8B-2C6CFEB37627}"/>
    <cellStyle name="Moeda 4 3 6" xfId="449" xr:uid="{00000000-0005-0000-0000-000005000000}"/>
    <cellStyle name="Moeda 4 3 6 2" xfId="1000" xr:uid="{71501DF9-051A-4E50-86FB-C95AFED2DF3A}"/>
    <cellStyle name="Moeda 4 3 6 3" xfId="1550" xr:uid="{CF26A5FB-5F56-4442-92FF-2316D01EA256}"/>
    <cellStyle name="Moeda 4 3 7" xfId="527" xr:uid="{00000000-0005-0000-0000-000005000000}"/>
    <cellStyle name="Moeda 4 3 7 2" xfId="1078" xr:uid="{9FE3A3AA-06D7-43E9-86A8-F7DC506A36E6}"/>
    <cellStyle name="Moeda 4 3 7 3" xfId="1628" xr:uid="{EBF76EFE-1A75-41CC-8F7D-149CE10B7604}"/>
    <cellStyle name="Moeda 4 3 8" xfId="606" xr:uid="{5ED7AD0D-41D0-4BDB-A054-03992FD56FF2}"/>
    <cellStyle name="Moeda 4 3 9" xfId="1157" xr:uid="{CBB2361A-FD3E-40E2-9DC8-59BE2C574CFA}"/>
    <cellStyle name="Moeda 4 4" xfId="85" xr:uid="{00000000-0005-0000-0000-000004000000}"/>
    <cellStyle name="Moeda 4 4 2" xfId="164" xr:uid="{00000000-0005-0000-0000-000004000000}"/>
    <cellStyle name="Moeda 4 4 2 2" xfId="715" xr:uid="{367C3043-8BF2-450F-BD68-50542B7CA74E}"/>
    <cellStyle name="Moeda 4 4 2 3" xfId="1266" xr:uid="{3253E120-90DC-480E-93F8-0B75DD77AB41}"/>
    <cellStyle name="Moeda 4 4 3" xfId="243" xr:uid="{00000000-0005-0000-0000-000004000000}"/>
    <cellStyle name="Moeda 4 4 3 2" xfId="794" xr:uid="{5DF85F17-4BCB-419F-A0E6-8722AE922E68}"/>
    <cellStyle name="Moeda 4 4 3 3" xfId="1345" xr:uid="{F173CDB3-8BB6-4559-9B11-75CA1C73E950}"/>
    <cellStyle name="Moeda 4 4 4" xfId="323" xr:uid="{00000000-0005-0000-0000-000004000000}"/>
    <cellStyle name="Moeda 4 4 4 2" xfId="874" xr:uid="{D8DCD62A-62A0-4C04-977E-3DA72A73CE22}"/>
    <cellStyle name="Moeda 4 4 4 3" xfId="1424" xr:uid="{632667F1-2BDC-48F3-863A-FF5C0E6588D2}"/>
    <cellStyle name="Moeda 4 4 5" xfId="401" xr:uid="{00000000-0005-0000-0000-000004000000}"/>
    <cellStyle name="Moeda 4 4 5 2" xfId="952" xr:uid="{D8ADEE33-987E-41D6-9FD0-EC96E127AE63}"/>
    <cellStyle name="Moeda 4 4 5 3" xfId="1502" xr:uid="{C5F5E69C-F662-438E-BD5B-60872A9F7D03}"/>
    <cellStyle name="Moeda 4 4 6" xfId="480" xr:uid="{00000000-0005-0000-0000-000004000000}"/>
    <cellStyle name="Moeda 4 4 6 2" xfId="1031" xr:uid="{78E82BF6-0DDD-40F8-A23A-89D7A25F52C8}"/>
    <cellStyle name="Moeda 4 4 6 3" xfId="1581" xr:uid="{8F616370-C53E-4025-B4B0-B10D60F2DE22}"/>
    <cellStyle name="Moeda 4 4 7" xfId="558" xr:uid="{00000000-0005-0000-0000-000004000000}"/>
    <cellStyle name="Moeda 4 4 7 2" xfId="1109" xr:uid="{4F8DC78A-AE1C-4E8A-9888-445569BE0AA3}"/>
    <cellStyle name="Moeda 4 4 7 3" xfId="1659" xr:uid="{163EB97F-D832-4175-A9D0-631FA88B5F16}"/>
    <cellStyle name="Moeda 4 4 8" xfId="637" xr:uid="{EDBDDA14-38DE-43F2-8B13-3CC5818D3433}"/>
    <cellStyle name="Moeda 4 4 9" xfId="1188" xr:uid="{6938E842-D159-4F00-A2C4-F9D13A16C82B}"/>
    <cellStyle name="Moeda 4 5" xfId="101" xr:uid="{00000000-0005-0000-0000-000005000000}"/>
    <cellStyle name="Moeda 4 5 2" xfId="652" xr:uid="{1BE933C5-4DA1-44A7-8132-7C7D6CCA7323}"/>
    <cellStyle name="Moeda 4 5 3" xfId="1203" xr:uid="{EC12A23C-0F07-4B24-8A0B-1F5DBE14CD75}"/>
    <cellStyle name="Moeda 4 6" xfId="180" xr:uid="{00000000-0005-0000-0000-000005000000}"/>
    <cellStyle name="Moeda 4 6 2" xfId="731" xr:uid="{D2A56DA3-861D-4FA5-8432-ED74A59E600C}"/>
    <cellStyle name="Moeda 4 6 3" xfId="1282" xr:uid="{62CE7BED-5989-4E33-BD42-0D3614598722}"/>
    <cellStyle name="Moeda 4 7" xfId="259" xr:uid="{00000000-0005-0000-0000-000005000000}"/>
    <cellStyle name="Moeda 4 7 2" xfId="810" xr:uid="{46B62AB6-53F7-4E4B-9869-81AD3AB45789}"/>
    <cellStyle name="Moeda 4 7 3" xfId="1361" xr:uid="{FA3D0FE6-935F-4FFD-A0AF-4AA6FAA0AE19}"/>
    <cellStyle name="Moeda 4 8" xfId="338" xr:uid="{00000000-0005-0000-0000-000005000000}"/>
    <cellStyle name="Moeda 4 8 2" xfId="889" xr:uid="{152B5722-B3E5-49CF-A37B-5F8E0A581D07}"/>
    <cellStyle name="Moeda 4 8 3" xfId="1439" xr:uid="{E232204E-8922-4335-AA35-60B536BCC6D5}"/>
    <cellStyle name="Moeda 4 9" xfId="417" xr:uid="{00000000-0005-0000-0000-000005000000}"/>
    <cellStyle name="Moeda 4 9 2" xfId="968" xr:uid="{FBDBA00E-C775-4F99-B426-616B77B7272C}"/>
    <cellStyle name="Moeda 4 9 3" xfId="1518" xr:uid="{EDC1A8E7-1448-4067-A8F3-2B5FBC9640C2}"/>
    <cellStyle name="Moeda 5" xfId="20" xr:uid="{00000000-0005-0000-0000-000006000000}"/>
    <cellStyle name="Moeda 5 10" xfId="494" xr:uid="{00000000-0005-0000-0000-000006000000}"/>
    <cellStyle name="Moeda 5 10 2" xfId="1045" xr:uid="{2B171AC1-C142-4183-A12D-03AFC5A3EA15}"/>
    <cellStyle name="Moeda 5 10 3" xfId="1595" xr:uid="{3433A978-2391-42AD-8EC9-98683956BC84}"/>
    <cellStyle name="Moeda 5 11" xfId="573" xr:uid="{869A6C22-1ADF-4F5D-8526-C3D4ADB011C7}"/>
    <cellStyle name="Moeda 5 12" xfId="1124" xr:uid="{81ED4FE7-3EF5-4683-B636-CECDE02872C1}"/>
    <cellStyle name="Moeda 5 2" xfId="37" xr:uid="{00000000-0005-0000-0000-000006000000}"/>
    <cellStyle name="Moeda 5 2 10" xfId="1140" xr:uid="{DA50FA87-3DB4-490A-BD4D-0AFEA6750F89}"/>
    <cellStyle name="Moeda 5 2 2" xfId="69" xr:uid="{00000000-0005-0000-0000-00000A000000}"/>
    <cellStyle name="Moeda 5 2 2 2" xfId="148" xr:uid="{00000000-0005-0000-0000-00000A000000}"/>
    <cellStyle name="Moeda 5 2 2 2 2" xfId="699" xr:uid="{9626E107-6B04-4B5B-A005-B828A13F4437}"/>
    <cellStyle name="Moeda 5 2 2 2 3" xfId="1250" xr:uid="{400AA91C-BBE2-419A-AFF8-C357AC81F34A}"/>
    <cellStyle name="Moeda 5 2 2 3" xfId="227" xr:uid="{00000000-0005-0000-0000-00000A000000}"/>
    <cellStyle name="Moeda 5 2 2 3 2" xfId="778" xr:uid="{E37397F3-2980-4DBA-8A20-80ECC1EA9A98}"/>
    <cellStyle name="Moeda 5 2 2 3 3" xfId="1329" xr:uid="{535D5662-8221-4812-BE29-377341A570FC}"/>
    <cellStyle name="Moeda 5 2 2 4" xfId="307" xr:uid="{00000000-0005-0000-0000-00000A000000}"/>
    <cellStyle name="Moeda 5 2 2 4 2" xfId="858" xr:uid="{B9D4B44D-ED5D-4921-AA35-94430C1CBD41}"/>
    <cellStyle name="Moeda 5 2 2 4 3" xfId="1408" xr:uid="{4B456F6E-2D66-4049-B7A3-1BA9D8C1A28A}"/>
    <cellStyle name="Moeda 5 2 2 5" xfId="385" xr:uid="{00000000-0005-0000-0000-00000A000000}"/>
    <cellStyle name="Moeda 5 2 2 5 2" xfId="936" xr:uid="{3186EAE4-2C2B-46E8-A545-A4833E14C555}"/>
    <cellStyle name="Moeda 5 2 2 5 3" xfId="1486" xr:uid="{4537D3D3-F571-43FC-980F-B47D9D324957}"/>
    <cellStyle name="Moeda 5 2 2 6" xfId="464" xr:uid="{00000000-0005-0000-0000-00000A000000}"/>
    <cellStyle name="Moeda 5 2 2 6 2" xfId="1015" xr:uid="{A95DC028-35EE-4E42-8729-3FA992BD3389}"/>
    <cellStyle name="Moeda 5 2 2 6 3" xfId="1565" xr:uid="{EC8B30D8-A2ED-4187-98F4-1D7F2584EAC1}"/>
    <cellStyle name="Moeda 5 2 2 7" xfId="542" xr:uid="{00000000-0005-0000-0000-00000A000000}"/>
    <cellStyle name="Moeda 5 2 2 7 2" xfId="1093" xr:uid="{918513A6-3B29-471C-8FCC-DCF200AB2EF0}"/>
    <cellStyle name="Moeda 5 2 2 7 3" xfId="1643" xr:uid="{7E573B43-A8A3-4106-8DA2-1C8AC677E137}"/>
    <cellStyle name="Moeda 5 2 2 8" xfId="621" xr:uid="{0D165BD5-CC87-4AF5-88B7-C87E9CB7BC21}"/>
    <cellStyle name="Moeda 5 2 2 9" xfId="1172" xr:uid="{601EF50E-AB25-4EA8-A70F-F4028E2F180B}"/>
    <cellStyle name="Moeda 5 2 3" xfId="116" xr:uid="{00000000-0005-0000-0000-000006000000}"/>
    <cellStyle name="Moeda 5 2 3 2" xfId="667" xr:uid="{B4857442-148D-4B58-B62D-F2544D747B9C}"/>
    <cellStyle name="Moeda 5 2 3 3" xfId="1218" xr:uid="{7593FE4E-8068-4FE4-998E-654853BA2C88}"/>
    <cellStyle name="Moeda 5 2 4" xfId="195" xr:uid="{00000000-0005-0000-0000-000006000000}"/>
    <cellStyle name="Moeda 5 2 4 2" xfId="746" xr:uid="{C4AB207E-4491-488A-8D8F-690AE9867813}"/>
    <cellStyle name="Moeda 5 2 4 3" xfId="1297" xr:uid="{22222A59-AF5B-4FB8-BACF-83863C05818F}"/>
    <cellStyle name="Moeda 5 2 5" xfId="275" xr:uid="{00000000-0005-0000-0000-000006000000}"/>
    <cellStyle name="Moeda 5 2 5 2" xfId="826" xr:uid="{3AE428D7-478C-4139-BDC5-38341B8BE01B}"/>
    <cellStyle name="Moeda 5 2 5 3" xfId="1376" xr:uid="{EA4EDCBE-C60C-4F1C-ADBF-ECE36D3C95A1}"/>
    <cellStyle name="Moeda 5 2 6" xfId="353" xr:uid="{00000000-0005-0000-0000-000006000000}"/>
    <cellStyle name="Moeda 5 2 6 2" xfId="904" xr:uid="{70AC69FC-346A-472E-93B0-15EB1ED39453}"/>
    <cellStyle name="Moeda 5 2 6 3" xfId="1454" xr:uid="{B229D7FC-EB77-41FE-B853-6A45426C9566}"/>
    <cellStyle name="Moeda 5 2 7" xfId="432" xr:uid="{00000000-0005-0000-0000-000006000000}"/>
    <cellStyle name="Moeda 5 2 7 2" xfId="983" xr:uid="{C85EA350-1B59-4625-9D8D-330CB0ADFC99}"/>
    <cellStyle name="Moeda 5 2 7 3" xfId="1533" xr:uid="{F4DF02A0-FA08-4651-8045-B77DDF5A9F39}"/>
    <cellStyle name="Moeda 5 2 8" xfId="510" xr:uid="{00000000-0005-0000-0000-000006000000}"/>
    <cellStyle name="Moeda 5 2 8 2" xfId="1061" xr:uid="{01FC4A5F-A442-4AA8-8222-44547740E629}"/>
    <cellStyle name="Moeda 5 2 8 3" xfId="1611" xr:uid="{9CD60797-0A4D-4E61-A13E-ABD178C3491D}"/>
    <cellStyle name="Moeda 5 2 9" xfId="589" xr:uid="{26DAC8A9-3C0C-4AA7-9812-57437BA5CEA8}"/>
    <cellStyle name="Moeda 5 3" xfId="53" xr:uid="{00000000-0005-0000-0000-000006000000}"/>
    <cellStyle name="Moeda 5 3 2" xfId="132" xr:uid="{00000000-0005-0000-0000-000006000000}"/>
    <cellStyle name="Moeda 5 3 2 2" xfId="683" xr:uid="{F8E67218-8CE4-4984-A361-6F4AC566B0A5}"/>
    <cellStyle name="Moeda 5 3 2 3" xfId="1234" xr:uid="{D7FD0A0D-5726-46D9-855F-59B3CF70BC9E}"/>
    <cellStyle name="Moeda 5 3 3" xfId="211" xr:uid="{00000000-0005-0000-0000-000006000000}"/>
    <cellStyle name="Moeda 5 3 3 2" xfId="762" xr:uid="{8BD3869D-0BAF-4E72-AD09-C4E2018A4A45}"/>
    <cellStyle name="Moeda 5 3 3 3" xfId="1313" xr:uid="{E4E856FB-8679-46D7-B302-220FCF9D68A2}"/>
    <cellStyle name="Moeda 5 3 4" xfId="291" xr:uid="{00000000-0005-0000-0000-000006000000}"/>
    <cellStyle name="Moeda 5 3 4 2" xfId="842" xr:uid="{16E92BB2-0E6D-466F-8028-E25C51A51283}"/>
    <cellStyle name="Moeda 5 3 4 3" xfId="1392" xr:uid="{35EBE065-FDE5-46AB-92BB-C3062FA0D02B}"/>
    <cellStyle name="Moeda 5 3 5" xfId="369" xr:uid="{00000000-0005-0000-0000-000006000000}"/>
    <cellStyle name="Moeda 5 3 5 2" xfId="920" xr:uid="{9878298E-56AF-4C63-A974-E4C3FDAC3A88}"/>
    <cellStyle name="Moeda 5 3 5 3" xfId="1470" xr:uid="{C81902D4-2F1D-49D8-B3D4-770DFB823010}"/>
    <cellStyle name="Moeda 5 3 6" xfId="448" xr:uid="{00000000-0005-0000-0000-000006000000}"/>
    <cellStyle name="Moeda 5 3 6 2" xfId="999" xr:uid="{5BC5C473-5C12-41C6-9DF9-55A1483B0928}"/>
    <cellStyle name="Moeda 5 3 6 3" xfId="1549" xr:uid="{97919A4E-783D-4B42-8FE2-A3AE98AF51B5}"/>
    <cellStyle name="Moeda 5 3 7" xfId="526" xr:uid="{00000000-0005-0000-0000-000006000000}"/>
    <cellStyle name="Moeda 5 3 7 2" xfId="1077" xr:uid="{1812D707-D032-4D4A-941B-387D9D556879}"/>
    <cellStyle name="Moeda 5 3 7 3" xfId="1627" xr:uid="{84FF702D-D00F-4A77-BB9B-18C74A4093FD}"/>
    <cellStyle name="Moeda 5 3 8" xfId="605" xr:uid="{23C69CDC-9E17-48CE-AC8C-C34E21A9CBBD}"/>
    <cellStyle name="Moeda 5 3 9" xfId="1156" xr:uid="{49ABA1CD-1A6C-4CBB-8113-657E85EB4654}"/>
    <cellStyle name="Moeda 5 4" xfId="84" xr:uid="{00000000-0005-0000-0000-000005000000}"/>
    <cellStyle name="Moeda 5 4 2" xfId="163" xr:uid="{00000000-0005-0000-0000-000005000000}"/>
    <cellStyle name="Moeda 5 4 2 2" xfId="714" xr:uid="{915753C8-2457-4B29-B15C-390898923DA9}"/>
    <cellStyle name="Moeda 5 4 2 3" xfId="1265" xr:uid="{4170D45B-F021-41B7-9207-1A42FDA85551}"/>
    <cellStyle name="Moeda 5 4 3" xfId="242" xr:uid="{00000000-0005-0000-0000-000005000000}"/>
    <cellStyle name="Moeda 5 4 3 2" xfId="793" xr:uid="{1AF1B2EF-92A8-45F3-9B4E-4C07FC9DD74A}"/>
    <cellStyle name="Moeda 5 4 3 3" xfId="1344" xr:uid="{263D13E7-CA85-447A-8DE0-AD0706D9ACF5}"/>
    <cellStyle name="Moeda 5 4 4" xfId="322" xr:uid="{00000000-0005-0000-0000-000005000000}"/>
    <cellStyle name="Moeda 5 4 4 2" xfId="873" xr:uid="{E2E67791-75E1-4932-8880-91072153CF66}"/>
    <cellStyle name="Moeda 5 4 4 3" xfId="1423" xr:uid="{3314B5BF-1B64-40E9-9D71-2D8785508163}"/>
    <cellStyle name="Moeda 5 4 5" xfId="400" xr:uid="{00000000-0005-0000-0000-000005000000}"/>
    <cellStyle name="Moeda 5 4 5 2" xfId="951" xr:uid="{EEE0BF53-E175-4685-B82F-C98779347F15}"/>
    <cellStyle name="Moeda 5 4 5 3" xfId="1501" xr:uid="{6F7ADCCD-5391-47A8-A2DD-DB8A5B8ADFDF}"/>
    <cellStyle name="Moeda 5 4 6" xfId="479" xr:uid="{00000000-0005-0000-0000-000005000000}"/>
    <cellStyle name="Moeda 5 4 6 2" xfId="1030" xr:uid="{A95A1B15-0311-4718-867B-1F534C63FB62}"/>
    <cellStyle name="Moeda 5 4 6 3" xfId="1580" xr:uid="{FAD091F5-4465-466C-8568-F13B9AEFEAEC}"/>
    <cellStyle name="Moeda 5 4 7" xfId="557" xr:uid="{00000000-0005-0000-0000-000005000000}"/>
    <cellStyle name="Moeda 5 4 7 2" xfId="1108" xr:uid="{FDEB47CB-4944-43FC-B491-8AED190CEA0A}"/>
    <cellStyle name="Moeda 5 4 7 3" xfId="1658" xr:uid="{64EAF8B3-AB75-41EA-9ADD-C429ACBCAD7B}"/>
    <cellStyle name="Moeda 5 4 8" xfId="636" xr:uid="{200EEED9-26A1-43EE-9C85-21FD75D38513}"/>
    <cellStyle name="Moeda 5 4 9" xfId="1187" xr:uid="{3B2B2C92-CE10-4447-B235-13583A731314}"/>
    <cellStyle name="Moeda 5 5" xfId="100" xr:uid="{00000000-0005-0000-0000-000006000000}"/>
    <cellStyle name="Moeda 5 5 2" xfId="651" xr:uid="{71749536-62ED-44AE-BB75-8D471234C006}"/>
    <cellStyle name="Moeda 5 5 3" xfId="1202" xr:uid="{378B2F7A-1ACC-4675-B1BB-4C8A16BD7E00}"/>
    <cellStyle name="Moeda 5 6" xfId="179" xr:uid="{00000000-0005-0000-0000-000006000000}"/>
    <cellStyle name="Moeda 5 6 2" xfId="730" xr:uid="{4387D5C4-462E-43EE-96A1-16A14FC974BD}"/>
    <cellStyle name="Moeda 5 6 3" xfId="1281" xr:uid="{9479132A-A7BE-4647-9F14-4D8365A07E93}"/>
    <cellStyle name="Moeda 5 7" xfId="258" xr:uid="{00000000-0005-0000-0000-000006000000}"/>
    <cellStyle name="Moeda 5 7 2" xfId="809" xr:uid="{F8C80A40-20E0-4C5F-9A48-E6BD946055D1}"/>
    <cellStyle name="Moeda 5 7 3" xfId="1360" xr:uid="{7BD8078E-3D48-4084-8DAE-0919E47DDB3C}"/>
    <cellStyle name="Moeda 5 8" xfId="337" xr:uid="{00000000-0005-0000-0000-000006000000}"/>
    <cellStyle name="Moeda 5 8 2" xfId="888" xr:uid="{C7526934-B1CD-4F72-9FCE-F97825BB4359}"/>
    <cellStyle name="Moeda 5 8 3" xfId="1438" xr:uid="{1628D8E9-C599-47AA-8EA3-DF2A9C19604B}"/>
    <cellStyle name="Moeda 5 9" xfId="416" xr:uid="{00000000-0005-0000-0000-000006000000}"/>
    <cellStyle name="Moeda 5 9 2" xfId="967" xr:uid="{30570A34-94F8-452C-A281-8D859CE971B8}"/>
    <cellStyle name="Moeda 5 9 3" xfId="1517" xr:uid="{0394FC28-5ED1-4A0F-A6BE-5A81BEC62518}"/>
    <cellStyle name="Moeda 6" xfId="31" xr:uid="{00000000-0005-0000-0000-000044000000}"/>
    <cellStyle name="Moeda 6 10" xfId="1134" xr:uid="{E226062E-27D0-47A4-B054-C45138E62344}"/>
    <cellStyle name="Moeda 6 2" xfId="63" xr:uid="{00000000-0005-0000-0000-00000B000000}"/>
    <cellStyle name="Moeda 6 2 2" xfId="142" xr:uid="{00000000-0005-0000-0000-00000B000000}"/>
    <cellStyle name="Moeda 6 2 2 2" xfId="693" xr:uid="{AAD9E3CD-B763-4472-BADE-D946ADD3AB57}"/>
    <cellStyle name="Moeda 6 2 2 3" xfId="1244" xr:uid="{71AD4FA7-68D2-4030-AC8A-06A670DA49D9}"/>
    <cellStyle name="Moeda 6 2 3" xfId="221" xr:uid="{00000000-0005-0000-0000-00000B000000}"/>
    <cellStyle name="Moeda 6 2 3 2" xfId="772" xr:uid="{4C5C564F-A955-45FC-8891-6FD5B7574563}"/>
    <cellStyle name="Moeda 6 2 3 3" xfId="1323" xr:uid="{71AFDC5F-89D0-4060-B49D-6B529E23630C}"/>
    <cellStyle name="Moeda 6 2 4" xfId="301" xr:uid="{00000000-0005-0000-0000-00000B000000}"/>
    <cellStyle name="Moeda 6 2 4 2" xfId="852" xr:uid="{8F5FCF8D-0522-4B0A-BFF9-146A120C827A}"/>
    <cellStyle name="Moeda 6 2 4 3" xfId="1402" xr:uid="{C5F494F0-650B-4EDD-A57E-2BE794B345DB}"/>
    <cellStyle name="Moeda 6 2 5" xfId="379" xr:uid="{00000000-0005-0000-0000-00000B000000}"/>
    <cellStyle name="Moeda 6 2 5 2" xfId="930" xr:uid="{3DF0AD70-D802-48E1-B031-6C9A0EC7FCDD}"/>
    <cellStyle name="Moeda 6 2 5 3" xfId="1480" xr:uid="{319B8E3D-8908-4A60-9044-34B402B18F9E}"/>
    <cellStyle name="Moeda 6 2 6" xfId="458" xr:uid="{00000000-0005-0000-0000-00000B000000}"/>
    <cellStyle name="Moeda 6 2 6 2" xfId="1009" xr:uid="{70F6F51A-E416-46AC-8FE4-E4EA22807A87}"/>
    <cellStyle name="Moeda 6 2 6 3" xfId="1559" xr:uid="{9363240E-2548-44C8-A58F-98F9ED32B976}"/>
    <cellStyle name="Moeda 6 2 7" xfId="536" xr:uid="{00000000-0005-0000-0000-00000B000000}"/>
    <cellStyle name="Moeda 6 2 7 2" xfId="1087" xr:uid="{834A0514-61A8-4B43-9915-AC1C83739E17}"/>
    <cellStyle name="Moeda 6 2 7 3" xfId="1637" xr:uid="{51C5317A-4BEA-4B24-9FB1-9ADF6DD5F1D1}"/>
    <cellStyle name="Moeda 6 2 8" xfId="615" xr:uid="{9C61EE76-6328-422B-8E25-93E25079B078}"/>
    <cellStyle name="Moeda 6 2 9" xfId="1166" xr:uid="{07951C86-1EBF-44B8-8C06-5420C2CF52A7}"/>
    <cellStyle name="Moeda 6 3" xfId="110" xr:uid="{00000000-0005-0000-0000-000044000000}"/>
    <cellStyle name="Moeda 6 3 2" xfId="661" xr:uid="{DED90CE5-BD24-451C-82DF-1D0CA04859F8}"/>
    <cellStyle name="Moeda 6 3 3" xfId="1212" xr:uid="{B7ACF662-EA64-4C22-BFC9-087C2D95654A}"/>
    <cellStyle name="Moeda 6 4" xfId="189" xr:uid="{00000000-0005-0000-0000-000044000000}"/>
    <cellStyle name="Moeda 6 4 2" xfId="740" xr:uid="{F716F49C-154C-420F-AA38-B06886588C44}"/>
    <cellStyle name="Moeda 6 4 3" xfId="1291" xr:uid="{788DC667-4D10-4C99-B02A-D62CC4E9FE30}"/>
    <cellStyle name="Moeda 6 5" xfId="269" xr:uid="{00000000-0005-0000-0000-000044000000}"/>
    <cellStyle name="Moeda 6 5 2" xfId="820" xr:uid="{9F0F00B3-29D6-4EF5-B8FE-AC7BF898D9D0}"/>
    <cellStyle name="Moeda 6 5 3" xfId="1370" xr:uid="{3E5ECDF4-1A18-41E5-AB9F-50CDC30B3490}"/>
    <cellStyle name="Moeda 6 6" xfId="347" xr:uid="{00000000-0005-0000-0000-000044000000}"/>
    <cellStyle name="Moeda 6 6 2" xfId="898" xr:uid="{BE4D4DB6-CE2C-41F7-B170-232AC52BC957}"/>
    <cellStyle name="Moeda 6 6 3" xfId="1448" xr:uid="{A20A4054-4AE8-471B-A9C2-55B757FB6670}"/>
    <cellStyle name="Moeda 6 7" xfId="426" xr:uid="{00000000-0005-0000-0000-000044000000}"/>
    <cellStyle name="Moeda 6 7 2" xfId="977" xr:uid="{6174E63F-5C43-4C78-87A8-2B12E21AED5E}"/>
    <cellStyle name="Moeda 6 7 3" xfId="1527" xr:uid="{0503E062-9570-4CA4-A074-CE3ACB6210D6}"/>
    <cellStyle name="Moeda 6 8" xfId="504" xr:uid="{00000000-0005-0000-0000-000044000000}"/>
    <cellStyle name="Moeda 6 8 2" xfId="1055" xr:uid="{259F7117-D8F2-4A11-98A4-71A502C25B06}"/>
    <cellStyle name="Moeda 6 8 3" xfId="1605" xr:uid="{221F9DF2-561B-44DE-85A7-E24900A7B706}"/>
    <cellStyle name="Moeda 6 9" xfId="583" xr:uid="{BAE65583-EF0E-46B3-B09B-65391A9D34E3}"/>
    <cellStyle name="Moeda 7" xfId="47" xr:uid="{00000000-0005-0000-0000-000054000000}"/>
    <cellStyle name="Moeda 7 2" xfId="126" xr:uid="{00000000-0005-0000-0000-000054000000}"/>
    <cellStyle name="Moeda 7 2 2" xfId="677" xr:uid="{0765EA7B-5900-46D7-9E82-3659AB224663}"/>
    <cellStyle name="Moeda 7 2 3" xfId="1228" xr:uid="{71C15342-F171-40E0-9103-60C842FB9039}"/>
    <cellStyle name="Moeda 7 3" xfId="205" xr:uid="{00000000-0005-0000-0000-000054000000}"/>
    <cellStyle name="Moeda 7 3 2" xfId="756" xr:uid="{A79185EC-42F7-41FE-B3BA-C8C3DF023BC1}"/>
    <cellStyle name="Moeda 7 3 3" xfId="1307" xr:uid="{2D0CA30A-84C6-4059-BCD6-717BED168F9E}"/>
    <cellStyle name="Moeda 7 4" xfId="285" xr:uid="{00000000-0005-0000-0000-000054000000}"/>
    <cellStyle name="Moeda 7 4 2" xfId="836" xr:uid="{2916F2B1-EA60-49D8-B146-1027B38CB67E}"/>
    <cellStyle name="Moeda 7 4 3" xfId="1386" xr:uid="{E9B50338-3FA5-4BB8-AC8C-5844FCA0B643}"/>
    <cellStyle name="Moeda 7 5" xfId="363" xr:uid="{00000000-0005-0000-0000-000054000000}"/>
    <cellStyle name="Moeda 7 5 2" xfId="914" xr:uid="{CD2CD5D6-F22B-4941-B5E5-00B40329E44A}"/>
    <cellStyle name="Moeda 7 5 3" xfId="1464" xr:uid="{343C174D-BBA2-4F07-8247-69C1E2260C65}"/>
    <cellStyle name="Moeda 7 6" xfId="442" xr:uid="{00000000-0005-0000-0000-000054000000}"/>
    <cellStyle name="Moeda 7 6 2" xfId="993" xr:uid="{8F228927-CF59-4307-A2BE-3F455A522108}"/>
    <cellStyle name="Moeda 7 6 3" xfId="1543" xr:uid="{ABC90750-4E9D-4395-8281-8C2FAFB69983}"/>
    <cellStyle name="Moeda 7 7" xfId="520" xr:uid="{00000000-0005-0000-0000-000054000000}"/>
    <cellStyle name="Moeda 7 7 2" xfId="1071" xr:uid="{2CF75CAA-7116-4F87-92B8-6B26427CEC3C}"/>
    <cellStyle name="Moeda 7 7 3" xfId="1621" xr:uid="{BAC1C0BB-CDF3-444D-B770-63EB5AC50004}"/>
    <cellStyle name="Moeda 7 8" xfId="599" xr:uid="{084689FC-91F7-43F7-A10B-2044031D9C3D}"/>
    <cellStyle name="Moeda 7 9" xfId="1150" xr:uid="{FE6F45BA-461E-415B-9AFC-F3CAF9BBB6A6}"/>
    <cellStyle name="Moeda 8" xfId="173" xr:uid="{00000000-0005-0000-0000-0000D2000000}"/>
    <cellStyle name="Moeda 8 2" xfId="724" xr:uid="{08F2C760-C0A1-4D5C-A0A6-C231C5C98209}"/>
    <cellStyle name="Moeda 8 3" xfId="1275" xr:uid="{F46D9667-1B7C-4896-9EB4-485C4F19A359}"/>
    <cellStyle name="Moeda 9" xfId="252" xr:uid="{00000000-0005-0000-0000-000021010000}"/>
    <cellStyle name="Moeda 9 2" xfId="803" xr:uid="{30AA553E-D73D-4744-A882-5D357DA8CACB}"/>
    <cellStyle name="Moeda 9 3" xfId="1354" xr:uid="{A59AB2F3-4119-4AA3-917E-B984AA12EB9F}"/>
    <cellStyle name="Normal" xfId="0" builtinId="0"/>
    <cellStyle name="Normal 2" xfId="1" xr:uid="{00000000-0005-0000-0000-000008000000}"/>
    <cellStyle name="Normal 2 2" xfId="88" xr:uid="{4C514277-CCFA-41D3-B4F0-CFE60B14EC40}"/>
    <cellStyle name="Porcentagem" xfId="24" builtinId="5"/>
    <cellStyle name="Porcentagem 2" xfId="12" xr:uid="{00000000-0005-0000-0000-000009000000}"/>
    <cellStyle name="Porcentagem 3" xfId="262" xr:uid="{00000000-0005-0000-0000-000039010000}"/>
    <cellStyle name="Porcentagem 3 2" xfId="813" xr:uid="{AAED6366-85BF-4B0D-A9EF-A52B4ABD04D4}"/>
    <cellStyle name="Separador de milhares 2" xfId="2" xr:uid="{00000000-0005-0000-0000-00000A000000}"/>
    <cellStyle name="Separador de milhares 2 2" xfId="7" xr:uid="{00000000-0005-0000-0000-00000B000000}"/>
    <cellStyle name="Separador de milhares 2 2 10" xfId="247" xr:uid="{00000000-0005-0000-0000-00000B000000}"/>
    <cellStyle name="Separador de milhares 2 2 10 2" xfId="798" xr:uid="{DE35C3DB-65E8-4D86-BFD1-548947341B0D}"/>
    <cellStyle name="Separador de milhares 2 2 10 3" xfId="1349" xr:uid="{A2DAC899-D7DA-4E37-B46B-4CC08D9B395B}"/>
    <cellStyle name="Separador de milhares 2 2 11" xfId="327" xr:uid="{00000000-0005-0000-0000-00000B000000}"/>
    <cellStyle name="Separador de milhares 2 2 11 2" xfId="878" xr:uid="{D7555DE3-9C17-4587-A127-E736FB9D9289}"/>
    <cellStyle name="Separador de milhares 2 2 11 3" xfId="1428" xr:uid="{2BBB2F71-75B6-4B00-98D2-598FA0DFCE00}"/>
    <cellStyle name="Separador de milhares 2 2 12" xfId="405" xr:uid="{00000000-0005-0000-0000-00000B000000}"/>
    <cellStyle name="Separador de milhares 2 2 12 2" xfId="956" xr:uid="{63A527CC-081B-475A-8BF4-9E384D2BE283}"/>
    <cellStyle name="Separador de milhares 2 2 12 3" xfId="1506" xr:uid="{E63113BE-5741-4120-86EE-B45968054F16}"/>
    <cellStyle name="Separador de milhares 2 2 13" xfId="484" xr:uid="{00000000-0005-0000-0000-00000B000000}"/>
    <cellStyle name="Separador de milhares 2 2 13 2" xfId="1035" xr:uid="{B65FBC2A-74F9-4864-87B7-90912829047E}"/>
    <cellStyle name="Separador de milhares 2 2 13 3" xfId="1585" xr:uid="{DA239C19-ED76-4643-AD2E-8855552590B1}"/>
    <cellStyle name="Separador de milhares 2 2 14" xfId="562" xr:uid="{DB1DE1ED-44FF-462D-AA5B-3433133977CA}"/>
    <cellStyle name="Separador de milhares 2 2 15" xfId="1113" xr:uid="{B3AD85BE-E89B-4348-8200-1CE2F03F8B8D}"/>
    <cellStyle name="Separador de milhares 2 2 2" xfId="11" xr:uid="{00000000-0005-0000-0000-00000C000000}"/>
    <cellStyle name="Separador de milhares 2 2 2 10" xfId="408" xr:uid="{00000000-0005-0000-0000-00000C000000}"/>
    <cellStyle name="Separador de milhares 2 2 2 10 2" xfId="959" xr:uid="{6D8C763F-6E0A-4E75-82A0-CF05663609AA}"/>
    <cellStyle name="Separador de milhares 2 2 2 10 3" xfId="1509" xr:uid="{4B2B6251-92FB-4A57-A5BB-801931E4FCCD}"/>
    <cellStyle name="Separador de milhares 2 2 2 11" xfId="487" xr:uid="{00000000-0005-0000-0000-00000C000000}"/>
    <cellStyle name="Separador de milhares 2 2 2 11 2" xfId="1038" xr:uid="{94C3DACE-D7EC-412E-9E2C-8EFD74232044}"/>
    <cellStyle name="Separador de milhares 2 2 2 11 3" xfId="1588" xr:uid="{86E403E4-D724-40A5-BFF3-3E66A35FAAAB}"/>
    <cellStyle name="Separador de milhares 2 2 2 12" xfId="565" xr:uid="{3F84F49C-E10D-46AB-8FE5-305BFD3C51C5}"/>
    <cellStyle name="Separador de milhares 2 2 2 13" xfId="1116" xr:uid="{C2BFCB79-373C-4702-A21E-1F7C18F6929F}"/>
    <cellStyle name="Separador de milhares 2 2 2 2" xfId="19" xr:uid="{00000000-0005-0000-0000-00000D000000}"/>
    <cellStyle name="Separador de milhares 2 2 2 2 10" xfId="493" xr:uid="{00000000-0005-0000-0000-00000D000000}"/>
    <cellStyle name="Separador de milhares 2 2 2 2 10 2" xfId="1044" xr:uid="{27BF2B17-A8C2-40FE-9929-FDE4FD2AF7E1}"/>
    <cellStyle name="Separador de milhares 2 2 2 2 10 3" xfId="1594" xr:uid="{9F062016-0E23-4D7A-BAC0-8B8C27B67D86}"/>
    <cellStyle name="Separador de milhares 2 2 2 2 11" xfId="572" xr:uid="{C1947B39-6A7D-4257-8AEB-7CAD37B0D226}"/>
    <cellStyle name="Separador de milhares 2 2 2 2 12" xfId="1123" xr:uid="{441D3E46-A76D-49C9-B2FF-3F123A221B8A}"/>
    <cellStyle name="Separador de milhares 2 2 2 2 2" xfId="36" xr:uid="{00000000-0005-0000-0000-00000D000000}"/>
    <cellStyle name="Separador de milhares 2 2 2 2 2 10" xfId="1139" xr:uid="{B74DC9C6-BE19-4B69-8830-14D1613BD6C9}"/>
    <cellStyle name="Separador de milhares 2 2 2 2 2 2" xfId="68" xr:uid="{00000000-0005-0000-0000-000014000000}"/>
    <cellStyle name="Separador de milhares 2 2 2 2 2 2 2" xfId="147" xr:uid="{00000000-0005-0000-0000-000014000000}"/>
    <cellStyle name="Separador de milhares 2 2 2 2 2 2 2 2" xfId="698" xr:uid="{F28C307B-1F8E-4000-B3FE-B9F529E7E47F}"/>
    <cellStyle name="Separador de milhares 2 2 2 2 2 2 2 3" xfId="1249" xr:uid="{79F0C795-BF8B-409A-8980-7A0FE5D76E5A}"/>
    <cellStyle name="Separador de milhares 2 2 2 2 2 2 3" xfId="226" xr:uid="{00000000-0005-0000-0000-000014000000}"/>
    <cellStyle name="Separador de milhares 2 2 2 2 2 2 3 2" xfId="777" xr:uid="{371E5C80-5D27-4D75-B53C-36D5CFCBBF9B}"/>
    <cellStyle name="Separador de milhares 2 2 2 2 2 2 3 3" xfId="1328" xr:uid="{7C33DF03-D163-4143-9D81-C8FDB01A0E72}"/>
    <cellStyle name="Separador de milhares 2 2 2 2 2 2 4" xfId="306" xr:uid="{00000000-0005-0000-0000-000014000000}"/>
    <cellStyle name="Separador de milhares 2 2 2 2 2 2 4 2" xfId="857" xr:uid="{903CD614-BA1D-42C4-8B48-56161A6547ED}"/>
    <cellStyle name="Separador de milhares 2 2 2 2 2 2 4 3" xfId="1407" xr:uid="{35F8C7E1-1970-4991-B655-3BFA77151C7E}"/>
    <cellStyle name="Separador de milhares 2 2 2 2 2 2 5" xfId="384" xr:uid="{00000000-0005-0000-0000-000014000000}"/>
    <cellStyle name="Separador de milhares 2 2 2 2 2 2 5 2" xfId="935" xr:uid="{E51B0160-1244-4AC7-A071-A22716ACB77A}"/>
    <cellStyle name="Separador de milhares 2 2 2 2 2 2 5 3" xfId="1485" xr:uid="{41DEFAD0-CDF5-43EE-9AFA-0791B779111D}"/>
    <cellStyle name="Separador de milhares 2 2 2 2 2 2 6" xfId="463" xr:uid="{00000000-0005-0000-0000-000014000000}"/>
    <cellStyle name="Separador de milhares 2 2 2 2 2 2 6 2" xfId="1014" xr:uid="{37B2CF09-3BFF-4C3E-9886-824CB5984933}"/>
    <cellStyle name="Separador de milhares 2 2 2 2 2 2 6 3" xfId="1564" xr:uid="{1E261905-4C42-49ED-A2D6-ED4CC0AF949A}"/>
    <cellStyle name="Separador de milhares 2 2 2 2 2 2 7" xfId="541" xr:uid="{00000000-0005-0000-0000-000014000000}"/>
    <cellStyle name="Separador de milhares 2 2 2 2 2 2 7 2" xfId="1092" xr:uid="{A1344349-5B3B-4F4C-9169-F3B9923BC6E6}"/>
    <cellStyle name="Separador de milhares 2 2 2 2 2 2 7 3" xfId="1642" xr:uid="{B886D977-8939-4570-9C22-E9399124B128}"/>
    <cellStyle name="Separador de milhares 2 2 2 2 2 2 8" xfId="620" xr:uid="{6468C2EC-BF86-40BD-A433-8AEB580C04A2}"/>
    <cellStyle name="Separador de milhares 2 2 2 2 2 2 9" xfId="1171" xr:uid="{E77A5161-5434-4C04-8B25-07AEE57F0043}"/>
    <cellStyle name="Separador de milhares 2 2 2 2 2 3" xfId="115" xr:uid="{00000000-0005-0000-0000-00000D000000}"/>
    <cellStyle name="Separador de milhares 2 2 2 2 2 3 2" xfId="666" xr:uid="{DE424B04-1B97-4961-BE30-9859D22D7C37}"/>
    <cellStyle name="Separador de milhares 2 2 2 2 2 3 3" xfId="1217" xr:uid="{DE2C718F-4FCB-4FB2-9610-9BD6D490864B}"/>
    <cellStyle name="Separador de milhares 2 2 2 2 2 4" xfId="194" xr:uid="{00000000-0005-0000-0000-00000D000000}"/>
    <cellStyle name="Separador de milhares 2 2 2 2 2 4 2" xfId="745" xr:uid="{679EB809-65B3-4DD7-A78D-61F4288ACF79}"/>
    <cellStyle name="Separador de milhares 2 2 2 2 2 4 3" xfId="1296" xr:uid="{4B99DC31-A28F-4543-9BFC-4698F097B392}"/>
    <cellStyle name="Separador de milhares 2 2 2 2 2 5" xfId="274" xr:uid="{00000000-0005-0000-0000-00000D000000}"/>
    <cellStyle name="Separador de milhares 2 2 2 2 2 5 2" xfId="825" xr:uid="{89E9EFBA-2B7C-49FD-BBF4-8911F80FC1E7}"/>
    <cellStyle name="Separador de milhares 2 2 2 2 2 5 3" xfId="1375" xr:uid="{F374D38E-2816-476B-B49E-846F9BBA1B74}"/>
    <cellStyle name="Separador de milhares 2 2 2 2 2 6" xfId="352" xr:uid="{00000000-0005-0000-0000-00000D000000}"/>
    <cellStyle name="Separador de milhares 2 2 2 2 2 6 2" xfId="903" xr:uid="{00A8FF65-D527-4B51-9C2C-4E1634ADA3E6}"/>
    <cellStyle name="Separador de milhares 2 2 2 2 2 6 3" xfId="1453" xr:uid="{B5400D7A-2384-46FC-A908-49CE036BAC6B}"/>
    <cellStyle name="Separador de milhares 2 2 2 2 2 7" xfId="431" xr:uid="{00000000-0005-0000-0000-00000D000000}"/>
    <cellStyle name="Separador de milhares 2 2 2 2 2 7 2" xfId="982" xr:uid="{0D754DCC-FB24-4C01-8B35-0D5C34D820F8}"/>
    <cellStyle name="Separador de milhares 2 2 2 2 2 7 3" xfId="1532" xr:uid="{FDF05496-8607-4AF1-B64C-77D29E2CD402}"/>
    <cellStyle name="Separador de milhares 2 2 2 2 2 8" xfId="509" xr:uid="{00000000-0005-0000-0000-00000D000000}"/>
    <cellStyle name="Separador de milhares 2 2 2 2 2 8 2" xfId="1060" xr:uid="{64C6504B-B5DD-4D70-A986-B682DFCF78D7}"/>
    <cellStyle name="Separador de milhares 2 2 2 2 2 8 3" xfId="1610" xr:uid="{B00F9931-4459-4C46-8E3D-CF7AC32065DC}"/>
    <cellStyle name="Separador de milhares 2 2 2 2 2 9" xfId="588" xr:uid="{3D96F5F4-23C2-4390-8552-7B3C0DA24850}"/>
    <cellStyle name="Separador de milhares 2 2 2 2 3" xfId="52" xr:uid="{00000000-0005-0000-0000-00000D000000}"/>
    <cellStyle name="Separador de milhares 2 2 2 2 3 2" xfId="131" xr:uid="{00000000-0005-0000-0000-00000D000000}"/>
    <cellStyle name="Separador de milhares 2 2 2 2 3 2 2" xfId="682" xr:uid="{CD0C43F8-B042-41AC-89F9-50B1353C13B5}"/>
    <cellStyle name="Separador de milhares 2 2 2 2 3 2 3" xfId="1233" xr:uid="{337E273E-2377-43E4-ABB1-CB29423DB265}"/>
    <cellStyle name="Separador de milhares 2 2 2 2 3 3" xfId="210" xr:uid="{00000000-0005-0000-0000-00000D000000}"/>
    <cellStyle name="Separador de milhares 2 2 2 2 3 3 2" xfId="761" xr:uid="{CD25B2CD-82E4-4736-9775-3B1648A3E7DF}"/>
    <cellStyle name="Separador de milhares 2 2 2 2 3 3 3" xfId="1312" xr:uid="{1EDD90F0-D316-4739-B143-C14891F7B117}"/>
    <cellStyle name="Separador de milhares 2 2 2 2 3 4" xfId="290" xr:uid="{00000000-0005-0000-0000-00000D000000}"/>
    <cellStyle name="Separador de milhares 2 2 2 2 3 4 2" xfId="841" xr:uid="{A6C510C3-2DD2-4F02-AE14-5FF1AFDF3564}"/>
    <cellStyle name="Separador de milhares 2 2 2 2 3 4 3" xfId="1391" xr:uid="{79745F95-995B-482B-AE39-02720B4B1C51}"/>
    <cellStyle name="Separador de milhares 2 2 2 2 3 5" xfId="368" xr:uid="{00000000-0005-0000-0000-00000D000000}"/>
    <cellStyle name="Separador de milhares 2 2 2 2 3 5 2" xfId="919" xr:uid="{032310B0-538B-48A4-BF4D-631BD30F7A0F}"/>
    <cellStyle name="Separador de milhares 2 2 2 2 3 5 3" xfId="1469" xr:uid="{B687F1A0-C756-4717-A514-36EC6365E51C}"/>
    <cellStyle name="Separador de milhares 2 2 2 2 3 6" xfId="447" xr:uid="{00000000-0005-0000-0000-00000D000000}"/>
    <cellStyle name="Separador de milhares 2 2 2 2 3 6 2" xfId="998" xr:uid="{DDA2E8F5-C44B-47F2-8FCF-C349E3773D05}"/>
    <cellStyle name="Separador de milhares 2 2 2 2 3 6 3" xfId="1548" xr:uid="{B3827D28-3B4A-4FC2-8213-61098BD8C768}"/>
    <cellStyle name="Separador de milhares 2 2 2 2 3 7" xfId="525" xr:uid="{00000000-0005-0000-0000-00000D000000}"/>
    <cellStyle name="Separador de milhares 2 2 2 2 3 7 2" xfId="1076" xr:uid="{65CD4EA3-AD59-4992-9D26-3525E027A786}"/>
    <cellStyle name="Separador de milhares 2 2 2 2 3 7 3" xfId="1626" xr:uid="{C5443F69-62C8-4A02-A373-94E21D86E03A}"/>
    <cellStyle name="Separador de milhares 2 2 2 2 3 8" xfId="604" xr:uid="{EC493E5F-459E-4539-9BD3-1C2B76C3B212}"/>
    <cellStyle name="Separador de milhares 2 2 2 2 3 9" xfId="1155" xr:uid="{644664AC-01F9-46AA-83A3-84A0FCDD96FE}"/>
    <cellStyle name="Separador de milhares 2 2 2 2 4" xfId="83" xr:uid="{00000000-0005-0000-0000-00000C000000}"/>
    <cellStyle name="Separador de milhares 2 2 2 2 4 2" xfId="162" xr:uid="{00000000-0005-0000-0000-00000C000000}"/>
    <cellStyle name="Separador de milhares 2 2 2 2 4 2 2" xfId="713" xr:uid="{F14601D3-3D56-4990-9A6F-41A6B6CB6275}"/>
    <cellStyle name="Separador de milhares 2 2 2 2 4 2 3" xfId="1264" xr:uid="{DA0317FE-3D0F-4D3C-8989-E1FF37B46001}"/>
    <cellStyle name="Separador de milhares 2 2 2 2 4 3" xfId="241" xr:uid="{00000000-0005-0000-0000-00000C000000}"/>
    <cellStyle name="Separador de milhares 2 2 2 2 4 3 2" xfId="792" xr:uid="{9C5DC444-8BA8-4723-81C4-3D644384BF78}"/>
    <cellStyle name="Separador de milhares 2 2 2 2 4 3 3" xfId="1343" xr:uid="{C307F8AB-0B20-4F71-94C2-B1A24E3C3C9C}"/>
    <cellStyle name="Separador de milhares 2 2 2 2 4 4" xfId="321" xr:uid="{00000000-0005-0000-0000-00000C000000}"/>
    <cellStyle name="Separador de milhares 2 2 2 2 4 4 2" xfId="872" xr:uid="{EF5ED699-472F-4B77-87FC-FE375A5BC2A2}"/>
    <cellStyle name="Separador de milhares 2 2 2 2 4 4 3" xfId="1422" xr:uid="{29B669BB-FCD0-4A04-AE0E-4CE6E94049E0}"/>
    <cellStyle name="Separador de milhares 2 2 2 2 4 5" xfId="399" xr:uid="{00000000-0005-0000-0000-00000C000000}"/>
    <cellStyle name="Separador de milhares 2 2 2 2 4 5 2" xfId="950" xr:uid="{75E95B04-CB20-417A-84E0-B38A04E529BB}"/>
    <cellStyle name="Separador de milhares 2 2 2 2 4 5 3" xfId="1500" xr:uid="{8CB8DC54-323C-44BF-980F-999FE7F13918}"/>
    <cellStyle name="Separador de milhares 2 2 2 2 4 6" xfId="478" xr:uid="{00000000-0005-0000-0000-00000C000000}"/>
    <cellStyle name="Separador de milhares 2 2 2 2 4 6 2" xfId="1029" xr:uid="{8947155E-F138-4340-8AC2-F7B724BEFA51}"/>
    <cellStyle name="Separador de milhares 2 2 2 2 4 6 3" xfId="1579" xr:uid="{3EA1EB66-922F-4377-A834-56B9C90D22F2}"/>
    <cellStyle name="Separador de milhares 2 2 2 2 4 7" xfId="556" xr:uid="{00000000-0005-0000-0000-00000C000000}"/>
    <cellStyle name="Separador de milhares 2 2 2 2 4 7 2" xfId="1107" xr:uid="{73BA7566-B63B-4E5D-8F1F-7845EEF39191}"/>
    <cellStyle name="Separador de milhares 2 2 2 2 4 7 3" xfId="1657" xr:uid="{2EA74D52-D11C-4541-9CB4-3CB86FC33851}"/>
    <cellStyle name="Separador de milhares 2 2 2 2 4 8" xfId="635" xr:uid="{5E5EE5C4-0F65-44ED-8E9C-DD464441A90D}"/>
    <cellStyle name="Separador de milhares 2 2 2 2 4 9" xfId="1186" xr:uid="{7D1BEA6A-CCE1-4D2D-9315-85701565ED7E}"/>
    <cellStyle name="Separador de milhares 2 2 2 2 5" xfId="99" xr:uid="{00000000-0005-0000-0000-00000D000000}"/>
    <cellStyle name="Separador de milhares 2 2 2 2 5 2" xfId="650" xr:uid="{1A0F8FAB-3F54-47CF-A224-C0EFA2ED1544}"/>
    <cellStyle name="Separador de milhares 2 2 2 2 5 3" xfId="1201" xr:uid="{F524B07B-29E8-43F7-9922-17D37927C6FA}"/>
    <cellStyle name="Separador de milhares 2 2 2 2 6" xfId="178" xr:uid="{00000000-0005-0000-0000-00000D000000}"/>
    <cellStyle name="Separador de milhares 2 2 2 2 6 2" xfId="729" xr:uid="{6CAF03AF-F446-4CD9-9F06-D5445D191D68}"/>
    <cellStyle name="Separador de milhares 2 2 2 2 6 3" xfId="1280" xr:uid="{ECC6931B-C6B8-4F38-95C2-6BB11981DA5D}"/>
    <cellStyle name="Separador de milhares 2 2 2 2 7" xfId="257" xr:uid="{00000000-0005-0000-0000-00000D000000}"/>
    <cellStyle name="Separador de milhares 2 2 2 2 7 2" xfId="808" xr:uid="{CBFDE2F7-6B1A-4F4A-A542-F396C2D1F7B6}"/>
    <cellStyle name="Separador de milhares 2 2 2 2 7 3" xfId="1359" xr:uid="{D6A8C8CC-2DDD-478E-956E-B2EAD0DD423C}"/>
    <cellStyle name="Separador de milhares 2 2 2 2 8" xfId="336" xr:uid="{00000000-0005-0000-0000-00000D000000}"/>
    <cellStyle name="Separador de milhares 2 2 2 2 8 2" xfId="887" xr:uid="{EDC880E9-74AB-498E-A24F-83FA4A3029C9}"/>
    <cellStyle name="Separador de milhares 2 2 2 2 8 3" xfId="1437" xr:uid="{BCF2CC9D-4733-4D80-96F3-2329530CE8AE}"/>
    <cellStyle name="Separador de milhares 2 2 2 2 9" xfId="415" xr:uid="{00000000-0005-0000-0000-00000D000000}"/>
    <cellStyle name="Separador de milhares 2 2 2 2 9 2" xfId="966" xr:uid="{10257E9D-16CD-4217-9DCD-9BC7CEF5A577}"/>
    <cellStyle name="Separador de milhares 2 2 2 2 9 3" xfId="1516" xr:uid="{586D294D-3B36-44BF-BA91-3DED52553065}"/>
    <cellStyle name="Separador de milhares 2 2 2 3" xfId="29" xr:uid="{00000000-0005-0000-0000-00000C000000}"/>
    <cellStyle name="Separador de milhares 2 2 2 3 10" xfId="1132" xr:uid="{7AAF66B2-86CB-4DEC-A33D-D2125ABBB158}"/>
    <cellStyle name="Separador de milhares 2 2 2 3 2" xfId="61" xr:uid="{00000000-0005-0000-0000-000015000000}"/>
    <cellStyle name="Separador de milhares 2 2 2 3 2 2" xfId="140" xr:uid="{00000000-0005-0000-0000-000015000000}"/>
    <cellStyle name="Separador de milhares 2 2 2 3 2 2 2" xfId="691" xr:uid="{F406ED7C-1C1D-405C-97D2-AB71FD279F10}"/>
    <cellStyle name="Separador de milhares 2 2 2 3 2 2 3" xfId="1242" xr:uid="{9A4FD6C1-387A-416C-A980-B715F91E3DBF}"/>
    <cellStyle name="Separador de milhares 2 2 2 3 2 3" xfId="219" xr:uid="{00000000-0005-0000-0000-000015000000}"/>
    <cellStyle name="Separador de milhares 2 2 2 3 2 3 2" xfId="770" xr:uid="{2438696F-D065-47A8-BDAA-18EFF67CD3D6}"/>
    <cellStyle name="Separador de milhares 2 2 2 3 2 3 3" xfId="1321" xr:uid="{71132926-8972-4CCE-A241-EC19A7F6D9BB}"/>
    <cellStyle name="Separador de milhares 2 2 2 3 2 4" xfId="299" xr:uid="{00000000-0005-0000-0000-000015000000}"/>
    <cellStyle name="Separador de milhares 2 2 2 3 2 4 2" xfId="850" xr:uid="{3CE2228E-0691-4A07-8D6B-7F5CFD04A17F}"/>
    <cellStyle name="Separador de milhares 2 2 2 3 2 4 3" xfId="1400" xr:uid="{62235D77-CC33-4F46-90F9-D20DA80E921D}"/>
    <cellStyle name="Separador de milhares 2 2 2 3 2 5" xfId="377" xr:uid="{00000000-0005-0000-0000-000015000000}"/>
    <cellStyle name="Separador de milhares 2 2 2 3 2 5 2" xfId="928" xr:uid="{25D96996-0044-4F6A-AF07-4EB4D64469D4}"/>
    <cellStyle name="Separador de milhares 2 2 2 3 2 5 3" xfId="1478" xr:uid="{F2F4EC46-35EC-4E70-B3F6-92B3B34551B4}"/>
    <cellStyle name="Separador de milhares 2 2 2 3 2 6" xfId="456" xr:uid="{00000000-0005-0000-0000-000015000000}"/>
    <cellStyle name="Separador de milhares 2 2 2 3 2 6 2" xfId="1007" xr:uid="{D8D4F9D5-890F-4302-9C16-FCF3054D0CD5}"/>
    <cellStyle name="Separador de milhares 2 2 2 3 2 6 3" xfId="1557" xr:uid="{46960F74-7E00-483F-9746-B4FB55654BC3}"/>
    <cellStyle name="Separador de milhares 2 2 2 3 2 7" xfId="534" xr:uid="{00000000-0005-0000-0000-000015000000}"/>
    <cellStyle name="Separador de milhares 2 2 2 3 2 7 2" xfId="1085" xr:uid="{87E1067A-B03A-4905-93A6-B74A110E15A7}"/>
    <cellStyle name="Separador de milhares 2 2 2 3 2 7 3" xfId="1635" xr:uid="{D2D5549B-9F48-4A52-9166-26714FE6F766}"/>
    <cellStyle name="Separador de milhares 2 2 2 3 2 8" xfId="613" xr:uid="{DC5C3BE6-2479-428F-AAB8-CC826A932B9A}"/>
    <cellStyle name="Separador de milhares 2 2 2 3 2 9" xfId="1164" xr:uid="{EA531482-CEAF-4850-8F2B-ECA4DAD8D421}"/>
    <cellStyle name="Separador de milhares 2 2 2 3 3" xfId="108" xr:uid="{00000000-0005-0000-0000-00000C000000}"/>
    <cellStyle name="Separador de milhares 2 2 2 3 3 2" xfId="659" xr:uid="{5A2732DB-04D5-4BA7-92D3-88DC6ECC871D}"/>
    <cellStyle name="Separador de milhares 2 2 2 3 3 3" xfId="1210" xr:uid="{5D3875BB-62CF-4200-A264-B5E96E9FEA21}"/>
    <cellStyle name="Separador de milhares 2 2 2 3 4" xfId="187" xr:uid="{00000000-0005-0000-0000-00000C000000}"/>
    <cellStyle name="Separador de milhares 2 2 2 3 4 2" xfId="738" xr:uid="{67A010BF-1524-43E2-B4C3-E1F2425BC8C5}"/>
    <cellStyle name="Separador de milhares 2 2 2 3 4 3" xfId="1289" xr:uid="{E6E1FE32-26FA-4E0D-8D01-5EE76A8A5C80}"/>
    <cellStyle name="Separador de milhares 2 2 2 3 5" xfId="267" xr:uid="{00000000-0005-0000-0000-00000C000000}"/>
    <cellStyle name="Separador de milhares 2 2 2 3 5 2" xfId="818" xr:uid="{741B6C8F-C008-4525-B707-538596F095C0}"/>
    <cellStyle name="Separador de milhares 2 2 2 3 5 3" xfId="1368" xr:uid="{F70FAEDA-78E0-458F-B4A1-223046BE7036}"/>
    <cellStyle name="Separador de milhares 2 2 2 3 6" xfId="345" xr:uid="{00000000-0005-0000-0000-00000C000000}"/>
    <cellStyle name="Separador de milhares 2 2 2 3 6 2" xfId="896" xr:uid="{AFB75890-0EED-4476-8C3A-6E0620F42FF0}"/>
    <cellStyle name="Separador de milhares 2 2 2 3 6 3" xfId="1446" xr:uid="{54160D4D-3554-4ECA-9465-7E24B941F815}"/>
    <cellStyle name="Separador de milhares 2 2 2 3 7" xfId="424" xr:uid="{00000000-0005-0000-0000-00000C000000}"/>
    <cellStyle name="Separador de milhares 2 2 2 3 7 2" xfId="975" xr:uid="{AC7503AE-322A-497D-BF95-2C961C4F6A5D}"/>
    <cellStyle name="Separador de milhares 2 2 2 3 7 3" xfId="1525" xr:uid="{951F6B1B-2EED-4AB3-9EA3-016816B48B0A}"/>
    <cellStyle name="Separador de milhares 2 2 2 3 8" xfId="502" xr:uid="{00000000-0005-0000-0000-00000C000000}"/>
    <cellStyle name="Separador de milhares 2 2 2 3 8 2" xfId="1053" xr:uid="{EBE37FAB-7DE6-48EA-9897-B4AE8B3DC444}"/>
    <cellStyle name="Separador de milhares 2 2 2 3 8 3" xfId="1603" xr:uid="{84407B1F-3439-4D67-B1E5-8E334D44710A}"/>
    <cellStyle name="Separador de milhares 2 2 2 3 9" xfId="581" xr:uid="{2791C5E9-173D-4BBB-87DA-49965199E0C8}"/>
    <cellStyle name="Separador de milhares 2 2 2 4" xfId="45" xr:uid="{00000000-0005-0000-0000-00000C000000}"/>
    <cellStyle name="Separador de milhares 2 2 2 4 2" xfId="124" xr:uid="{00000000-0005-0000-0000-00000C000000}"/>
    <cellStyle name="Separador de milhares 2 2 2 4 2 2" xfId="675" xr:uid="{A2D2A614-B569-444B-B457-0F26432DD1A5}"/>
    <cellStyle name="Separador de milhares 2 2 2 4 2 3" xfId="1226" xr:uid="{E07D1DE0-1B32-4502-98EC-7D512DF19586}"/>
    <cellStyle name="Separador de milhares 2 2 2 4 3" xfId="203" xr:uid="{00000000-0005-0000-0000-00000C000000}"/>
    <cellStyle name="Separador de milhares 2 2 2 4 3 2" xfId="754" xr:uid="{0B4EEAC9-E400-46AE-B0C5-6B33F61D7244}"/>
    <cellStyle name="Separador de milhares 2 2 2 4 3 3" xfId="1305" xr:uid="{EDA25321-784D-42A7-A1A8-9FA010783EA9}"/>
    <cellStyle name="Separador de milhares 2 2 2 4 4" xfId="283" xr:uid="{00000000-0005-0000-0000-00000C000000}"/>
    <cellStyle name="Separador de milhares 2 2 2 4 4 2" xfId="834" xr:uid="{02D345B4-1F5B-454D-9C12-5EC469FAEFE3}"/>
    <cellStyle name="Separador de milhares 2 2 2 4 4 3" xfId="1384" xr:uid="{EAE08CD9-3F1B-4D46-A6FD-1627326E82A1}"/>
    <cellStyle name="Separador de milhares 2 2 2 4 5" xfId="361" xr:uid="{00000000-0005-0000-0000-00000C000000}"/>
    <cellStyle name="Separador de milhares 2 2 2 4 5 2" xfId="912" xr:uid="{F613B5B2-9632-4A48-BD23-6C3184C204A9}"/>
    <cellStyle name="Separador de milhares 2 2 2 4 5 3" xfId="1462" xr:uid="{64759AFA-9685-48C5-8C3D-91643243EEDC}"/>
    <cellStyle name="Separador de milhares 2 2 2 4 6" xfId="440" xr:uid="{00000000-0005-0000-0000-00000C000000}"/>
    <cellStyle name="Separador de milhares 2 2 2 4 6 2" xfId="991" xr:uid="{E208D35B-D4B0-4A68-9EA5-F7386829691E}"/>
    <cellStyle name="Separador de milhares 2 2 2 4 6 3" xfId="1541" xr:uid="{66835437-0E89-47DE-A7BE-8563519AEA31}"/>
    <cellStyle name="Separador de milhares 2 2 2 4 7" xfId="518" xr:uid="{00000000-0005-0000-0000-00000C000000}"/>
    <cellStyle name="Separador de milhares 2 2 2 4 7 2" xfId="1069" xr:uid="{3C221A8F-0F2C-4DE1-8F85-C061B1763C48}"/>
    <cellStyle name="Separador de milhares 2 2 2 4 7 3" xfId="1619" xr:uid="{BE579C25-CFAD-420A-9ED3-5E618ADB3FDB}"/>
    <cellStyle name="Separador de milhares 2 2 2 4 8" xfId="597" xr:uid="{73E580EB-E309-4EE0-9F2C-CD6B8382CBA3}"/>
    <cellStyle name="Separador de milhares 2 2 2 4 9" xfId="1148" xr:uid="{9116B9F4-7986-404B-9A3C-C025F8742C34}"/>
    <cellStyle name="Separador de milhares 2 2 2 5" xfId="77" xr:uid="{00000000-0005-0000-0000-00000B000000}"/>
    <cellStyle name="Separador de milhares 2 2 2 5 2" xfId="156" xr:uid="{00000000-0005-0000-0000-00000B000000}"/>
    <cellStyle name="Separador de milhares 2 2 2 5 2 2" xfId="707" xr:uid="{FE780033-312F-406F-81FB-55394584124E}"/>
    <cellStyle name="Separador de milhares 2 2 2 5 2 3" xfId="1258" xr:uid="{FDF7EBFF-7572-4551-BC9A-BA33912C97D6}"/>
    <cellStyle name="Separador de milhares 2 2 2 5 3" xfId="235" xr:uid="{00000000-0005-0000-0000-00000B000000}"/>
    <cellStyle name="Separador de milhares 2 2 2 5 3 2" xfId="786" xr:uid="{118D5012-D2F6-4B5E-84E4-AB4F467C3C63}"/>
    <cellStyle name="Separador de milhares 2 2 2 5 3 3" xfId="1337" xr:uid="{5CAA4E3B-BE52-4F92-ABAA-B34746CB7FBB}"/>
    <cellStyle name="Separador de milhares 2 2 2 5 4" xfId="315" xr:uid="{00000000-0005-0000-0000-00000B000000}"/>
    <cellStyle name="Separador de milhares 2 2 2 5 4 2" xfId="866" xr:uid="{CD9E0FE3-8490-4AA9-8AC9-CCE5BADEE859}"/>
    <cellStyle name="Separador de milhares 2 2 2 5 4 3" xfId="1416" xr:uid="{0E405B27-1F78-4287-BC3A-1986C8F46E67}"/>
    <cellStyle name="Separador de milhares 2 2 2 5 5" xfId="393" xr:uid="{00000000-0005-0000-0000-00000B000000}"/>
    <cellStyle name="Separador de milhares 2 2 2 5 5 2" xfId="944" xr:uid="{E6DE904B-1706-450E-BC4E-34F14CC3BA58}"/>
    <cellStyle name="Separador de milhares 2 2 2 5 5 3" xfId="1494" xr:uid="{5FF8450B-7BA8-493E-9F29-280559FE8B5A}"/>
    <cellStyle name="Separador de milhares 2 2 2 5 6" xfId="472" xr:uid="{00000000-0005-0000-0000-00000B000000}"/>
    <cellStyle name="Separador de milhares 2 2 2 5 6 2" xfId="1023" xr:uid="{F0A0B50B-D9A3-470E-B023-BE765443BF05}"/>
    <cellStyle name="Separador de milhares 2 2 2 5 6 3" xfId="1573" xr:uid="{40523526-53B0-428A-804C-2DAC75961407}"/>
    <cellStyle name="Separador de milhares 2 2 2 5 7" xfId="550" xr:uid="{00000000-0005-0000-0000-00000B000000}"/>
    <cellStyle name="Separador de milhares 2 2 2 5 7 2" xfId="1101" xr:uid="{3E45C047-9299-42B6-9212-AAA3EDDC8404}"/>
    <cellStyle name="Separador de milhares 2 2 2 5 7 3" xfId="1651" xr:uid="{94F9FA36-C427-4E61-8B62-4FC2DA3F83E3}"/>
    <cellStyle name="Separador de milhares 2 2 2 5 8" xfId="629" xr:uid="{CEBD6F9D-67A6-4D16-81BF-5DE0F7656850}"/>
    <cellStyle name="Separador de milhares 2 2 2 5 9" xfId="1180" xr:uid="{B069EA89-1A10-47AE-AEC4-A5D6D2288C01}"/>
    <cellStyle name="Separador de milhares 2 2 2 6" xfId="93" xr:uid="{00000000-0005-0000-0000-00000C000000}"/>
    <cellStyle name="Separador de milhares 2 2 2 6 2" xfId="644" xr:uid="{D29186E9-9C33-4E8E-8BE4-52B41D510B5C}"/>
    <cellStyle name="Separador de milhares 2 2 2 6 3" xfId="1195" xr:uid="{83F1D35E-8C5D-4549-9E12-6B4C64D9C742}"/>
    <cellStyle name="Separador de milhares 2 2 2 7" xfId="171" xr:uid="{00000000-0005-0000-0000-00000C000000}"/>
    <cellStyle name="Separador de milhares 2 2 2 7 2" xfId="722" xr:uid="{37646C4A-DBB4-4218-B886-7FABC5153AC5}"/>
    <cellStyle name="Separador de milhares 2 2 2 7 3" xfId="1273" xr:uid="{17535150-B8CD-47E0-823F-CE2F6743A690}"/>
    <cellStyle name="Separador de milhares 2 2 2 8" xfId="250" xr:uid="{00000000-0005-0000-0000-00000C000000}"/>
    <cellStyle name="Separador de milhares 2 2 2 8 2" xfId="801" xr:uid="{1F6CCC0E-6171-48DA-A3D1-B07E96CB18C1}"/>
    <cellStyle name="Separador de milhares 2 2 2 8 3" xfId="1352" xr:uid="{7A820FC7-644F-44E0-B696-A54544CC4F74}"/>
    <cellStyle name="Separador de milhares 2 2 2 9" xfId="330" xr:uid="{00000000-0005-0000-0000-00000C000000}"/>
    <cellStyle name="Separador de milhares 2 2 2 9 2" xfId="881" xr:uid="{CD930CEC-1DED-4A6D-BB73-CF46EE80378F}"/>
    <cellStyle name="Separador de milhares 2 2 2 9 3" xfId="1431" xr:uid="{F5DA04E6-8C2C-4E75-926B-5619F4A104C6}"/>
    <cellStyle name="Separador de milhares 2 2 3" xfId="23" xr:uid="{00000000-0005-0000-0000-00000E000000}"/>
    <cellStyle name="Separador de milhares 2 2 3 10" xfId="497" xr:uid="{00000000-0005-0000-0000-00000E000000}"/>
    <cellStyle name="Separador de milhares 2 2 3 10 2" xfId="1048" xr:uid="{7A150080-73F2-4CDC-9D43-7FC94FE65C7F}"/>
    <cellStyle name="Separador de milhares 2 2 3 10 3" xfId="1598" xr:uid="{0B146458-1DBD-4632-A738-1EE65EC5EB68}"/>
    <cellStyle name="Separador de milhares 2 2 3 11" xfId="576" xr:uid="{85D176B4-6772-460D-9358-6998E44E947E}"/>
    <cellStyle name="Separador de milhares 2 2 3 12" xfId="1127" xr:uid="{6F2173B4-6382-4532-BE1E-AD82E5CBA2B5}"/>
    <cellStyle name="Separador de milhares 2 2 3 2" xfId="40" xr:uid="{00000000-0005-0000-0000-00000E000000}"/>
    <cellStyle name="Separador de milhares 2 2 3 2 10" xfId="1143" xr:uid="{4BF42D2C-716C-4D40-90E4-E98B735E8756}"/>
    <cellStyle name="Separador de milhares 2 2 3 2 2" xfId="72" xr:uid="{00000000-0005-0000-0000-000017000000}"/>
    <cellStyle name="Separador de milhares 2 2 3 2 2 2" xfId="151" xr:uid="{00000000-0005-0000-0000-000017000000}"/>
    <cellStyle name="Separador de milhares 2 2 3 2 2 2 2" xfId="702" xr:uid="{DA91FF7B-432E-4A28-A1A7-A0B33FBF33FF}"/>
    <cellStyle name="Separador de milhares 2 2 3 2 2 2 3" xfId="1253" xr:uid="{703B4C7D-9054-47C6-8151-07FF88DD86AF}"/>
    <cellStyle name="Separador de milhares 2 2 3 2 2 3" xfId="230" xr:uid="{00000000-0005-0000-0000-000017000000}"/>
    <cellStyle name="Separador de milhares 2 2 3 2 2 3 2" xfId="781" xr:uid="{35D1C36D-2735-4D70-AA06-5C666A195D10}"/>
    <cellStyle name="Separador de milhares 2 2 3 2 2 3 3" xfId="1332" xr:uid="{ABA5E436-26EF-4D0B-A0DE-2AECE46B9996}"/>
    <cellStyle name="Separador de milhares 2 2 3 2 2 4" xfId="310" xr:uid="{00000000-0005-0000-0000-000017000000}"/>
    <cellStyle name="Separador de milhares 2 2 3 2 2 4 2" xfId="861" xr:uid="{CD1A41F5-007A-4F08-B617-A2E811FAB3DD}"/>
    <cellStyle name="Separador de milhares 2 2 3 2 2 4 3" xfId="1411" xr:uid="{C91F7BA5-6C84-42D1-95F6-576E168B4ACA}"/>
    <cellStyle name="Separador de milhares 2 2 3 2 2 5" xfId="388" xr:uid="{00000000-0005-0000-0000-000017000000}"/>
    <cellStyle name="Separador de milhares 2 2 3 2 2 5 2" xfId="939" xr:uid="{60A6135D-9847-45FE-9BA0-9F02A406EB80}"/>
    <cellStyle name="Separador de milhares 2 2 3 2 2 5 3" xfId="1489" xr:uid="{73E9C565-F8BC-401D-9D64-FC5B382AB213}"/>
    <cellStyle name="Separador de milhares 2 2 3 2 2 6" xfId="467" xr:uid="{00000000-0005-0000-0000-000017000000}"/>
    <cellStyle name="Separador de milhares 2 2 3 2 2 6 2" xfId="1018" xr:uid="{B74303A9-A04F-449B-BF81-E78E9421B3C2}"/>
    <cellStyle name="Separador de milhares 2 2 3 2 2 6 3" xfId="1568" xr:uid="{6E8208B2-112F-4106-9D29-41616AB9FD4D}"/>
    <cellStyle name="Separador de milhares 2 2 3 2 2 7" xfId="545" xr:uid="{00000000-0005-0000-0000-000017000000}"/>
    <cellStyle name="Separador de milhares 2 2 3 2 2 7 2" xfId="1096" xr:uid="{D159C693-2F83-411A-B3D8-3C08992B0F8F}"/>
    <cellStyle name="Separador de milhares 2 2 3 2 2 7 3" xfId="1646" xr:uid="{4BB5F4F3-875B-49A3-B1DE-D1D768029BB8}"/>
    <cellStyle name="Separador de milhares 2 2 3 2 2 8" xfId="624" xr:uid="{29719FC0-5DC1-4735-A4FE-83693D309F9B}"/>
    <cellStyle name="Separador de milhares 2 2 3 2 2 9" xfId="1175" xr:uid="{569EB656-420D-46C9-B216-D4023816A96A}"/>
    <cellStyle name="Separador de milhares 2 2 3 2 3" xfId="119" xr:uid="{00000000-0005-0000-0000-00000E000000}"/>
    <cellStyle name="Separador de milhares 2 2 3 2 3 2" xfId="670" xr:uid="{B13093C7-71B7-433E-8BAC-7F5BBCE2CB58}"/>
    <cellStyle name="Separador de milhares 2 2 3 2 3 3" xfId="1221" xr:uid="{DE5C70D6-EC1A-451F-90F6-41B6BF91B92C}"/>
    <cellStyle name="Separador de milhares 2 2 3 2 4" xfId="198" xr:uid="{00000000-0005-0000-0000-00000E000000}"/>
    <cellStyle name="Separador de milhares 2 2 3 2 4 2" xfId="749" xr:uid="{AEE6908A-FA46-424B-A75D-AC3992ECFE84}"/>
    <cellStyle name="Separador de milhares 2 2 3 2 4 3" xfId="1300" xr:uid="{1E1DAC92-75A9-4D54-8FA6-F13D52F364A5}"/>
    <cellStyle name="Separador de milhares 2 2 3 2 5" xfId="278" xr:uid="{00000000-0005-0000-0000-00000E000000}"/>
    <cellStyle name="Separador de milhares 2 2 3 2 5 2" xfId="829" xr:uid="{025A6228-DF7F-47F3-97D0-35F03F555CA7}"/>
    <cellStyle name="Separador de milhares 2 2 3 2 5 3" xfId="1379" xr:uid="{ED55FF92-C4AD-4D95-B1E6-E261862409BE}"/>
    <cellStyle name="Separador de milhares 2 2 3 2 6" xfId="356" xr:uid="{00000000-0005-0000-0000-00000E000000}"/>
    <cellStyle name="Separador de milhares 2 2 3 2 6 2" xfId="907" xr:uid="{5AE8D6A4-16FE-462B-BD48-FAE68905FFEE}"/>
    <cellStyle name="Separador de milhares 2 2 3 2 6 3" xfId="1457" xr:uid="{35D0011B-21A8-4736-B884-3DA4D61309F9}"/>
    <cellStyle name="Separador de milhares 2 2 3 2 7" xfId="435" xr:uid="{00000000-0005-0000-0000-00000E000000}"/>
    <cellStyle name="Separador de milhares 2 2 3 2 7 2" xfId="986" xr:uid="{F26A5BDC-7CEB-408D-A75C-7652931CD444}"/>
    <cellStyle name="Separador de milhares 2 2 3 2 7 3" xfId="1536" xr:uid="{52A4D215-AE06-4430-82BD-EC798DF52A18}"/>
    <cellStyle name="Separador de milhares 2 2 3 2 8" xfId="513" xr:uid="{00000000-0005-0000-0000-00000E000000}"/>
    <cellStyle name="Separador de milhares 2 2 3 2 8 2" xfId="1064" xr:uid="{45562941-2956-4F5F-B425-F985B96BF950}"/>
    <cellStyle name="Separador de milhares 2 2 3 2 8 3" xfId="1614" xr:uid="{9018DDC8-F82D-4EFF-81A0-44E874265C10}"/>
    <cellStyle name="Separador de milhares 2 2 3 2 9" xfId="592" xr:uid="{3984D4E7-8303-4940-AD49-85D59C81DE2A}"/>
    <cellStyle name="Separador de milhares 2 2 3 3" xfId="56" xr:uid="{00000000-0005-0000-0000-00000E000000}"/>
    <cellStyle name="Separador de milhares 2 2 3 3 2" xfId="135" xr:uid="{00000000-0005-0000-0000-00000E000000}"/>
    <cellStyle name="Separador de milhares 2 2 3 3 2 2" xfId="686" xr:uid="{81055F30-3009-4206-8403-4879FEAF28B5}"/>
    <cellStyle name="Separador de milhares 2 2 3 3 2 3" xfId="1237" xr:uid="{486B7B53-3B75-4716-983D-1A628E198E8C}"/>
    <cellStyle name="Separador de milhares 2 2 3 3 3" xfId="214" xr:uid="{00000000-0005-0000-0000-00000E000000}"/>
    <cellStyle name="Separador de milhares 2 2 3 3 3 2" xfId="765" xr:uid="{7E69DFDA-0F17-4A91-BCC4-7C358D78A8A6}"/>
    <cellStyle name="Separador de milhares 2 2 3 3 3 3" xfId="1316" xr:uid="{FDBBC944-968E-45B1-A11D-E863510A666E}"/>
    <cellStyle name="Separador de milhares 2 2 3 3 4" xfId="294" xr:uid="{00000000-0005-0000-0000-00000E000000}"/>
    <cellStyle name="Separador de milhares 2 2 3 3 4 2" xfId="845" xr:uid="{8399DEFB-4520-4CE5-B23F-71CDD07373AE}"/>
    <cellStyle name="Separador de milhares 2 2 3 3 4 3" xfId="1395" xr:uid="{13DA944D-CC38-492E-898B-B7A010DBAAAA}"/>
    <cellStyle name="Separador de milhares 2 2 3 3 5" xfId="372" xr:uid="{00000000-0005-0000-0000-00000E000000}"/>
    <cellStyle name="Separador de milhares 2 2 3 3 5 2" xfId="923" xr:uid="{5794613F-53DB-4966-BBF8-BC3A7E1428BD}"/>
    <cellStyle name="Separador de milhares 2 2 3 3 5 3" xfId="1473" xr:uid="{EF5AA547-4B01-4867-952B-C84B1F79B803}"/>
    <cellStyle name="Separador de milhares 2 2 3 3 6" xfId="451" xr:uid="{00000000-0005-0000-0000-00000E000000}"/>
    <cellStyle name="Separador de milhares 2 2 3 3 6 2" xfId="1002" xr:uid="{E6BC9207-27C2-48F4-9C3D-C8441B7B36F0}"/>
    <cellStyle name="Separador de milhares 2 2 3 3 6 3" xfId="1552" xr:uid="{FF983D81-291C-4D89-8D86-B23C0236C491}"/>
    <cellStyle name="Separador de milhares 2 2 3 3 7" xfId="529" xr:uid="{00000000-0005-0000-0000-00000E000000}"/>
    <cellStyle name="Separador de milhares 2 2 3 3 7 2" xfId="1080" xr:uid="{800AC037-A2E9-46B4-8F80-4B3C56395E16}"/>
    <cellStyle name="Separador de milhares 2 2 3 3 7 3" xfId="1630" xr:uid="{EC1488A6-59F2-47AB-864F-B320DE78EABA}"/>
    <cellStyle name="Separador de milhares 2 2 3 3 8" xfId="608" xr:uid="{B4D87EB6-4833-40AF-961F-F3823F1A0D28}"/>
    <cellStyle name="Separador de milhares 2 2 3 3 9" xfId="1159" xr:uid="{38409112-E841-445A-A596-1608FFBE33C2}"/>
    <cellStyle name="Separador de milhares 2 2 3 4" xfId="87" xr:uid="{00000000-0005-0000-0000-00000D000000}"/>
    <cellStyle name="Separador de milhares 2 2 3 4 2" xfId="166" xr:uid="{00000000-0005-0000-0000-00000D000000}"/>
    <cellStyle name="Separador de milhares 2 2 3 4 2 2" xfId="717" xr:uid="{1D5C1F91-C758-4A61-A5E1-FAA4F026F786}"/>
    <cellStyle name="Separador de milhares 2 2 3 4 2 3" xfId="1268" xr:uid="{B23915FA-ED8E-4079-8D34-52315A71189B}"/>
    <cellStyle name="Separador de milhares 2 2 3 4 3" xfId="245" xr:uid="{00000000-0005-0000-0000-00000D000000}"/>
    <cellStyle name="Separador de milhares 2 2 3 4 3 2" xfId="796" xr:uid="{5002EC87-2354-4AD0-9C01-4220B5D51440}"/>
    <cellStyle name="Separador de milhares 2 2 3 4 3 3" xfId="1347" xr:uid="{E65726F4-2D74-402C-A154-8405A1303EA0}"/>
    <cellStyle name="Separador de milhares 2 2 3 4 4" xfId="325" xr:uid="{00000000-0005-0000-0000-00000D000000}"/>
    <cellStyle name="Separador de milhares 2 2 3 4 4 2" xfId="876" xr:uid="{06B49FF0-D66E-47A6-9AF2-DF637A020FB3}"/>
    <cellStyle name="Separador de milhares 2 2 3 4 4 3" xfId="1426" xr:uid="{5FDE04AF-5743-45FD-8EB8-79A204F4060A}"/>
    <cellStyle name="Separador de milhares 2 2 3 4 5" xfId="403" xr:uid="{00000000-0005-0000-0000-00000D000000}"/>
    <cellStyle name="Separador de milhares 2 2 3 4 5 2" xfId="954" xr:uid="{85165D36-8AC6-4833-B299-712DB3BAF8B4}"/>
    <cellStyle name="Separador de milhares 2 2 3 4 5 3" xfId="1504" xr:uid="{E998A9AD-2211-4DEE-BE66-82762C03B272}"/>
    <cellStyle name="Separador de milhares 2 2 3 4 6" xfId="482" xr:uid="{00000000-0005-0000-0000-00000D000000}"/>
    <cellStyle name="Separador de milhares 2 2 3 4 6 2" xfId="1033" xr:uid="{841263E6-D850-441B-8DD7-B8D8A6AAAA21}"/>
    <cellStyle name="Separador de milhares 2 2 3 4 6 3" xfId="1583" xr:uid="{00792AD2-AAAE-42A1-A0B8-4274CD031AEC}"/>
    <cellStyle name="Separador de milhares 2 2 3 4 7" xfId="560" xr:uid="{00000000-0005-0000-0000-00000D000000}"/>
    <cellStyle name="Separador de milhares 2 2 3 4 7 2" xfId="1111" xr:uid="{C9B8494C-B8E5-48D5-AF1D-A4EDD2E1A0D9}"/>
    <cellStyle name="Separador de milhares 2 2 3 4 7 3" xfId="1661" xr:uid="{8F127B69-ECF2-46DB-8E52-72FFF7A7FCB3}"/>
    <cellStyle name="Separador de milhares 2 2 3 4 8" xfId="639" xr:uid="{8644184C-D336-43D0-876C-8C20EDEA764A}"/>
    <cellStyle name="Separador de milhares 2 2 3 4 9" xfId="1190" xr:uid="{8B505271-740F-422D-92AC-DB5BC43D154D}"/>
    <cellStyle name="Separador de milhares 2 2 3 5" xfId="103" xr:uid="{00000000-0005-0000-0000-00000E000000}"/>
    <cellStyle name="Separador de milhares 2 2 3 5 2" xfId="654" xr:uid="{4FBDF732-A24B-4A1F-8A24-22936956A4D7}"/>
    <cellStyle name="Separador de milhares 2 2 3 5 3" xfId="1205" xr:uid="{1F28BB00-19D0-40C3-8B45-6212574D77E0}"/>
    <cellStyle name="Separador de milhares 2 2 3 6" xfId="182" xr:uid="{00000000-0005-0000-0000-00000E000000}"/>
    <cellStyle name="Separador de milhares 2 2 3 6 2" xfId="733" xr:uid="{64E1C478-6309-4EBC-ACAC-750FEADDCAF0}"/>
    <cellStyle name="Separador de milhares 2 2 3 6 3" xfId="1284" xr:uid="{009ECAD0-408B-4225-81B4-A21542A62AE2}"/>
    <cellStyle name="Separador de milhares 2 2 3 7" xfId="261" xr:uid="{00000000-0005-0000-0000-00000E000000}"/>
    <cellStyle name="Separador de milhares 2 2 3 7 2" xfId="812" xr:uid="{833A86B9-972F-4575-B19E-CDF583FCF5EB}"/>
    <cellStyle name="Separador de milhares 2 2 3 7 3" xfId="1363" xr:uid="{7284A6E8-4C5B-4078-A189-BF46B7806967}"/>
    <cellStyle name="Separador de milhares 2 2 3 8" xfId="340" xr:uid="{00000000-0005-0000-0000-00000E000000}"/>
    <cellStyle name="Separador de milhares 2 2 3 8 2" xfId="891" xr:uid="{5A5D8A30-A657-4B08-9604-ADACF45CC7F5}"/>
    <cellStyle name="Separador de milhares 2 2 3 8 3" xfId="1441" xr:uid="{4FEE0FEF-FE92-4C2E-B9D9-B0CBCD230273}"/>
    <cellStyle name="Separador de milhares 2 2 3 9" xfId="419" xr:uid="{00000000-0005-0000-0000-00000E000000}"/>
    <cellStyle name="Separador de milhares 2 2 3 9 2" xfId="970" xr:uid="{9DE4F197-B8ED-42F6-BD0E-D03FD046A757}"/>
    <cellStyle name="Separador de milhares 2 2 3 9 3" xfId="1520" xr:uid="{D83CC067-0034-41F9-B639-6E142ADBD97B}"/>
    <cellStyle name="Separador de milhares 2 2 4" xfId="16" xr:uid="{00000000-0005-0000-0000-00000F000000}"/>
    <cellStyle name="Separador de milhares 2 2 4 10" xfId="490" xr:uid="{00000000-0005-0000-0000-00000F000000}"/>
    <cellStyle name="Separador de milhares 2 2 4 10 2" xfId="1041" xr:uid="{E45A1AEB-88A4-4CA1-9546-AA2667E41254}"/>
    <cellStyle name="Separador de milhares 2 2 4 10 3" xfId="1591" xr:uid="{34D39F1F-F90E-43C8-9272-821BD05FB062}"/>
    <cellStyle name="Separador de milhares 2 2 4 11" xfId="569" xr:uid="{3F40EA5A-4938-421C-984F-7E883C58D25F}"/>
    <cellStyle name="Separador de milhares 2 2 4 12" xfId="1120" xr:uid="{F2B3F453-0BA9-49C6-857F-1393BEB73E9A}"/>
    <cellStyle name="Separador de milhares 2 2 4 2" xfId="33" xr:uid="{00000000-0005-0000-0000-00000F000000}"/>
    <cellStyle name="Separador de milhares 2 2 4 2 10" xfId="1136" xr:uid="{778C831D-446D-48F7-8073-CE92FBE62875}"/>
    <cellStyle name="Separador de milhares 2 2 4 2 2" xfId="65" xr:uid="{00000000-0005-0000-0000-000019000000}"/>
    <cellStyle name="Separador de milhares 2 2 4 2 2 2" xfId="144" xr:uid="{00000000-0005-0000-0000-000019000000}"/>
    <cellStyle name="Separador de milhares 2 2 4 2 2 2 2" xfId="695" xr:uid="{2E5687A5-FD9B-47AE-8040-ED88AC438198}"/>
    <cellStyle name="Separador de milhares 2 2 4 2 2 2 3" xfId="1246" xr:uid="{DF8469BD-0469-4406-B5E2-BDF36B02DA2D}"/>
    <cellStyle name="Separador de milhares 2 2 4 2 2 3" xfId="223" xr:uid="{00000000-0005-0000-0000-000019000000}"/>
    <cellStyle name="Separador de milhares 2 2 4 2 2 3 2" xfId="774" xr:uid="{9FFA8A5C-5B0B-49FE-846F-D2A92C036024}"/>
    <cellStyle name="Separador de milhares 2 2 4 2 2 3 3" xfId="1325" xr:uid="{7883B78D-BB1B-42DA-BC47-3CA67B3BAFBA}"/>
    <cellStyle name="Separador de milhares 2 2 4 2 2 4" xfId="303" xr:uid="{00000000-0005-0000-0000-000019000000}"/>
    <cellStyle name="Separador de milhares 2 2 4 2 2 4 2" xfId="854" xr:uid="{AD619A6D-0A51-442E-A47D-00079D3BF282}"/>
    <cellStyle name="Separador de milhares 2 2 4 2 2 4 3" xfId="1404" xr:uid="{3F39344D-FE7F-4810-8E5B-C3AF7782182C}"/>
    <cellStyle name="Separador de milhares 2 2 4 2 2 5" xfId="381" xr:uid="{00000000-0005-0000-0000-000019000000}"/>
    <cellStyle name="Separador de milhares 2 2 4 2 2 5 2" xfId="932" xr:uid="{CCDD07AA-FD6F-4D6F-B62F-E647EEA0DF5E}"/>
    <cellStyle name="Separador de milhares 2 2 4 2 2 5 3" xfId="1482" xr:uid="{014DF332-C601-476C-8EF1-1DD268CD2461}"/>
    <cellStyle name="Separador de milhares 2 2 4 2 2 6" xfId="460" xr:uid="{00000000-0005-0000-0000-000019000000}"/>
    <cellStyle name="Separador de milhares 2 2 4 2 2 6 2" xfId="1011" xr:uid="{7731F8BB-6F5F-4114-B8D7-890BC60071A7}"/>
    <cellStyle name="Separador de milhares 2 2 4 2 2 6 3" xfId="1561" xr:uid="{DE7F4941-5948-40B2-8A83-64A8D47AE0A8}"/>
    <cellStyle name="Separador de milhares 2 2 4 2 2 7" xfId="538" xr:uid="{00000000-0005-0000-0000-000019000000}"/>
    <cellStyle name="Separador de milhares 2 2 4 2 2 7 2" xfId="1089" xr:uid="{E582BFB6-8780-486A-9069-061DAAC14D04}"/>
    <cellStyle name="Separador de milhares 2 2 4 2 2 7 3" xfId="1639" xr:uid="{8BDBABBE-797C-470C-B625-8B41BFE00140}"/>
    <cellStyle name="Separador de milhares 2 2 4 2 2 8" xfId="617" xr:uid="{AB6B3EB7-93B1-4892-833F-96BC2B2FC3AD}"/>
    <cellStyle name="Separador de milhares 2 2 4 2 2 9" xfId="1168" xr:uid="{E764D725-6A69-4810-A591-1AAFB6C09FFC}"/>
    <cellStyle name="Separador de milhares 2 2 4 2 3" xfId="112" xr:uid="{00000000-0005-0000-0000-00000F000000}"/>
    <cellStyle name="Separador de milhares 2 2 4 2 3 2" xfId="663" xr:uid="{E2EF41AB-F819-4AC2-9DC6-D80A96D26117}"/>
    <cellStyle name="Separador de milhares 2 2 4 2 3 3" xfId="1214" xr:uid="{B9DD1E74-6838-4B4E-A34D-1911B1368D37}"/>
    <cellStyle name="Separador de milhares 2 2 4 2 4" xfId="191" xr:uid="{00000000-0005-0000-0000-00000F000000}"/>
    <cellStyle name="Separador de milhares 2 2 4 2 4 2" xfId="742" xr:uid="{87CAFE65-8D56-4621-8E87-30E652825128}"/>
    <cellStyle name="Separador de milhares 2 2 4 2 4 3" xfId="1293" xr:uid="{09B60EA6-612D-489A-A10F-F8B8E4FAAC8E}"/>
    <cellStyle name="Separador de milhares 2 2 4 2 5" xfId="271" xr:uid="{00000000-0005-0000-0000-00000F000000}"/>
    <cellStyle name="Separador de milhares 2 2 4 2 5 2" xfId="822" xr:uid="{BA0C4D88-8DD2-4FC2-AC9E-83752687258F}"/>
    <cellStyle name="Separador de milhares 2 2 4 2 5 3" xfId="1372" xr:uid="{CA072301-BFA7-4EE8-9A9E-89EFC2AA2352}"/>
    <cellStyle name="Separador de milhares 2 2 4 2 6" xfId="349" xr:uid="{00000000-0005-0000-0000-00000F000000}"/>
    <cellStyle name="Separador de milhares 2 2 4 2 6 2" xfId="900" xr:uid="{2FCD306B-88F4-475D-B8A1-3E87B983ACB7}"/>
    <cellStyle name="Separador de milhares 2 2 4 2 6 3" xfId="1450" xr:uid="{2386C83A-A840-4CE3-BCD6-8DAED2CA9E71}"/>
    <cellStyle name="Separador de milhares 2 2 4 2 7" xfId="428" xr:uid="{00000000-0005-0000-0000-00000F000000}"/>
    <cellStyle name="Separador de milhares 2 2 4 2 7 2" xfId="979" xr:uid="{EF0F74D6-011D-4E03-BC90-70F72B902013}"/>
    <cellStyle name="Separador de milhares 2 2 4 2 7 3" xfId="1529" xr:uid="{568C1AD4-E21B-4B33-A177-5B321B0AE819}"/>
    <cellStyle name="Separador de milhares 2 2 4 2 8" xfId="506" xr:uid="{00000000-0005-0000-0000-00000F000000}"/>
    <cellStyle name="Separador de milhares 2 2 4 2 8 2" xfId="1057" xr:uid="{CF87EB61-1268-41BD-976F-3DF631FDEF20}"/>
    <cellStyle name="Separador de milhares 2 2 4 2 8 3" xfId="1607" xr:uid="{CFAF3728-BB6A-4A46-8B68-905115E6175F}"/>
    <cellStyle name="Separador de milhares 2 2 4 2 9" xfId="585" xr:uid="{1B74A66F-4BF1-4AA6-8ABE-93A4BE742225}"/>
    <cellStyle name="Separador de milhares 2 2 4 3" xfId="49" xr:uid="{00000000-0005-0000-0000-00000F000000}"/>
    <cellStyle name="Separador de milhares 2 2 4 3 2" xfId="128" xr:uid="{00000000-0005-0000-0000-00000F000000}"/>
    <cellStyle name="Separador de milhares 2 2 4 3 2 2" xfId="679" xr:uid="{256F859A-D0AC-4743-A968-9C7321D9ECD6}"/>
    <cellStyle name="Separador de milhares 2 2 4 3 2 3" xfId="1230" xr:uid="{06BE54FC-2482-4F66-B781-2176DCFDEE62}"/>
    <cellStyle name="Separador de milhares 2 2 4 3 3" xfId="207" xr:uid="{00000000-0005-0000-0000-00000F000000}"/>
    <cellStyle name="Separador de milhares 2 2 4 3 3 2" xfId="758" xr:uid="{690DD8EE-5E59-4064-A360-11EE8491809C}"/>
    <cellStyle name="Separador de milhares 2 2 4 3 3 3" xfId="1309" xr:uid="{F57E790A-11C8-4308-B278-7D38E6D4BB5E}"/>
    <cellStyle name="Separador de milhares 2 2 4 3 4" xfId="287" xr:uid="{00000000-0005-0000-0000-00000F000000}"/>
    <cellStyle name="Separador de milhares 2 2 4 3 4 2" xfId="838" xr:uid="{560DE28B-E478-4639-9E17-6F9FF2820FF9}"/>
    <cellStyle name="Separador de milhares 2 2 4 3 4 3" xfId="1388" xr:uid="{CE0BFD3B-A774-48AC-B998-86A2282EAD71}"/>
    <cellStyle name="Separador de milhares 2 2 4 3 5" xfId="365" xr:uid="{00000000-0005-0000-0000-00000F000000}"/>
    <cellStyle name="Separador de milhares 2 2 4 3 5 2" xfId="916" xr:uid="{F0669140-C8E5-4022-8A40-C147341BF8F3}"/>
    <cellStyle name="Separador de milhares 2 2 4 3 5 3" xfId="1466" xr:uid="{55D524BF-FEAD-4BE9-9BCA-0B0086F52662}"/>
    <cellStyle name="Separador de milhares 2 2 4 3 6" xfId="444" xr:uid="{00000000-0005-0000-0000-00000F000000}"/>
    <cellStyle name="Separador de milhares 2 2 4 3 6 2" xfId="995" xr:uid="{6359E9BA-7206-4A3D-8A1D-2C25C4C512FF}"/>
    <cellStyle name="Separador de milhares 2 2 4 3 6 3" xfId="1545" xr:uid="{C2BCB8B8-22BB-46B0-88B5-51E645C39767}"/>
    <cellStyle name="Separador de milhares 2 2 4 3 7" xfId="522" xr:uid="{00000000-0005-0000-0000-00000F000000}"/>
    <cellStyle name="Separador de milhares 2 2 4 3 7 2" xfId="1073" xr:uid="{65365694-0EAA-4303-9C0A-BC647A195E6A}"/>
    <cellStyle name="Separador de milhares 2 2 4 3 7 3" xfId="1623" xr:uid="{9D2AA062-7CE6-42A9-9935-26EEE9EB9667}"/>
    <cellStyle name="Separador de milhares 2 2 4 3 8" xfId="601" xr:uid="{B71B4D30-ED19-45DB-A096-75BD032E6681}"/>
    <cellStyle name="Separador de milhares 2 2 4 3 9" xfId="1152" xr:uid="{004B4FD2-B97B-4AEB-AF91-818F2AEFDA84}"/>
    <cellStyle name="Separador de milhares 2 2 4 4" xfId="80" xr:uid="{00000000-0005-0000-0000-00000E000000}"/>
    <cellStyle name="Separador de milhares 2 2 4 4 2" xfId="159" xr:uid="{00000000-0005-0000-0000-00000E000000}"/>
    <cellStyle name="Separador de milhares 2 2 4 4 2 2" xfId="710" xr:uid="{DCB2B7B2-D2DC-42CD-BBDC-CF5B2A073D89}"/>
    <cellStyle name="Separador de milhares 2 2 4 4 2 3" xfId="1261" xr:uid="{D6BE2965-F1B9-480E-819C-A15644F2D436}"/>
    <cellStyle name="Separador de milhares 2 2 4 4 3" xfId="238" xr:uid="{00000000-0005-0000-0000-00000E000000}"/>
    <cellStyle name="Separador de milhares 2 2 4 4 3 2" xfId="789" xr:uid="{2D6558D8-54F7-4CE1-A1FC-844B379204C7}"/>
    <cellStyle name="Separador de milhares 2 2 4 4 3 3" xfId="1340" xr:uid="{7102A871-042D-4B33-A1EC-370026954042}"/>
    <cellStyle name="Separador de milhares 2 2 4 4 4" xfId="318" xr:uid="{00000000-0005-0000-0000-00000E000000}"/>
    <cellStyle name="Separador de milhares 2 2 4 4 4 2" xfId="869" xr:uid="{88EA0E07-960D-41ED-AA74-FFC1034D4E8C}"/>
    <cellStyle name="Separador de milhares 2 2 4 4 4 3" xfId="1419" xr:uid="{996E3EA3-44C5-46A3-B88C-293E898BD1AC}"/>
    <cellStyle name="Separador de milhares 2 2 4 4 5" xfId="396" xr:uid="{00000000-0005-0000-0000-00000E000000}"/>
    <cellStyle name="Separador de milhares 2 2 4 4 5 2" xfId="947" xr:uid="{0CF6E4E1-E985-4B94-A173-6594B18B17E9}"/>
    <cellStyle name="Separador de milhares 2 2 4 4 5 3" xfId="1497" xr:uid="{B9C3AF23-7B49-41DA-AD74-EAB8F6F89673}"/>
    <cellStyle name="Separador de milhares 2 2 4 4 6" xfId="475" xr:uid="{00000000-0005-0000-0000-00000E000000}"/>
    <cellStyle name="Separador de milhares 2 2 4 4 6 2" xfId="1026" xr:uid="{396E04B5-DB09-4559-8EAE-721D57A4BC7B}"/>
    <cellStyle name="Separador de milhares 2 2 4 4 6 3" xfId="1576" xr:uid="{1D7FE201-4458-48E5-88DA-F4E42CB2DB75}"/>
    <cellStyle name="Separador de milhares 2 2 4 4 7" xfId="553" xr:uid="{00000000-0005-0000-0000-00000E000000}"/>
    <cellStyle name="Separador de milhares 2 2 4 4 7 2" xfId="1104" xr:uid="{13C47223-F882-4199-9DFC-ABFF79083470}"/>
    <cellStyle name="Separador de milhares 2 2 4 4 7 3" xfId="1654" xr:uid="{0B55E319-CDC8-45E6-9E01-429735ACADBD}"/>
    <cellStyle name="Separador de milhares 2 2 4 4 8" xfId="632" xr:uid="{CC83E1DA-FA2F-479E-8546-DBAF516EB40C}"/>
    <cellStyle name="Separador de milhares 2 2 4 4 9" xfId="1183" xr:uid="{6528AE26-FBD1-436C-8ED8-E5B170E7FCB4}"/>
    <cellStyle name="Separador de milhares 2 2 4 5" xfId="96" xr:uid="{00000000-0005-0000-0000-00000F000000}"/>
    <cellStyle name="Separador de milhares 2 2 4 5 2" xfId="647" xr:uid="{0CF09603-EF96-4338-B56D-49AA54730D0B}"/>
    <cellStyle name="Separador de milhares 2 2 4 5 3" xfId="1198" xr:uid="{09B70D57-5F13-4B12-A1F5-4706913CB905}"/>
    <cellStyle name="Separador de milhares 2 2 4 6" xfId="175" xr:uid="{00000000-0005-0000-0000-00000F000000}"/>
    <cellStyle name="Separador de milhares 2 2 4 6 2" xfId="726" xr:uid="{FA4BE6B7-F734-4C00-9124-69C4D7D91341}"/>
    <cellStyle name="Separador de milhares 2 2 4 6 3" xfId="1277" xr:uid="{5B158AA4-1620-4DD9-B34C-58B4134787D4}"/>
    <cellStyle name="Separador de milhares 2 2 4 7" xfId="254" xr:uid="{00000000-0005-0000-0000-00000F000000}"/>
    <cellStyle name="Separador de milhares 2 2 4 7 2" xfId="805" xr:uid="{755EA848-0565-4DBE-AD86-747D04EA0F8F}"/>
    <cellStyle name="Separador de milhares 2 2 4 7 3" xfId="1356" xr:uid="{82C257E9-6BF1-493A-BAEE-D33268F43395}"/>
    <cellStyle name="Separador de milhares 2 2 4 8" xfId="333" xr:uid="{00000000-0005-0000-0000-00000F000000}"/>
    <cellStyle name="Separador de milhares 2 2 4 8 2" xfId="884" xr:uid="{510AAE05-EBD8-4DB2-BF7E-7B6CCAA6A611}"/>
    <cellStyle name="Separador de milhares 2 2 4 8 3" xfId="1434" xr:uid="{17662699-9F76-4E2F-9E62-E3B1BF81E99C}"/>
    <cellStyle name="Separador de milhares 2 2 4 9" xfId="412" xr:uid="{00000000-0005-0000-0000-00000F000000}"/>
    <cellStyle name="Separador de milhares 2 2 4 9 2" xfId="963" xr:uid="{D4E75598-797A-4322-BB31-9F34CFEB69C3}"/>
    <cellStyle name="Separador de milhares 2 2 4 9 3" xfId="1513" xr:uid="{5D90AAAB-BCB8-4CD6-B06F-8A0B7830669A}"/>
    <cellStyle name="Separador de milhares 2 2 5" xfId="26" xr:uid="{00000000-0005-0000-0000-00000B000000}"/>
    <cellStyle name="Separador de milhares 2 2 5 10" xfId="1129" xr:uid="{086D4CD6-26E5-440E-9EF4-3CC0B99F19DB}"/>
    <cellStyle name="Separador de milhares 2 2 5 2" xfId="58" xr:uid="{00000000-0005-0000-0000-00001A000000}"/>
    <cellStyle name="Separador de milhares 2 2 5 2 2" xfId="137" xr:uid="{00000000-0005-0000-0000-00001A000000}"/>
    <cellStyle name="Separador de milhares 2 2 5 2 2 2" xfId="688" xr:uid="{278C9720-76C2-44C9-9C8F-3FB62A8222B6}"/>
    <cellStyle name="Separador de milhares 2 2 5 2 2 3" xfId="1239" xr:uid="{2F5F121B-DFDD-443A-A7B8-FA4342C33FDA}"/>
    <cellStyle name="Separador de milhares 2 2 5 2 3" xfId="216" xr:uid="{00000000-0005-0000-0000-00001A000000}"/>
    <cellStyle name="Separador de milhares 2 2 5 2 3 2" xfId="767" xr:uid="{9D7A9C35-E34A-47B9-BF88-AC780F25B036}"/>
    <cellStyle name="Separador de milhares 2 2 5 2 3 3" xfId="1318" xr:uid="{C4D15146-88C5-46EB-B3FF-88F59A0D4C43}"/>
    <cellStyle name="Separador de milhares 2 2 5 2 4" xfId="296" xr:uid="{00000000-0005-0000-0000-00001A000000}"/>
    <cellStyle name="Separador de milhares 2 2 5 2 4 2" xfId="847" xr:uid="{06D47955-56D7-41DC-845A-0A915FE33CBB}"/>
    <cellStyle name="Separador de milhares 2 2 5 2 4 3" xfId="1397" xr:uid="{5D86DA7D-5F9D-4D33-9B5B-03DABFAAC757}"/>
    <cellStyle name="Separador de milhares 2 2 5 2 5" xfId="374" xr:uid="{00000000-0005-0000-0000-00001A000000}"/>
    <cellStyle name="Separador de milhares 2 2 5 2 5 2" xfId="925" xr:uid="{5C2019C1-117B-448D-88BD-4A1736101220}"/>
    <cellStyle name="Separador de milhares 2 2 5 2 5 3" xfId="1475" xr:uid="{64C29CF9-54C4-4D98-A4AA-4A4EFBC82899}"/>
    <cellStyle name="Separador de milhares 2 2 5 2 6" xfId="453" xr:uid="{00000000-0005-0000-0000-00001A000000}"/>
    <cellStyle name="Separador de milhares 2 2 5 2 6 2" xfId="1004" xr:uid="{4FD5EA84-859E-4CBB-9C7E-3B125ED6D3A4}"/>
    <cellStyle name="Separador de milhares 2 2 5 2 6 3" xfId="1554" xr:uid="{90642B16-ECDB-4A4B-B686-2F457F944791}"/>
    <cellStyle name="Separador de milhares 2 2 5 2 7" xfId="531" xr:uid="{00000000-0005-0000-0000-00001A000000}"/>
    <cellStyle name="Separador de milhares 2 2 5 2 7 2" xfId="1082" xr:uid="{EF5DC415-A64E-46E5-AE0D-4E50BDBF128B}"/>
    <cellStyle name="Separador de milhares 2 2 5 2 7 3" xfId="1632" xr:uid="{2B37328B-F3BE-4E21-AF16-2B1D9DDE2122}"/>
    <cellStyle name="Separador de milhares 2 2 5 2 8" xfId="610" xr:uid="{147E7D0E-AA6B-4DEF-8787-6EE7E53CFD2E}"/>
    <cellStyle name="Separador de milhares 2 2 5 2 9" xfId="1161" xr:uid="{B800F806-EA55-4E2A-B608-94590B394193}"/>
    <cellStyle name="Separador de milhares 2 2 5 3" xfId="105" xr:uid="{00000000-0005-0000-0000-00000B000000}"/>
    <cellStyle name="Separador de milhares 2 2 5 3 2" xfId="656" xr:uid="{0EC30232-2D1B-428E-A2F3-44A470770D0B}"/>
    <cellStyle name="Separador de milhares 2 2 5 3 3" xfId="1207" xr:uid="{FF32F4AF-8417-411F-AF9A-C3942C32F2F9}"/>
    <cellStyle name="Separador de milhares 2 2 5 4" xfId="184" xr:uid="{00000000-0005-0000-0000-00000B000000}"/>
    <cellStyle name="Separador de milhares 2 2 5 4 2" xfId="735" xr:uid="{F559524E-FB0A-4A56-8D6C-9EC0E288F7A6}"/>
    <cellStyle name="Separador de milhares 2 2 5 4 3" xfId="1286" xr:uid="{9F6B1114-F239-46B4-9129-12D9B61CEAD6}"/>
    <cellStyle name="Separador de milhares 2 2 5 5" xfId="264" xr:uid="{00000000-0005-0000-0000-00000B000000}"/>
    <cellStyle name="Separador de milhares 2 2 5 5 2" xfId="815" xr:uid="{36F8C704-3F45-4FED-A781-E44B060DA21E}"/>
    <cellStyle name="Separador de milhares 2 2 5 5 3" xfId="1365" xr:uid="{2864CB96-9857-4BE0-89A1-67BFE04053BC}"/>
    <cellStyle name="Separador de milhares 2 2 5 6" xfId="342" xr:uid="{00000000-0005-0000-0000-00000B000000}"/>
    <cellStyle name="Separador de milhares 2 2 5 6 2" xfId="893" xr:uid="{2E9E6038-96FA-44A1-BF24-DFC22595538B}"/>
    <cellStyle name="Separador de milhares 2 2 5 6 3" xfId="1443" xr:uid="{32F079D7-5FEF-458E-9F7A-2EB24FF1F96A}"/>
    <cellStyle name="Separador de milhares 2 2 5 7" xfId="421" xr:uid="{00000000-0005-0000-0000-00000B000000}"/>
    <cellStyle name="Separador de milhares 2 2 5 7 2" xfId="972" xr:uid="{7656644E-807D-4B3D-8298-76AAAECEF8C9}"/>
    <cellStyle name="Separador de milhares 2 2 5 7 3" xfId="1522" xr:uid="{79565F98-353C-45E6-957F-8E468103C8A2}"/>
    <cellStyle name="Separador de milhares 2 2 5 8" xfId="499" xr:uid="{00000000-0005-0000-0000-00000B000000}"/>
    <cellStyle name="Separador de milhares 2 2 5 8 2" xfId="1050" xr:uid="{6D47852B-889B-4B95-A09A-2F84F5F23245}"/>
    <cellStyle name="Separador de milhares 2 2 5 8 3" xfId="1600" xr:uid="{A3B34424-8374-4BE7-8CD1-C828B560F6A8}"/>
    <cellStyle name="Separador de milhares 2 2 5 9" xfId="578" xr:uid="{E68CAF10-E46B-49A9-957F-1A3DF9418328}"/>
    <cellStyle name="Separador de milhares 2 2 6" xfId="42" xr:uid="{00000000-0005-0000-0000-00000B000000}"/>
    <cellStyle name="Separador de milhares 2 2 6 2" xfId="121" xr:uid="{00000000-0005-0000-0000-00000B000000}"/>
    <cellStyle name="Separador de milhares 2 2 6 2 2" xfId="672" xr:uid="{20BA6ACF-CCD7-4D9C-8B1A-CF65B94EAD9A}"/>
    <cellStyle name="Separador de milhares 2 2 6 2 3" xfId="1223" xr:uid="{64848B75-C658-4FF9-A792-0D19DC3AC272}"/>
    <cellStyle name="Separador de milhares 2 2 6 3" xfId="200" xr:uid="{00000000-0005-0000-0000-00000B000000}"/>
    <cellStyle name="Separador de milhares 2 2 6 3 2" xfId="751" xr:uid="{79F9381E-5490-4003-B000-E43523F41802}"/>
    <cellStyle name="Separador de milhares 2 2 6 3 3" xfId="1302" xr:uid="{8BED1BE4-957A-41C9-90D1-D2D7430E6DAC}"/>
    <cellStyle name="Separador de milhares 2 2 6 4" xfId="280" xr:uid="{00000000-0005-0000-0000-00000B000000}"/>
    <cellStyle name="Separador de milhares 2 2 6 4 2" xfId="831" xr:uid="{75DCC2ED-FFC1-40B5-81C7-54ADCC3B361B}"/>
    <cellStyle name="Separador de milhares 2 2 6 4 3" xfId="1381" xr:uid="{A9D3DCB1-2F55-4A8F-993C-8D6A55B41146}"/>
    <cellStyle name="Separador de milhares 2 2 6 5" xfId="358" xr:uid="{00000000-0005-0000-0000-00000B000000}"/>
    <cellStyle name="Separador de milhares 2 2 6 5 2" xfId="909" xr:uid="{920F56BD-B9C4-425C-BB6C-0A76E1560B1E}"/>
    <cellStyle name="Separador de milhares 2 2 6 5 3" xfId="1459" xr:uid="{0F57FCA6-3AE5-46EC-9905-6A37FDD3AC16}"/>
    <cellStyle name="Separador de milhares 2 2 6 6" xfId="437" xr:uid="{00000000-0005-0000-0000-00000B000000}"/>
    <cellStyle name="Separador de milhares 2 2 6 6 2" xfId="988" xr:uid="{AC0776C7-12E3-4158-B73C-968D2D173C51}"/>
    <cellStyle name="Separador de milhares 2 2 6 6 3" xfId="1538" xr:uid="{DD1A0366-2E66-49DD-A420-44EE04872287}"/>
    <cellStyle name="Separador de milhares 2 2 6 7" xfId="515" xr:uid="{00000000-0005-0000-0000-00000B000000}"/>
    <cellStyle name="Separador de milhares 2 2 6 7 2" xfId="1066" xr:uid="{DF2A5C19-6D65-4BEC-B5C6-EB7EA7284A1C}"/>
    <cellStyle name="Separador de milhares 2 2 6 7 3" xfId="1616" xr:uid="{CD05EEFE-5FA3-4522-833A-1ADAA58C7D09}"/>
    <cellStyle name="Separador de milhares 2 2 6 8" xfId="594" xr:uid="{20E23A67-8AA8-4DE1-B1FC-ABD047D18352}"/>
    <cellStyle name="Separador de milhares 2 2 6 9" xfId="1145" xr:uid="{2758E075-1037-4376-AB4F-DFE0DA7ED334}"/>
    <cellStyle name="Separador de milhares 2 2 7" xfId="74" xr:uid="{00000000-0005-0000-0000-00000A000000}"/>
    <cellStyle name="Separador de milhares 2 2 7 2" xfId="153" xr:uid="{00000000-0005-0000-0000-00000A000000}"/>
    <cellStyle name="Separador de milhares 2 2 7 2 2" xfId="704" xr:uid="{9D11FDCF-B5A7-4459-BE0D-0DF5B70C8BFC}"/>
    <cellStyle name="Separador de milhares 2 2 7 2 3" xfId="1255" xr:uid="{D06BA18E-65CC-47B4-9065-6685FEC7BBC9}"/>
    <cellStyle name="Separador de milhares 2 2 7 3" xfId="232" xr:uid="{00000000-0005-0000-0000-00000A000000}"/>
    <cellStyle name="Separador de milhares 2 2 7 3 2" xfId="783" xr:uid="{8713C0A2-D4B8-4E3D-B835-3CECFED1CD9C}"/>
    <cellStyle name="Separador de milhares 2 2 7 3 3" xfId="1334" xr:uid="{0F45B9EA-E95B-4B6A-93AA-969F403A300C}"/>
    <cellStyle name="Separador de milhares 2 2 7 4" xfId="312" xr:uid="{00000000-0005-0000-0000-00000A000000}"/>
    <cellStyle name="Separador de milhares 2 2 7 4 2" xfId="863" xr:uid="{9FCC3EA3-ED65-4710-96B6-724FC23DBB37}"/>
    <cellStyle name="Separador de milhares 2 2 7 4 3" xfId="1413" xr:uid="{4DD21EE3-0642-4A32-B281-9F073AF07DD2}"/>
    <cellStyle name="Separador de milhares 2 2 7 5" xfId="390" xr:uid="{00000000-0005-0000-0000-00000A000000}"/>
    <cellStyle name="Separador de milhares 2 2 7 5 2" xfId="941" xr:uid="{B1CAF49B-DB21-49FD-8D76-6A25D12D69AB}"/>
    <cellStyle name="Separador de milhares 2 2 7 5 3" xfId="1491" xr:uid="{07353728-627E-40FF-973B-347E593EC887}"/>
    <cellStyle name="Separador de milhares 2 2 7 6" xfId="469" xr:uid="{00000000-0005-0000-0000-00000A000000}"/>
    <cellStyle name="Separador de milhares 2 2 7 6 2" xfId="1020" xr:uid="{D030EC41-A140-4160-AB05-E53D05512378}"/>
    <cellStyle name="Separador de milhares 2 2 7 6 3" xfId="1570" xr:uid="{06FA0997-2601-4ED2-AAF3-22574B7C0923}"/>
    <cellStyle name="Separador de milhares 2 2 7 7" xfId="547" xr:uid="{00000000-0005-0000-0000-00000A000000}"/>
    <cellStyle name="Separador de milhares 2 2 7 7 2" xfId="1098" xr:uid="{2230E0AD-C385-4870-9CCC-F878C9BE87E5}"/>
    <cellStyle name="Separador de milhares 2 2 7 7 3" xfId="1648" xr:uid="{983262C9-D838-4B4F-9E31-5E3B10D0A34A}"/>
    <cellStyle name="Separador de milhares 2 2 7 8" xfId="626" xr:uid="{F1BA861E-E7F2-4FBB-9B65-33C8A7886B19}"/>
    <cellStyle name="Separador de milhares 2 2 7 9" xfId="1177" xr:uid="{F35679B4-F51E-4EA7-8897-C8FF35B48D61}"/>
    <cellStyle name="Separador de milhares 2 2 8" xfId="90" xr:uid="{00000000-0005-0000-0000-00000B000000}"/>
    <cellStyle name="Separador de milhares 2 2 8 2" xfId="641" xr:uid="{B7271B19-AC9C-4E72-80FA-07B82A65CB80}"/>
    <cellStyle name="Separador de milhares 2 2 8 3" xfId="1192" xr:uid="{D539C99F-C34E-4F0D-AADF-048B7D1C9C08}"/>
    <cellStyle name="Separador de milhares 2 2 9" xfId="168" xr:uid="{00000000-0005-0000-0000-00000B000000}"/>
    <cellStyle name="Separador de milhares 2 2 9 2" xfId="719" xr:uid="{E832C7C0-B736-44D3-8FE4-F0FF9A844D65}"/>
    <cellStyle name="Separador de milhares 2 2 9 3" xfId="1270" xr:uid="{84116C21-6AAD-4CC4-9F65-637FE59750EA}"/>
    <cellStyle name="Separador de milhares 2 3" xfId="6" xr:uid="{00000000-0005-0000-0000-000010000000}"/>
    <cellStyle name="Separador de milhares 2 3 10" xfId="246" xr:uid="{00000000-0005-0000-0000-000010000000}"/>
    <cellStyle name="Separador de milhares 2 3 10 2" xfId="797" xr:uid="{5E519B63-3314-49ED-BC3D-B23A89F9C3A1}"/>
    <cellStyle name="Separador de milhares 2 3 10 3" xfId="1348" xr:uid="{CF18C488-723B-4FA7-9D9A-88706AFF129E}"/>
    <cellStyle name="Separador de milhares 2 3 11" xfId="326" xr:uid="{00000000-0005-0000-0000-000010000000}"/>
    <cellStyle name="Separador de milhares 2 3 11 2" xfId="877" xr:uid="{006A98D5-E40F-41DE-BA31-C8FBCC1A26BC}"/>
    <cellStyle name="Separador de milhares 2 3 11 3" xfId="1427" xr:uid="{2E13FD8F-D4EB-46FB-B768-FC4DD036F4FF}"/>
    <cellStyle name="Separador de milhares 2 3 12" xfId="404" xr:uid="{00000000-0005-0000-0000-000010000000}"/>
    <cellStyle name="Separador de milhares 2 3 12 2" xfId="955" xr:uid="{0A068C21-713C-4CC3-A2B7-0FE7F17D2176}"/>
    <cellStyle name="Separador de milhares 2 3 12 3" xfId="1505" xr:uid="{224A99E6-AC52-41B6-93B1-C20D973AA225}"/>
    <cellStyle name="Separador de milhares 2 3 13" xfId="483" xr:uid="{00000000-0005-0000-0000-000010000000}"/>
    <cellStyle name="Separador de milhares 2 3 13 2" xfId="1034" xr:uid="{04649B95-210F-4F2A-8E9E-526E437A08F4}"/>
    <cellStyle name="Separador de milhares 2 3 13 3" xfId="1584" xr:uid="{835EEB80-41C9-43F1-B662-580076BF1813}"/>
    <cellStyle name="Separador de milhares 2 3 14" xfId="561" xr:uid="{D919D0A5-409E-4A28-AFB1-31AF436D3830}"/>
    <cellStyle name="Separador de milhares 2 3 15" xfId="1112" xr:uid="{808FEAF3-5FC1-4F5C-A611-0D42924D19C0}"/>
    <cellStyle name="Separador de milhares 2 3 2" xfId="10" xr:uid="{00000000-0005-0000-0000-000011000000}"/>
    <cellStyle name="Separador de milhares 2 3 2 10" xfId="407" xr:uid="{00000000-0005-0000-0000-000011000000}"/>
    <cellStyle name="Separador de milhares 2 3 2 10 2" xfId="958" xr:uid="{0761A00D-84ED-4FCD-9DC8-768AE09AC549}"/>
    <cellStyle name="Separador de milhares 2 3 2 10 3" xfId="1508" xr:uid="{94B654E7-A5F6-4512-806A-CD07313F9551}"/>
    <cellStyle name="Separador de milhares 2 3 2 11" xfId="486" xr:uid="{00000000-0005-0000-0000-000011000000}"/>
    <cellStyle name="Separador de milhares 2 3 2 11 2" xfId="1037" xr:uid="{AAD3549B-6067-439E-9B73-2FFA7E7441BF}"/>
    <cellStyle name="Separador de milhares 2 3 2 11 3" xfId="1587" xr:uid="{90AC67D5-483A-44D6-B47B-24503E5766F6}"/>
    <cellStyle name="Separador de milhares 2 3 2 12" xfId="564" xr:uid="{F8299E15-FDB6-43B1-A199-2ECA0AC452DE}"/>
    <cellStyle name="Separador de milhares 2 3 2 13" xfId="1115" xr:uid="{A857728F-0C5F-4509-A3FE-C62975FB4323}"/>
    <cellStyle name="Separador de milhares 2 3 2 2" xfId="18" xr:uid="{00000000-0005-0000-0000-000012000000}"/>
    <cellStyle name="Separador de milhares 2 3 2 2 10" xfId="492" xr:uid="{00000000-0005-0000-0000-000012000000}"/>
    <cellStyle name="Separador de milhares 2 3 2 2 10 2" xfId="1043" xr:uid="{8C9A2672-BE4E-4161-81C8-C1EB36251086}"/>
    <cellStyle name="Separador de milhares 2 3 2 2 10 3" xfId="1593" xr:uid="{246707E3-361D-4619-92C0-7736A947B5CB}"/>
    <cellStyle name="Separador de milhares 2 3 2 2 11" xfId="571" xr:uid="{3FC8A8EE-FA2B-4C27-8237-2F951F731ED0}"/>
    <cellStyle name="Separador de milhares 2 3 2 2 12" xfId="1122" xr:uid="{C8489778-287C-420A-9C93-E1F90E002F1C}"/>
    <cellStyle name="Separador de milhares 2 3 2 2 2" xfId="35" xr:uid="{00000000-0005-0000-0000-000012000000}"/>
    <cellStyle name="Separador de milhares 2 3 2 2 2 10" xfId="1138" xr:uid="{E4CB8589-3F78-453A-A41F-82811C39B915}"/>
    <cellStyle name="Separador de milhares 2 3 2 2 2 2" xfId="67" xr:uid="{00000000-0005-0000-0000-00001E000000}"/>
    <cellStyle name="Separador de milhares 2 3 2 2 2 2 2" xfId="146" xr:uid="{00000000-0005-0000-0000-00001E000000}"/>
    <cellStyle name="Separador de milhares 2 3 2 2 2 2 2 2" xfId="697" xr:uid="{3EA12028-8DB7-4FF0-8C15-892B3C7B72D9}"/>
    <cellStyle name="Separador de milhares 2 3 2 2 2 2 2 3" xfId="1248" xr:uid="{B845C424-C000-4745-83FB-C634E94477AC}"/>
    <cellStyle name="Separador de milhares 2 3 2 2 2 2 3" xfId="225" xr:uid="{00000000-0005-0000-0000-00001E000000}"/>
    <cellStyle name="Separador de milhares 2 3 2 2 2 2 3 2" xfId="776" xr:uid="{5502449A-6DB9-42BE-AA94-3CCF87598E46}"/>
    <cellStyle name="Separador de milhares 2 3 2 2 2 2 3 3" xfId="1327" xr:uid="{115DBEF8-7256-460C-805D-94E0EFEC7D02}"/>
    <cellStyle name="Separador de milhares 2 3 2 2 2 2 4" xfId="305" xr:uid="{00000000-0005-0000-0000-00001E000000}"/>
    <cellStyle name="Separador de milhares 2 3 2 2 2 2 4 2" xfId="856" xr:uid="{D388D87D-50D2-48A9-BDED-C525D11C552D}"/>
    <cellStyle name="Separador de milhares 2 3 2 2 2 2 4 3" xfId="1406" xr:uid="{58365334-7117-4322-8934-892A390580A1}"/>
    <cellStyle name="Separador de milhares 2 3 2 2 2 2 5" xfId="383" xr:uid="{00000000-0005-0000-0000-00001E000000}"/>
    <cellStyle name="Separador de milhares 2 3 2 2 2 2 5 2" xfId="934" xr:uid="{B8E3D48B-3651-4065-A4B4-1D9819CFAD43}"/>
    <cellStyle name="Separador de milhares 2 3 2 2 2 2 5 3" xfId="1484" xr:uid="{8F9FFFFC-E00A-4447-A172-E90FE2BA8980}"/>
    <cellStyle name="Separador de milhares 2 3 2 2 2 2 6" xfId="462" xr:uid="{00000000-0005-0000-0000-00001E000000}"/>
    <cellStyle name="Separador de milhares 2 3 2 2 2 2 6 2" xfId="1013" xr:uid="{536DBB33-0253-487B-BE99-8A7A46D0256B}"/>
    <cellStyle name="Separador de milhares 2 3 2 2 2 2 6 3" xfId="1563" xr:uid="{DB62CCBE-2BC6-48EA-B93D-FA430C0A0519}"/>
    <cellStyle name="Separador de milhares 2 3 2 2 2 2 7" xfId="540" xr:uid="{00000000-0005-0000-0000-00001E000000}"/>
    <cellStyle name="Separador de milhares 2 3 2 2 2 2 7 2" xfId="1091" xr:uid="{5B0BE173-53CD-4682-9C6B-F98ACEFBF932}"/>
    <cellStyle name="Separador de milhares 2 3 2 2 2 2 7 3" xfId="1641" xr:uid="{595B2BCC-C7A4-4164-9B50-A95755869A9D}"/>
    <cellStyle name="Separador de milhares 2 3 2 2 2 2 8" xfId="619" xr:uid="{B188A025-3ED1-4107-B4FD-744EABD7902A}"/>
    <cellStyle name="Separador de milhares 2 3 2 2 2 2 9" xfId="1170" xr:uid="{365BD894-BF08-442F-8212-0120672E529C}"/>
    <cellStyle name="Separador de milhares 2 3 2 2 2 3" xfId="114" xr:uid="{00000000-0005-0000-0000-000012000000}"/>
    <cellStyle name="Separador de milhares 2 3 2 2 2 3 2" xfId="665" xr:uid="{2D478EA1-B521-4F35-A32D-4275BDD15C71}"/>
    <cellStyle name="Separador de milhares 2 3 2 2 2 3 3" xfId="1216" xr:uid="{4266F2EB-594F-46F4-B593-A0D27E7AE140}"/>
    <cellStyle name="Separador de milhares 2 3 2 2 2 4" xfId="193" xr:uid="{00000000-0005-0000-0000-000012000000}"/>
    <cellStyle name="Separador de milhares 2 3 2 2 2 4 2" xfId="744" xr:uid="{8359C1C3-31BF-49AD-B5B5-31E6C2A0A975}"/>
    <cellStyle name="Separador de milhares 2 3 2 2 2 4 3" xfId="1295" xr:uid="{1483FC98-5F70-447A-82DE-CB094FB18202}"/>
    <cellStyle name="Separador de milhares 2 3 2 2 2 5" xfId="273" xr:uid="{00000000-0005-0000-0000-000012000000}"/>
    <cellStyle name="Separador de milhares 2 3 2 2 2 5 2" xfId="824" xr:uid="{107E1D69-FC64-403E-A1EE-32471BB611FA}"/>
    <cellStyle name="Separador de milhares 2 3 2 2 2 5 3" xfId="1374" xr:uid="{D6001096-93A4-430C-950B-32436724A9FA}"/>
    <cellStyle name="Separador de milhares 2 3 2 2 2 6" xfId="351" xr:uid="{00000000-0005-0000-0000-000012000000}"/>
    <cellStyle name="Separador de milhares 2 3 2 2 2 6 2" xfId="902" xr:uid="{038312A3-5F36-4A0E-86C2-F9AEEA5AEF14}"/>
    <cellStyle name="Separador de milhares 2 3 2 2 2 6 3" xfId="1452" xr:uid="{8DCB05A4-EDD1-40AD-B2FE-B611A0F76E56}"/>
    <cellStyle name="Separador de milhares 2 3 2 2 2 7" xfId="430" xr:uid="{00000000-0005-0000-0000-000012000000}"/>
    <cellStyle name="Separador de milhares 2 3 2 2 2 7 2" xfId="981" xr:uid="{ABFD945C-6230-4E00-9C26-B02F731408D0}"/>
    <cellStyle name="Separador de milhares 2 3 2 2 2 7 3" xfId="1531" xr:uid="{AB81F613-CF66-4FA9-AF71-B1AED4ACDDE2}"/>
    <cellStyle name="Separador de milhares 2 3 2 2 2 8" xfId="508" xr:uid="{00000000-0005-0000-0000-000012000000}"/>
    <cellStyle name="Separador de milhares 2 3 2 2 2 8 2" xfId="1059" xr:uid="{64E7D44D-45EC-4DF9-83ED-70BE19105612}"/>
    <cellStyle name="Separador de milhares 2 3 2 2 2 8 3" xfId="1609" xr:uid="{1B9FF532-F0D8-4493-B010-5E94E306B4E9}"/>
    <cellStyle name="Separador de milhares 2 3 2 2 2 9" xfId="587" xr:uid="{81D6C8E7-B616-407E-B0B7-7F3BE570A79B}"/>
    <cellStyle name="Separador de milhares 2 3 2 2 3" xfId="51" xr:uid="{00000000-0005-0000-0000-000012000000}"/>
    <cellStyle name="Separador de milhares 2 3 2 2 3 2" xfId="130" xr:uid="{00000000-0005-0000-0000-000012000000}"/>
    <cellStyle name="Separador de milhares 2 3 2 2 3 2 2" xfId="681" xr:uid="{98C96372-40CC-444A-8FC8-154B17D7BE4C}"/>
    <cellStyle name="Separador de milhares 2 3 2 2 3 2 3" xfId="1232" xr:uid="{394D98A3-2634-4CF2-925A-7DF6E23C727E}"/>
    <cellStyle name="Separador de milhares 2 3 2 2 3 3" xfId="209" xr:uid="{00000000-0005-0000-0000-000012000000}"/>
    <cellStyle name="Separador de milhares 2 3 2 2 3 3 2" xfId="760" xr:uid="{C1CCB2BC-3FA4-4CD5-9201-B6E5FDB5D175}"/>
    <cellStyle name="Separador de milhares 2 3 2 2 3 3 3" xfId="1311" xr:uid="{9D664940-5E89-4E68-8CA4-63B10EB5FC84}"/>
    <cellStyle name="Separador de milhares 2 3 2 2 3 4" xfId="289" xr:uid="{00000000-0005-0000-0000-000012000000}"/>
    <cellStyle name="Separador de milhares 2 3 2 2 3 4 2" xfId="840" xr:uid="{9C7C4C3E-73A7-4BCF-8F56-F72088674DA6}"/>
    <cellStyle name="Separador de milhares 2 3 2 2 3 4 3" xfId="1390" xr:uid="{67851D35-8708-4E26-B8AB-8924D4146A81}"/>
    <cellStyle name="Separador de milhares 2 3 2 2 3 5" xfId="367" xr:uid="{00000000-0005-0000-0000-000012000000}"/>
    <cellStyle name="Separador de milhares 2 3 2 2 3 5 2" xfId="918" xr:uid="{094F8B06-2828-4A64-BB6E-5FB7DCA7958B}"/>
    <cellStyle name="Separador de milhares 2 3 2 2 3 5 3" xfId="1468" xr:uid="{164728EA-ADDA-407D-A1E7-3940DB294781}"/>
    <cellStyle name="Separador de milhares 2 3 2 2 3 6" xfId="446" xr:uid="{00000000-0005-0000-0000-000012000000}"/>
    <cellStyle name="Separador de milhares 2 3 2 2 3 6 2" xfId="997" xr:uid="{4687ABFC-7A07-4834-A5CB-0CE7342CE1B0}"/>
    <cellStyle name="Separador de milhares 2 3 2 2 3 6 3" xfId="1547" xr:uid="{7ED9DCF6-36E4-46A1-B6FC-A57CB45974B0}"/>
    <cellStyle name="Separador de milhares 2 3 2 2 3 7" xfId="524" xr:uid="{00000000-0005-0000-0000-000012000000}"/>
    <cellStyle name="Separador de milhares 2 3 2 2 3 7 2" xfId="1075" xr:uid="{EA361413-AF61-4A3F-8978-BEE32B78566A}"/>
    <cellStyle name="Separador de milhares 2 3 2 2 3 7 3" xfId="1625" xr:uid="{824B64A1-934E-4518-9442-D80B7D2471CE}"/>
    <cellStyle name="Separador de milhares 2 3 2 2 3 8" xfId="603" xr:uid="{1D04D030-BF6A-4AC3-971D-84A2D3FE969C}"/>
    <cellStyle name="Separador de milhares 2 3 2 2 3 9" xfId="1154" xr:uid="{DCB7BFE8-15C6-44E2-ABCA-21D2AD5DCEB0}"/>
    <cellStyle name="Separador de milhares 2 3 2 2 4" xfId="82" xr:uid="{00000000-0005-0000-0000-000011000000}"/>
    <cellStyle name="Separador de milhares 2 3 2 2 4 2" xfId="161" xr:uid="{00000000-0005-0000-0000-000011000000}"/>
    <cellStyle name="Separador de milhares 2 3 2 2 4 2 2" xfId="712" xr:uid="{1BCA0112-BDBA-477D-9694-DC376D64861F}"/>
    <cellStyle name="Separador de milhares 2 3 2 2 4 2 3" xfId="1263" xr:uid="{4E508A58-B144-4E3D-B0C7-25CE9D306871}"/>
    <cellStyle name="Separador de milhares 2 3 2 2 4 3" xfId="240" xr:uid="{00000000-0005-0000-0000-000011000000}"/>
    <cellStyle name="Separador de milhares 2 3 2 2 4 3 2" xfId="791" xr:uid="{8CADABE6-1F32-4850-B569-00B1173285B7}"/>
    <cellStyle name="Separador de milhares 2 3 2 2 4 3 3" xfId="1342" xr:uid="{44F3038C-9F85-4E15-8FA4-CDA5D3FBDA25}"/>
    <cellStyle name="Separador de milhares 2 3 2 2 4 4" xfId="320" xr:uid="{00000000-0005-0000-0000-000011000000}"/>
    <cellStyle name="Separador de milhares 2 3 2 2 4 4 2" xfId="871" xr:uid="{5C154CC1-F5EB-44F9-A51B-CD827B4C3036}"/>
    <cellStyle name="Separador de milhares 2 3 2 2 4 4 3" xfId="1421" xr:uid="{8B3F6605-8426-4CBE-81C2-269A0A20BC32}"/>
    <cellStyle name="Separador de milhares 2 3 2 2 4 5" xfId="398" xr:uid="{00000000-0005-0000-0000-000011000000}"/>
    <cellStyle name="Separador de milhares 2 3 2 2 4 5 2" xfId="949" xr:uid="{446F418C-B24D-4779-A0DD-85A573068C9C}"/>
    <cellStyle name="Separador de milhares 2 3 2 2 4 5 3" xfId="1499" xr:uid="{E4295A6C-3539-4119-B250-E2D05AD9A879}"/>
    <cellStyle name="Separador de milhares 2 3 2 2 4 6" xfId="477" xr:uid="{00000000-0005-0000-0000-000011000000}"/>
    <cellStyle name="Separador de milhares 2 3 2 2 4 6 2" xfId="1028" xr:uid="{42BB9932-CEDB-4A82-8580-B5E7EE617679}"/>
    <cellStyle name="Separador de milhares 2 3 2 2 4 6 3" xfId="1578" xr:uid="{B37A6262-B72B-437A-BCB4-FC5B09B7F8B4}"/>
    <cellStyle name="Separador de milhares 2 3 2 2 4 7" xfId="555" xr:uid="{00000000-0005-0000-0000-000011000000}"/>
    <cellStyle name="Separador de milhares 2 3 2 2 4 7 2" xfId="1106" xr:uid="{B2361CF2-A994-4FB0-89E5-9B9134FB0076}"/>
    <cellStyle name="Separador de milhares 2 3 2 2 4 7 3" xfId="1656" xr:uid="{A94DEB44-B540-4568-A6F5-4288835FBD37}"/>
    <cellStyle name="Separador de milhares 2 3 2 2 4 8" xfId="634" xr:uid="{8A97B733-2C10-4DAE-A465-88F0EFFA8760}"/>
    <cellStyle name="Separador de milhares 2 3 2 2 4 9" xfId="1185" xr:uid="{EFFB27D1-3FD3-44A6-BAD9-E826C81A7A1E}"/>
    <cellStyle name="Separador de milhares 2 3 2 2 5" xfId="98" xr:uid="{00000000-0005-0000-0000-000012000000}"/>
    <cellStyle name="Separador de milhares 2 3 2 2 5 2" xfId="649" xr:uid="{B49C455F-6AC6-472D-8095-CBAE85BD79C0}"/>
    <cellStyle name="Separador de milhares 2 3 2 2 5 3" xfId="1200" xr:uid="{3F8A148D-154C-462C-B227-424D22FB38D5}"/>
    <cellStyle name="Separador de milhares 2 3 2 2 6" xfId="177" xr:uid="{00000000-0005-0000-0000-000012000000}"/>
    <cellStyle name="Separador de milhares 2 3 2 2 6 2" xfId="728" xr:uid="{92EEB0DD-5419-4759-AE32-582BDABA95C9}"/>
    <cellStyle name="Separador de milhares 2 3 2 2 6 3" xfId="1279" xr:uid="{E358DCDD-C7C3-4978-9D24-0ED4613D359C}"/>
    <cellStyle name="Separador de milhares 2 3 2 2 7" xfId="256" xr:uid="{00000000-0005-0000-0000-000012000000}"/>
    <cellStyle name="Separador de milhares 2 3 2 2 7 2" xfId="807" xr:uid="{112957D3-BD22-4384-AC32-4D319CB21920}"/>
    <cellStyle name="Separador de milhares 2 3 2 2 7 3" xfId="1358" xr:uid="{8C6F7ACC-6BD1-496D-8C3B-2D0F5D64329B}"/>
    <cellStyle name="Separador de milhares 2 3 2 2 8" xfId="335" xr:uid="{00000000-0005-0000-0000-000012000000}"/>
    <cellStyle name="Separador de milhares 2 3 2 2 8 2" xfId="886" xr:uid="{4E059A09-5FD8-4E84-8CB6-4AF91FB7EC15}"/>
    <cellStyle name="Separador de milhares 2 3 2 2 8 3" xfId="1436" xr:uid="{90641226-116F-48F4-B723-2D117C1B27D6}"/>
    <cellStyle name="Separador de milhares 2 3 2 2 9" xfId="414" xr:uid="{00000000-0005-0000-0000-000012000000}"/>
    <cellStyle name="Separador de milhares 2 3 2 2 9 2" xfId="965" xr:uid="{EC0E3481-F6B1-48EB-9302-09F039128EF8}"/>
    <cellStyle name="Separador de milhares 2 3 2 2 9 3" xfId="1515" xr:uid="{14651A71-B763-4AF2-8C71-34A889DEEAB4}"/>
    <cellStyle name="Separador de milhares 2 3 2 3" xfId="28" xr:uid="{00000000-0005-0000-0000-000011000000}"/>
    <cellStyle name="Separador de milhares 2 3 2 3 10" xfId="1131" xr:uid="{0C396CFC-229B-4271-8B83-5040056B9090}"/>
    <cellStyle name="Separador de milhares 2 3 2 3 2" xfId="60" xr:uid="{00000000-0005-0000-0000-00001F000000}"/>
    <cellStyle name="Separador de milhares 2 3 2 3 2 2" xfId="139" xr:uid="{00000000-0005-0000-0000-00001F000000}"/>
    <cellStyle name="Separador de milhares 2 3 2 3 2 2 2" xfId="690" xr:uid="{08966497-5396-4135-8A23-67401DE5090A}"/>
    <cellStyle name="Separador de milhares 2 3 2 3 2 2 3" xfId="1241" xr:uid="{44FDCBDA-9FB5-4702-9C75-57E2B525FBDC}"/>
    <cellStyle name="Separador de milhares 2 3 2 3 2 3" xfId="218" xr:uid="{00000000-0005-0000-0000-00001F000000}"/>
    <cellStyle name="Separador de milhares 2 3 2 3 2 3 2" xfId="769" xr:uid="{794FC69D-2425-4B86-A336-18DF1AC14131}"/>
    <cellStyle name="Separador de milhares 2 3 2 3 2 3 3" xfId="1320" xr:uid="{81C1D71D-19DF-4A71-B416-9F3639D186AF}"/>
    <cellStyle name="Separador de milhares 2 3 2 3 2 4" xfId="298" xr:uid="{00000000-0005-0000-0000-00001F000000}"/>
    <cellStyle name="Separador de milhares 2 3 2 3 2 4 2" xfId="849" xr:uid="{1D73E3DB-B9FC-4BAD-B6BB-99C1B43FD3A0}"/>
    <cellStyle name="Separador de milhares 2 3 2 3 2 4 3" xfId="1399" xr:uid="{F9088C07-90D6-4F12-BED8-6F272F5D42E1}"/>
    <cellStyle name="Separador de milhares 2 3 2 3 2 5" xfId="376" xr:uid="{00000000-0005-0000-0000-00001F000000}"/>
    <cellStyle name="Separador de milhares 2 3 2 3 2 5 2" xfId="927" xr:uid="{C05BCDF2-BFDD-449C-8CF4-5FA12BAA7056}"/>
    <cellStyle name="Separador de milhares 2 3 2 3 2 5 3" xfId="1477" xr:uid="{132C2924-11E4-4907-A4A5-4C75FAFF0A9E}"/>
    <cellStyle name="Separador de milhares 2 3 2 3 2 6" xfId="455" xr:uid="{00000000-0005-0000-0000-00001F000000}"/>
    <cellStyle name="Separador de milhares 2 3 2 3 2 6 2" xfId="1006" xr:uid="{9BEEFC70-42B0-47DB-A323-FD6C7A856A8C}"/>
    <cellStyle name="Separador de milhares 2 3 2 3 2 6 3" xfId="1556" xr:uid="{8A455FD4-2BF4-44A2-B88E-318D02C8B10A}"/>
    <cellStyle name="Separador de milhares 2 3 2 3 2 7" xfId="533" xr:uid="{00000000-0005-0000-0000-00001F000000}"/>
    <cellStyle name="Separador de milhares 2 3 2 3 2 7 2" xfId="1084" xr:uid="{3C8309CD-290D-4CE8-A4F5-FB0848FBFF50}"/>
    <cellStyle name="Separador de milhares 2 3 2 3 2 7 3" xfId="1634" xr:uid="{982C2550-2B47-41D9-B920-1EA2CD0D39F1}"/>
    <cellStyle name="Separador de milhares 2 3 2 3 2 8" xfId="612" xr:uid="{537F6922-2D21-4AF7-BAF3-840CB90E5ACC}"/>
    <cellStyle name="Separador de milhares 2 3 2 3 2 9" xfId="1163" xr:uid="{BCAED789-CFC4-4905-9B38-EAC4D718147E}"/>
    <cellStyle name="Separador de milhares 2 3 2 3 3" xfId="107" xr:uid="{00000000-0005-0000-0000-000011000000}"/>
    <cellStyle name="Separador de milhares 2 3 2 3 3 2" xfId="658" xr:uid="{10D83395-BA97-41B5-AFE6-B91920E82B5A}"/>
    <cellStyle name="Separador de milhares 2 3 2 3 3 3" xfId="1209" xr:uid="{A21F71E2-A1E3-46E4-9A50-45E43612A068}"/>
    <cellStyle name="Separador de milhares 2 3 2 3 4" xfId="186" xr:uid="{00000000-0005-0000-0000-000011000000}"/>
    <cellStyle name="Separador de milhares 2 3 2 3 4 2" xfId="737" xr:uid="{C80FC6F9-3C3C-4A3C-9C92-1554C62501F5}"/>
    <cellStyle name="Separador de milhares 2 3 2 3 4 3" xfId="1288" xr:uid="{9C87DD0A-84F8-44A6-AC46-C617BD2CBCEC}"/>
    <cellStyle name="Separador de milhares 2 3 2 3 5" xfId="266" xr:uid="{00000000-0005-0000-0000-000011000000}"/>
    <cellStyle name="Separador de milhares 2 3 2 3 5 2" xfId="817" xr:uid="{A93D5802-F218-404B-940C-670BDF2334F7}"/>
    <cellStyle name="Separador de milhares 2 3 2 3 5 3" xfId="1367" xr:uid="{2A6D0258-D8E9-47E7-9D25-A6893F49627E}"/>
    <cellStyle name="Separador de milhares 2 3 2 3 6" xfId="344" xr:uid="{00000000-0005-0000-0000-000011000000}"/>
    <cellStyle name="Separador de milhares 2 3 2 3 6 2" xfId="895" xr:uid="{61A367BC-805D-4443-84CA-54771EC8A02A}"/>
    <cellStyle name="Separador de milhares 2 3 2 3 6 3" xfId="1445" xr:uid="{083808DA-BFEA-40B5-9994-F2B176A39C88}"/>
    <cellStyle name="Separador de milhares 2 3 2 3 7" xfId="423" xr:uid="{00000000-0005-0000-0000-000011000000}"/>
    <cellStyle name="Separador de milhares 2 3 2 3 7 2" xfId="974" xr:uid="{A31AEA5A-0366-462B-956D-2CFD19C0C860}"/>
    <cellStyle name="Separador de milhares 2 3 2 3 7 3" xfId="1524" xr:uid="{A2E3CEDA-90D5-458B-AA70-33CD6B5C4C61}"/>
    <cellStyle name="Separador de milhares 2 3 2 3 8" xfId="501" xr:uid="{00000000-0005-0000-0000-000011000000}"/>
    <cellStyle name="Separador de milhares 2 3 2 3 8 2" xfId="1052" xr:uid="{BB8B261E-CA33-4E94-8A53-C8B3DEB9EBCA}"/>
    <cellStyle name="Separador de milhares 2 3 2 3 8 3" xfId="1602" xr:uid="{60735A3B-1B14-40A3-AF36-F9485A54246E}"/>
    <cellStyle name="Separador de milhares 2 3 2 3 9" xfId="580" xr:uid="{45758D3E-9B74-4C5F-BF8F-18CFA6B96C24}"/>
    <cellStyle name="Separador de milhares 2 3 2 4" xfId="44" xr:uid="{00000000-0005-0000-0000-000011000000}"/>
    <cellStyle name="Separador de milhares 2 3 2 4 2" xfId="123" xr:uid="{00000000-0005-0000-0000-000011000000}"/>
    <cellStyle name="Separador de milhares 2 3 2 4 2 2" xfId="674" xr:uid="{1FCAE5C2-3B53-48B6-BF62-1F29C0BFF79B}"/>
    <cellStyle name="Separador de milhares 2 3 2 4 2 3" xfId="1225" xr:uid="{2901BE7D-7BF3-4345-B52B-72B06DA3424A}"/>
    <cellStyle name="Separador de milhares 2 3 2 4 3" xfId="202" xr:uid="{00000000-0005-0000-0000-000011000000}"/>
    <cellStyle name="Separador de milhares 2 3 2 4 3 2" xfId="753" xr:uid="{8E773EAD-E61C-4F88-9DBB-7AEF9C3BFD18}"/>
    <cellStyle name="Separador de milhares 2 3 2 4 3 3" xfId="1304" xr:uid="{C04864C4-A44E-412D-89AE-B3AF990B2B4C}"/>
    <cellStyle name="Separador de milhares 2 3 2 4 4" xfId="282" xr:uid="{00000000-0005-0000-0000-000011000000}"/>
    <cellStyle name="Separador de milhares 2 3 2 4 4 2" xfId="833" xr:uid="{58C1C75F-35A3-45E2-8656-F1FD551A0A86}"/>
    <cellStyle name="Separador de milhares 2 3 2 4 4 3" xfId="1383" xr:uid="{276384D2-2EB8-4705-ADE4-D769ADB15967}"/>
    <cellStyle name="Separador de milhares 2 3 2 4 5" xfId="360" xr:uid="{00000000-0005-0000-0000-000011000000}"/>
    <cellStyle name="Separador de milhares 2 3 2 4 5 2" xfId="911" xr:uid="{C09FCAD2-7099-4976-B8C0-90B0EE3E1239}"/>
    <cellStyle name="Separador de milhares 2 3 2 4 5 3" xfId="1461" xr:uid="{F8DD89AD-76E6-4E24-BAC8-D63614295329}"/>
    <cellStyle name="Separador de milhares 2 3 2 4 6" xfId="439" xr:uid="{00000000-0005-0000-0000-000011000000}"/>
    <cellStyle name="Separador de milhares 2 3 2 4 6 2" xfId="990" xr:uid="{7ACF2DF6-CB26-47C0-A74B-02C554615DCC}"/>
    <cellStyle name="Separador de milhares 2 3 2 4 6 3" xfId="1540" xr:uid="{ADC2F02E-8BEB-4C04-A647-2EE0AB0442DC}"/>
    <cellStyle name="Separador de milhares 2 3 2 4 7" xfId="517" xr:uid="{00000000-0005-0000-0000-000011000000}"/>
    <cellStyle name="Separador de milhares 2 3 2 4 7 2" xfId="1068" xr:uid="{EC186CDA-C142-4268-9EA8-9863D5876D43}"/>
    <cellStyle name="Separador de milhares 2 3 2 4 7 3" xfId="1618" xr:uid="{3C8E5F93-DF0A-4001-B294-C2EFC8C2B795}"/>
    <cellStyle name="Separador de milhares 2 3 2 4 8" xfId="596" xr:uid="{8405FFA2-A31D-4361-BF0A-4A6EE2060342}"/>
    <cellStyle name="Separador de milhares 2 3 2 4 9" xfId="1147" xr:uid="{1E92A6D7-47BA-4F77-B9B8-BB071F1A2DD6}"/>
    <cellStyle name="Separador de milhares 2 3 2 5" xfId="76" xr:uid="{00000000-0005-0000-0000-000010000000}"/>
    <cellStyle name="Separador de milhares 2 3 2 5 2" xfId="155" xr:uid="{00000000-0005-0000-0000-000010000000}"/>
    <cellStyle name="Separador de milhares 2 3 2 5 2 2" xfId="706" xr:uid="{FD2416FF-4A9A-40C7-9696-120422CCBA28}"/>
    <cellStyle name="Separador de milhares 2 3 2 5 2 3" xfId="1257" xr:uid="{F9F764AF-0ED2-4C3E-80B6-8D0F1D4F8A0A}"/>
    <cellStyle name="Separador de milhares 2 3 2 5 3" xfId="234" xr:uid="{00000000-0005-0000-0000-000010000000}"/>
    <cellStyle name="Separador de milhares 2 3 2 5 3 2" xfId="785" xr:uid="{0325D39C-EF96-407A-BF58-A70A7EE3D79B}"/>
    <cellStyle name="Separador de milhares 2 3 2 5 3 3" xfId="1336" xr:uid="{1A6009F2-03A8-4D1F-8727-5B0A5AA9DCE6}"/>
    <cellStyle name="Separador de milhares 2 3 2 5 4" xfId="314" xr:uid="{00000000-0005-0000-0000-000010000000}"/>
    <cellStyle name="Separador de milhares 2 3 2 5 4 2" xfId="865" xr:uid="{41B25143-530C-405D-A484-CFCE83246980}"/>
    <cellStyle name="Separador de milhares 2 3 2 5 4 3" xfId="1415" xr:uid="{E3FF9938-2B11-41D2-B86A-DA7A31BB7CB9}"/>
    <cellStyle name="Separador de milhares 2 3 2 5 5" xfId="392" xr:uid="{00000000-0005-0000-0000-000010000000}"/>
    <cellStyle name="Separador de milhares 2 3 2 5 5 2" xfId="943" xr:uid="{F0507B7E-75F6-4DCF-94BF-0C13EBC0F698}"/>
    <cellStyle name="Separador de milhares 2 3 2 5 5 3" xfId="1493" xr:uid="{5AEB36D9-A3FA-4CDF-A287-4BA4E89BE17A}"/>
    <cellStyle name="Separador de milhares 2 3 2 5 6" xfId="471" xr:uid="{00000000-0005-0000-0000-000010000000}"/>
    <cellStyle name="Separador de milhares 2 3 2 5 6 2" xfId="1022" xr:uid="{33B834E4-7E59-456D-B511-335D868BA4CE}"/>
    <cellStyle name="Separador de milhares 2 3 2 5 6 3" xfId="1572" xr:uid="{0007D89F-57F9-4895-9C1F-FFEBBCF04050}"/>
    <cellStyle name="Separador de milhares 2 3 2 5 7" xfId="549" xr:uid="{00000000-0005-0000-0000-000010000000}"/>
    <cellStyle name="Separador de milhares 2 3 2 5 7 2" xfId="1100" xr:uid="{24EA7C1F-08AF-473B-A292-C9F5573F9A4D}"/>
    <cellStyle name="Separador de milhares 2 3 2 5 7 3" xfId="1650" xr:uid="{66917D54-0338-408E-9A26-469DC094E28F}"/>
    <cellStyle name="Separador de milhares 2 3 2 5 8" xfId="628" xr:uid="{DC329AAF-DF43-46D1-B854-D1DC647C9F88}"/>
    <cellStyle name="Separador de milhares 2 3 2 5 9" xfId="1179" xr:uid="{81DD02EC-4E5E-43F3-8573-3318C65F5482}"/>
    <cellStyle name="Separador de milhares 2 3 2 6" xfId="92" xr:uid="{00000000-0005-0000-0000-000011000000}"/>
    <cellStyle name="Separador de milhares 2 3 2 6 2" xfId="643" xr:uid="{977564C3-C6CD-4EE1-B7E0-191CC405C47E}"/>
    <cellStyle name="Separador de milhares 2 3 2 6 3" xfId="1194" xr:uid="{21F86A84-3DE7-44DD-9931-1B179E82B0F4}"/>
    <cellStyle name="Separador de milhares 2 3 2 7" xfId="170" xr:uid="{00000000-0005-0000-0000-000011000000}"/>
    <cellStyle name="Separador de milhares 2 3 2 7 2" xfId="721" xr:uid="{E41118A6-1AA4-4DB2-86F4-A424C1520389}"/>
    <cellStyle name="Separador de milhares 2 3 2 7 3" xfId="1272" xr:uid="{B56F03E4-AB74-4DBB-ADE9-32DCB0184514}"/>
    <cellStyle name="Separador de milhares 2 3 2 8" xfId="249" xr:uid="{00000000-0005-0000-0000-000011000000}"/>
    <cellStyle name="Separador de milhares 2 3 2 8 2" xfId="800" xr:uid="{9ED49A1A-2495-4D0E-B468-713605BFB684}"/>
    <cellStyle name="Separador de milhares 2 3 2 8 3" xfId="1351" xr:uid="{84D83F69-1C32-453C-A81F-546057C2F62E}"/>
    <cellStyle name="Separador de milhares 2 3 2 9" xfId="329" xr:uid="{00000000-0005-0000-0000-000011000000}"/>
    <cellStyle name="Separador de milhares 2 3 2 9 2" xfId="880" xr:uid="{7CCCD67B-03FF-4A5D-88ED-EB2B8908256D}"/>
    <cellStyle name="Separador de milhares 2 3 2 9 3" xfId="1430" xr:uid="{A0298C5E-40A1-4439-8524-36CBC2444C61}"/>
    <cellStyle name="Separador de milhares 2 3 3" xfId="22" xr:uid="{00000000-0005-0000-0000-000013000000}"/>
    <cellStyle name="Separador de milhares 2 3 3 10" xfId="496" xr:uid="{00000000-0005-0000-0000-000013000000}"/>
    <cellStyle name="Separador de milhares 2 3 3 10 2" xfId="1047" xr:uid="{AD67D884-B25D-40F1-944E-060D8F3E35C8}"/>
    <cellStyle name="Separador de milhares 2 3 3 10 3" xfId="1597" xr:uid="{AAD53E31-2F92-4258-95C3-DD999F5132FF}"/>
    <cellStyle name="Separador de milhares 2 3 3 11" xfId="575" xr:uid="{02C7AEBA-FEB1-4EC2-AD13-B1C5D73C10BA}"/>
    <cellStyle name="Separador de milhares 2 3 3 12" xfId="1126" xr:uid="{2D77B771-1F1C-4087-8270-6B1E76F8B260}"/>
    <cellStyle name="Separador de milhares 2 3 3 2" xfId="39" xr:uid="{00000000-0005-0000-0000-000013000000}"/>
    <cellStyle name="Separador de milhares 2 3 3 2 10" xfId="1142" xr:uid="{E47EC9D2-E931-41D5-8C12-7F4257D8ED2D}"/>
    <cellStyle name="Separador de milhares 2 3 3 2 2" xfId="71" xr:uid="{00000000-0005-0000-0000-000021000000}"/>
    <cellStyle name="Separador de milhares 2 3 3 2 2 2" xfId="150" xr:uid="{00000000-0005-0000-0000-000021000000}"/>
    <cellStyle name="Separador de milhares 2 3 3 2 2 2 2" xfId="701" xr:uid="{800F117B-DBA6-4D4D-A484-6734ACEACD4F}"/>
    <cellStyle name="Separador de milhares 2 3 3 2 2 2 3" xfId="1252" xr:uid="{B597986F-4E59-4616-8B7F-8D17E2CB18CC}"/>
    <cellStyle name="Separador de milhares 2 3 3 2 2 3" xfId="229" xr:uid="{00000000-0005-0000-0000-000021000000}"/>
    <cellStyle name="Separador de milhares 2 3 3 2 2 3 2" xfId="780" xr:uid="{8A98C2C5-BBDC-4D56-ABA0-08AD845A7D54}"/>
    <cellStyle name="Separador de milhares 2 3 3 2 2 3 3" xfId="1331" xr:uid="{B314B71A-5F64-48BD-A485-A8E6DA4CAD19}"/>
    <cellStyle name="Separador de milhares 2 3 3 2 2 4" xfId="309" xr:uid="{00000000-0005-0000-0000-000021000000}"/>
    <cellStyle name="Separador de milhares 2 3 3 2 2 4 2" xfId="860" xr:uid="{91882D98-C601-40F8-91E4-0511F275B624}"/>
    <cellStyle name="Separador de milhares 2 3 3 2 2 4 3" xfId="1410" xr:uid="{C2E91266-A68A-4602-A8C1-E5E7D621EAD2}"/>
    <cellStyle name="Separador de milhares 2 3 3 2 2 5" xfId="387" xr:uid="{00000000-0005-0000-0000-000021000000}"/>
    <cellStyle name="Separador de milhares 2 3 3 2 2 5 2" xfId="938" xr:uid="{BC65D9AA-BAD1-408B-B24A-0C5F329AFE28}"/>
    <cellStyle name="Separador de milhares 2 3 3 2 2 5 3" xfId="1488" xr:uid="{3F8EC47B-A21A-4E24-B3D7-66630CF1E96C}"/>
    <cellStyle name="Separador de milhares 2 3 3 2 2 6" xfId="466" xr:uid="{00000000-0005-0000-0000-000021000000}"/>
    <cellStyle name="Separador de milhares 2 3 3 2 2 6 2" xfId="1017" xr:uid="{917483A5-0920-4B70-8B51-9DDEF42FD3DD}"/>
    <cellStyle name="Separador de milhares 2 3 3 2 2 6 3" xfId="1567" xr:uid="{98F37D35-CA9A-45D1-9CD0-6B0C71700422}"/>
    <cellStyle name="Separador de milhares 2 3 3 2 2 7" xfId="544" xr:uid="{00000000-0005-0000-0000-000021000000}"/>
    <cellStyle name="Separador de milhares 2 3 3 2 2 7 2" xfId="1095" xr:uid="{F6619E31-BD2F-48BD-A94B-378B428DF0DC}"/>
    <cellStyle name="Separador de milhares 2 3 3 2 2 7 3" xfId="1645" xr:uid="{1A7FC750-2BE9-4289-9EC5-0AAF99858863}"/>
    <cellStyle name="Separador de milhares 2 3 3 2 2 8" xfId="623" xr:uid="{2A79A862-103A-4AAF-BCBD-0AD333F614BB}"/>
    <cellStyle name="Separador de milhares 2 3 3 2 2 9" xfId="1174" xr:uid="{0067B4A6-15B7-4CD2-9F51-75CAE9E0055B}"/>
    <cellStyle name="Separador de milhares 2 3 3 2 3" xfId="118" xr:uid="{00000000-0005-0000-0000-000013000000}"/>
    <cellStyle name="Separador de milhares 2 3 3 2 3 2" xfId="669" xr:uid="{0E9E370B-5A3B-4895-B619-F9C3945E25A6}"/>
    <cellStyle name="Separador de milhares 2 3 3 2 3 3" xfId="1220" xr:uid="{6744EB31-C029-442C-ACD4-C3DAA0395903}"/>
    <cellStyle name="Separador de milhares 2 3 3 2 4" xfId="197" xr:uid="{00000000-0005-0000-0000-000013000000}"/>
    <cellStyle name="Separador de milhares 2 3 3 2 4 2" xfId="748" xr:uid="{7213A1AE-B80A-44FE-BD25-729E5E49BE6F}"/>
    <cellStyle name="Separador de milhares 2 3 3 2 4 3" xfId="1299" xr:uid="{8639FCA7-B0AA-41DE-A244-7509DEBF53A9}"/>
    <cellStyle name="Separador de milhares 2 3 3 2 5" xfId="277" xr:uid="{00000000-0005-0000-0000-000013000000}"/>
    <cellStyle name="Separador de milhares 2 3 3 2 5 2" xfId="828" xr:uid="{19B6CD2C-065C-4774-877F-85CAFD647E3F}"/>
    <cellStyle name="Separador de milhares 2 3 3 2 5 3" xfId="1378" xr:uid="{78403BF3-EB23-4A83-8925-8EBBB874C9E6}"/>
    <cellStyle name="Separador de milhares 2 3 3 2 6" xfId="355" xr:uid="{00000000-0005-0000-0000-000013000000}"/>
    <cellStyle name="Separador de milhares 2 3 3 2 6 2" xfId="906" xr:uid="{2E0FB017-62F9-4C36-8B85-B08C31572D0A}"/>
    <cellStyle name="Separador de milhares 2 3 3 2 6 3" xfId="1456" xr:uid="{2F35E3F0-F818-4AB4-B09F-FCD98422D419}"/>
    <cellStyle name="Separador de milhares 2 3 3 2 7" xfId="434" xr:uid="{00000000-0005-0000-0000-000013000000}"/>
    <cellStyle name="Separador de milhares 2 3 3 2 7 2" xfId="985" xr:uid="{D9BCAD60-21F5-47F1-A6B3-49CDCDF073E1}"/>
    <cellStyle name="Separador de milhares 2 3 3 2 7 3" xfId="1535" xr:uid="{F4094DBA-15AF-47CD-B7BF-F53536BD52C8}"/>
    <cellStyle name="Separador de milhares 2 3 3 2 8" xfId="512" xr:uid="{00000000-0005-0000-0000-000013000000}"/>
    <cellStyle name="Separador de milhares 2 3 3 2 8 2" xfId="1063" xr:uid="{5DD5138A-3834-4CE0-9A76-759F25B02618}"/>
    <cellStyle name="Separador de milhares 2 3 3 2 8 3" xfId="1613" xr:uid="{1BD0D6F0-67D5-4B3D-8151-C630E313720D}"/>
    <cellStyle name="Separador de milhares 2 3 3 2 9" xfId="591" xr:uid="{5D0F7BA7-9EE1-4476-A79A-D3B4A8470F85}"/>
    <cellStyle name="Separador de milhares 2 3 3 3" xfId="55" xr:uid="{00000000-0005-0000-0000-000013000000}"/>
    <cellStyle name="Separador de milhares 2 3 3 3 2" xfId="134" xr:uid="{00000000-0005-0000-0000-000013000000}"/>
    <cellStyle name="Separador de milhares 2 3 3 3 2 2" xfId="685" xr:uid="{7F346D23-FA07-42E3-A329-F893AE548D60}"/>
    <cellStyle name="Separador de milhares 2 3 3 3 2 3" xfId="1236" xr:uid="{7C2DEA6C-380F-4F59-8824-C55250B64342}"/>
    <cellStyle name="Separador de milhares 2 3 3 3 3" xfId="213" xr:uid="{00000000-0005-0000-0000-000013000000}"/>
    <cellStyle name="Separador de milhares 2 3 3 3 3 2" xfId="764" xr:uid="{7A9BC4CE-05A0-434A-8597-DDA13A2B9873}"/>
    <cellStyle name="Separador de milhares 2 3 3 3 3 3" xfId="1315" xr:uid="{5830439A-BAEA-4E7E-9CC2-25D524CCE45B}"/>
    <cellStyle name="Separador de milhares 2 3 3 3 4" xfId="293" xr:uid="{00000000-0005-0000-0000-000013000000}"/>
    <cellStyle name="Separador de milhares 2 3 3 3 4 2" xfId="844" xr:uid="{CBCC5857-D5AE-46AF-933D-0C06CFBFDEED}"/>
    <cellStyle name="Separador de milhares 2 3 3 3 4 3" xfId="1394" xr:uid="{1C780EC2-C355-4DA3-A82D-8F885A24C45F}"/>
    <cellStyle name="Separador de milhares 2 3 3 3 5" xfId="371" xr:uid="{00000000-0005-0000-0000-000013000000}"/>
    <cellStyle name="Separador de milhares 2 3 3 3 5 2" xfId="922" xr:uid="{F46CBE41-0788-4B00-93A0-553E2EB36EE1}"/>
    <cellStyle name="Separador de milhares 2 3 3 3 5 3" xfId="1472" xr:uid="{AC95B746-BA2A-46A4-AD29-A9B6FAD56F7C}"/>
    <cellStyle name="Separador de milhares 2 3 3 3 6" xfId="450" xr:uid="{00000000-0005-0000-0000-000013000000}"/>
    <cellStyle name="Separador de milhares 2 3 3 3 6 2" xfId="1001" xr:uid="{712EEE8D-D9E2-4340-ADF6-DF0405259F30}"/>
    <cellStyle name="Separador de milhares 2 3 3 3 6 3" xfId="1551" xr:uid="{50C34F99-C482-452B-8C97-5EBDE48877E0}"/>
    <cellStyle name="Separador de milhares 2 3 3 3 7" xfId="528" xr:uid="{00000000-0005-0000-0000-000013000000}"/>
    <cellStyle name="Separador de milhares 2 3 3 3 7 2" xfId="1079" xr:uid="{5FE20CD6-76C5-404B-824F-3C2F9EB172C8}"/>
    <cellStyle name="Separador de milhares 2 3 3 3 7 3" xfId="1629" xr:uid="{6FC9FEFB-00E7-424F-A528-5EA20ED7EDB5}"/>
    <cellStyle name="Separador de milhares 2 3 3 3 8" xfId="607" xr:uid="{D21AD4D4-2BAA-4943-9663-E6605E5F18C0}"/>
    <cellStyle name="Separador de milhares 2 3 3 3 9" xfId="1158" xr:uid="{4C97B8EA-4C4B-423C-9FFA-6645EB3658AB}"/>
    <cellStyle name="Separador de milhares 2 3 3 4" xfId="86" xr:uid="{00000000-0005-0000-0000-000012000000}"/>
    <cellStyle name="Separador de milhares 2 3 3 4 2" xfId="165" xr:uid="{00000000-0005-0000-0000-000012000000}"/>
    <cellStyle name="Separador de milhares 2 3 3 4 2 2" xfId="716" xr:uid="{EA0CEA26-401C-41CD-9A5B-E32C0737BA97}"/>
    <cellStyle name="Separador de milhares 2 3 3 4 2 3" xfId="1267" xr:uid="{76963F87-CD33-4193-B5D2-10F6EA6E4C52}"/>
    <cellStyle name="Separador de milhares 2 3 3 4 3" xfId="244" xr:uid="{00000000-0005-0000-0000-000012000000}"/>
    <cellStyle name="Separador de milhares 2 3 3 4 3 2" xfId="795" xr:uid="{F330E204-53F4-4762-BB2E-A59FBB247E32}"/>
    <cellStyle name="Separador de milhares 2 3 3 4 3 3" xfId="1346" xr:uid="{7AF066D9-B392-4F42-B634-807B14C2164D}"/>
    <cellStyle name="Separador de milhares 2 3 3 4 4" xfId="324" xr:uid="{00000000-0005-0000-0000-000012000000}"/>
    <cellStyle name="Separador de milhares 2 3 3 4 4 2" xfId="875" xr:uid="{EDAA0CA1-3731-479D-9F40-D5BE857F9F3E}"/>
    <cellStyle name="Separador de milhares 2 3 3 4 4 3" xfId="1425" xr:uid="{13C99090-B7C9-4A4D-B629-68755EEBF2C8}"/>
    <cellStyle name="Separador de milhares 2 3 3 4 5" xfId="402" xr:uid="{00000000-0005-0000-0000-000012000000}"/>
    <cellStyle name="Separador de milhares 2 3 3 4 5 2" xfId="953" xr:uid="{C2F40662-A603-4FD8-8E70-8B7FAB939A8E}"/>
    <cellStyle name="Separador de milhares 2 3 3 4 5 3" xfId="1503" xr:uid="{BBC9F04F-A694-43C7-BB31-666DB4526138}"/>
    <cellStyle name="Separador de milhares 2 3 3 4 6" xfId="481" xr:uid="{00000000-0005-0000-0000-000012000000}"/>
    <cellStyle name="Separador de milhares 2 3 3 4 6 2" xfId="1032" xr:uid="{C1A133C1-6538-4B71-A35D-410803631C80}"/>
    <cellStyle name="Separador de milhares 2 3 3 4 6 3" xfId="1582" xr:uid="{043C8832-D277-4D31-8354-FE5F59D1EC58}"/>
    <cellStyle name="Separador de milhares 2 3 3 4 7" xfId="559" xr:uid="{00000000-0005-0000-0000-000012000000}"/>
    <cellStyle name="Separador de milhares 2 3 3 4 7 2" xfId="1110" xr:uid="{D6A1019B-8073-4931-AFB7-9BE0821E0F0C}"/>
    <cellStyle name="Separador de milhares 2 3 3 4 7 3" xfId="1660" xr:uid="{703D0C73-248E-41AD-8E8B-7A343D02F6BA}"/>
    <cellStyle name="Separador de milhares 2 3 3 4 8" xfId="638" xr:uid="{B4E31C4F-FFB9-428D-89BB-7512B90BE229}"/>
    <cellStyle name="Separador de milhares 2 3 3 4 9" xfId="1189" xr:uid="{7951F309-9823-40E1-A2EC-74D1249A952E}"/>
    <cellStyle name="Separador de milhares 2 3 3 5" xfId="102" xr:uid="{00000000-0005-0000-0000-000013000000}"/>
    <cellStyle name="Separador de milhares 2 3 3 5 2" xfId="653" xr:uid="{58DC26EB-0697-4E0D-B6BC-F38DAE1C2365}"/>
    <cellStyle name="Separador de milhares 2 3 3 5 3" xfId="1204" xr:uid="{E9580B56-30FE-4BED-84A9-68291477DB43}"/>
    <cellStyle name="Separador de milhares 2 3 3 6" xfId="181" xr:uid="{00000000-0005-0000-0000-000013000000}"/>
    <cellStyle name="Separador de milhares 2 3 3 6 2" xfId="732" xr:uid="{B5E0015B-275A-4E8D-AA6F-C6FCFD48FC29}"/>
    <cellStyle name="Separador de milhares 2 3 3 6 3" xfId="1283" xr:uid="{3B03B970-B19D-47CE-AF6F-B60242F3C4B5}"/>
    <cellStyle name="Separador de milhares 2 3 3 7" xfId="260" xr:uid="{00000000-0005-0000-0000-000013000000}"/>
    <cellStyle name="Separador de milhares 2 3 3 7 2" xfId="811" xr:uid="{66AF8447-ACCF-4B3C-A485-BACDB95F670D}"/>
    <cellStyle name="Separador de milhares 2 3 3 7 3" xfId="1362" xr:uid="{B17D654A-3BC6-4A46-86B8-2F215F8CFD69}"/>
    <cellStyle name="Separador de milhares 2 3 3 8" xfId="339" xr:uid="{00000000-0005-0000-0000-000013000000}"/>
    <cellStyle name="Separador de milhares 2 3 3 8 2" xfId="890" xr:uid="{D33D6A57-2FD1-449C-A82A-74135B0406E9}"/>
    <cellStyle name="Separador de milhares 2 3 3 8 3" xfId="1440" xr:uid="{A30E8073-6C7A-49B5-AE2A-D95CCA10D1B0}"/>
    <cellStyle name="Separador de milhares 2 3 3 9" xfId="418" xr:uid="{00000000-0005-0000-0000-000013000000}"/>
    <cellStyle name="Separador de milhares 2 3 3 9 2" xfId="969" xr:uid="{5D387B5B-9593-4744-9491-BDE412003A9B}"/>
    <cellStyle name="Separador de milhares 2 3 3 9 3" xfId="1519" xr:uid="{4E00AB90-F17E-4074-A16C-45DFFCC65403}"/>
    <cellStyle name="Separador de milhares 2 3 4" xfId="15" xr:uid="{00000000-0005-0000-0000-000014000000}"/>
    <cellStyle name="Separador de milhares 2 3 4 10" xfId="489" xr:uid="{00000000-0005-0000-0000-000014000000}"/>
    <cellStyle name="Separador de milhares 2 3 4 10 2" xfId="1040" xr:uid="{5EE9A7A3-5FE2-42F9-9F29-CD32B48C0F8E}"/>
    <cellStyle name="Separador de milhares 2 3 4 10 3" xfId="1590" xr:uid="{FB66BF28-DD64-4B24-86BB-74CE1B549122}"/>
    <cellStyle name="Separador de milhares 2 3 4 11" xfId="568" xr:uid="{E74A8FFC-5950-4C83-8C9C-B8CD2E4D408E}"/>
    <cellStyle name="Separador de milhares 2 3 4 12" xfId="1119" xr:uid="{A4623AAF-EA91-4508-8721-6D2B84450C60}"/>
    <cellStyle name="Separador de milhares 2 3 4 2" xfId="32" xr:uid="{00000000-0005-0000-0000-000014000000}"/>
    <cellStyle name="Separador de milhares 2 3 4 2 10" xfId="1135" xr:uid="{08B2342C-B8AE-443D-B623-CE6833CEA723}"/>
    <cellStyle name="Separador de milhares 2 3 4 2 2" xfId="64" xr:uid="{00000000-0005-0000-0000-000023000000}"/>
    <cellStyle name="Separador de milhares 2 3 4 2 2 2" xfId="143" xr:uid="{00000000-0005-0000-0000-000023000000}"/>
    <cellStyle name="Separador de milhares 2 3 4 2 2 2 2" xfId="694" xr:uid="{7D6C4E1E-A034-4C2C-BF7D-D4539EB3A7BE}"/>
    <cellStyle name="Separador de milhares 2 3 4 2 2 2 3" xfId="1245" xr:uid="{80B8356C-8536-4447-A793-AF658DD4DA38}"/>
    <cellStyle name="Separador de milhares 2 3 4 2 2 3" xfId="222" xr:uid="{00000000-0005-0000-0000-000023000000}"/>
    <cellStyle name="Separador de milhares 2 3 4 2 2 3 2" xfId="773" xr:uid="{734725A5-D839-4ED8-B166-CE8F6C564932}"/>
    <cellStyle name="Separador de milhares 2 3 4 2 2 3 3" xfId="1324" xr:uid="{50064C47-2EB1-4AEB-8D80-C6A19CCC69DB}"/>
    <cellStyle name="Separador de milhares 2 3 4 2 2 4" xfId="302" xr:uid="{00000000-0005-0000-0000-000023000000}"/>
    <cellStyle name="Separador de milhares 2 3 4 2 2 4 2" xfId="853" xr:uid="{FC8BBB27-C2DA-44DF-8533-C25A7E014DA9}"/>
    <cellStyle name="Separador de milhares 2 3 4 2 2 4 3" xfId="1403" xr:uid="{145C0DAB-68EA-42BA-B81D-96076FF861DF}"/>
    <cellStyle name="Separador de milhares 2 3 4 2 2 5" xfId="380" xr:uid="{00000000-0005-0000-0000-000023000000}"/>
    <cellStyle name="Separador de milhares 2 3 4 2 2 5 2" xfId="931" xr:uid="{CF4A6A90-3409-4424-8B10-CA1BB27815BD}"/>
    <cellStyle name="Separador de milhares 2 3 4 2 2 5 3" xfId="1481" xr:uid="{776358B7-C6E5-4CAE-BF07-D9ED09777A26}"/>
    <cellStyle name="Separador de milhares 2 3 4 2 2 6" xfId="459" xr:uid="{00000000-0005-0000-0000-000023000000}"/>
    <cellStyle name="Separador de milhares 2 3 4 2 2 6 2" xfId="1010" xr:uid="{FAD70839-38F2-4857-9423-CF0E71448C30}"/>
    <cellStyle name="Separador de milhares 2 3 4 2 2 6 3" xfId="1560" xr:uid="{4E3D8C49-D873-4548-BC1C-B06675B1AC2F}"/>
    <cellStyle name="Separador de milhares 2 3 4 2 2 7" xfId="537" xr:uid="{00000000-0005-0000-0000-000023000000}"/>
    <cellStyle name="Separador de milhares 2 3 4 2 2 7 2" xfId="1088" xr:uid="{0D6DCB54-F468-4BCE-A1BB-B4BCBC8C068C}"/>
    <cellStyle name="Separador de milhares 2 3 4 2 2 7 3" xfId="1638" xr:uid="{495F7FB5-FA8D-4420-9E9A-DF97E9D48A27}"/>
    <cellStyle name="Separador de milhares 2 3 4 2 2 8" xfId="616" xr:uid="{DEF0A0B1-B49A-4E8A-94E6-B6148CAF4357}"/>
    <cellStyle name="Separador de milhares 2 3 4 2 2 9" xfId="1167" xr:uid="{BE6FFEAE-3DC7-428F-8F1D-528145356129}"/>
    <cellStyle name="Separador de milhares 2 3 4 2 3" xfId="111" xr:uid="{00000000-0005-0000-0000-000014000000}"/>
    <cellStyle name="Separador de milhares 2 3 4 2 3 2" xfId="662" xr:uid="{B802DB8F-4ACA-4E94-A282-38AECF08ABC0}"/>
    <cellStyle name="Separador de milhares 2 3 4 2 3 3" xfId="1213" xr:uid="{E9D380D5-CCB9-4D12-961C-B33C5C5A3C86}"/>
    <cellStyle name="Separador de milhares 2 3 4 2 4" xfId="190" xr:uid="{00000000-0005-0000-0000-000014000000}"/>
    <cellStyle name="Separador de milhares 2 3 4 2 4 2" xfId="741" xr:uid="{F80BAC26-5F3C-408D-AF75-A073039BABC9}"/>
    <cellStyle name="Separador de milhares 2 3 4 2 4 3" xfId="1292" xr:uid="{1E6EC4F5-9431-420D-B909-0F5D3BBD8804}"/>
    <cellStyle name="Separador de milhares 2 3 4 2 5" xfId="270" xr:uid="{00000000-0005-0000-0000-000014000000}"/>
    <cellStyle name="Separador de milhares 2 3 4 2 5 2" xfId="821" xr:uid="{AED9069F-C286-439B-8247-C645C7FEDA09}"/>
    <cellStyle name="Separador de milhares 2 3 4 2 5 3" xfId="1371" xr:uid="{1530B6F2-5404-4855-A83B-42E8AF134F3E}"/>
    <cellStyle name="Separador de milhares 2 3 4 2 6" xfId="348" xr:uid="{00000000-0005-0000-0000-000014000000}"/>
    <cellStyle name="Separador de milhares 2 3 4 2 6 2" xfId="899" xr:uid="{35800C12-FCC0-4CE4-85E4-83E25F416FFA}"/>
    <cellStyle name="Separador de milhares 2 3 4 2 6 3" xfId="1449" xr:uid="{C0D63DC6-D1E4-4604-8A10-C1B1CB30BA03}"/>
    <cellStyle name="Separador de milhares 2 3 4 2 7" xfId="427" xr:uid="{00000000-0005-0000-0000-000014000000}"/>
    <cellStyle name="Separador de milhares 2 3 4 2 7 2" xfId="978" xr:uid="{0A3204E2-518B-4DBD-8C02-0FE0C8C19579}"/>
    <cellStyle name="Separador de milhares 2 3 4 2 7 3" xfId="1528" xr:uid="{4169253A-BA3A-44E8-BD3C-F9454921610A}"/>
    <cellStyle name="Separador de milhares 2 3 4 2 8" xfId="505" xr:uid="{00000000-0005-0000-0000-000014000000}"/>
    <cellStyle name="Separador de milhares 2 3 4 2 8 2" xfId="1056" xr:uid="{27E59CCF-A39E-4B7C-AC13-061BB1A40422}"/>
    <cellStyle name="Separador de milhares 2 3 4 2 8 3" xfId="1606" xr:uid="{DDCEC576-3FA9-4445-B705-8A92A377CD3D}"/>
    <cellStyle name="Separador de milhares 2 3 4 2 9" xfId="584" xr:uid="{B0A134A3-9196-486F-819B-8CF36F8593FE}"/>
    <cellStyle name="Separador de milhares 2 3 4 3" xfId="48" xr:uid="{00000000-0005-0000-0000-000014000000}"/>
    <cellStyle name="Separador de milhares 2 3 4 3 2" xfId="127" xr:uid="{00000000-0005-0000-0000-000014000000}"/>
    <cellStyle name="Separador de milhares 2 3 4 3 2 2" xfId="678" xr:uid="{524E105B-1B20-4075-A6AC-A6A3A75336B1}"/>
    <cellStyle name="Separador de milhares 2 3 4 3 2 3" xfId="1229" xr:uid="{87B4273E-35EA-4CEA-A8DE-15376B8C7A29}"/>
    <cellStyle name="Separador de milhares 2 3 4 3 3" xfId="206" xr:uid="{00000000-0005-0000-0000-000014000000}"/>
    <cellStyle name="Separador de milhares 2 3 4 3 3 2" xfId="757" xr:uid="{D2927C47-08AF-4AC9-A72D-AC9A1090EF83}"/>
    <cellStyle name="Separador de milhares 2 3 4 3 3 3" xfId="1308" xr:uid="{44748268-B750-4388-BAF7-9C94B7B2F3F2}"/>
    <cellStyle name="Separador de milhares 2 3 4 3 4" xfId="286" xr:uid="{00000000-0005-0000-0000-000014000000}"/>
    <cellStyle name="Separador de milhares 2 3 4 3 4 2" xfId="837" xr:uid="{6AFCF8B8-666C-40AC-81D5-B5D58A09A3E1}"/>
    <cellStyle name="Separador de milhares 2 3 4 3 4 3" xfId="1387" xr:uid="{ADAE6148-B5FE-4B9E-AE3B-F6CCE9DD9A0D}"/>
    <cellStyle name="Separador de milhares 2 3 4 3 5" xfId="364" xr:uid="{00000000-0005-0000-0000-000014000000}"/>
    <cellStyle name="Separador de milhares 2 3 4 3 5 2" xfId="915" xr:uid="{D4675A66-5E2E-4A39-9C8D-A9421CA662A4}"/>
    <cellStyle name="Separador de milhares 2 3 4 3 5 3" xfId="1465" xr:uid="{D331E3DA-293D-42CF-B68A-325C4236EAD8}"/>
    <cellStyle name="Separador de milhares 2 3 4 3 6" xfId="443" xr:uid="{00000000-0005-0000-0000-000014000000}"/>
    <cellStyle name="Separador de milhares 2 3 4 3 6 2" xfId="994" xr:uid="{6B0DCDDA-184D-472C-AAC9-0E763FA7BFDF}"/>
    <cellStyle name="Separador de milhares 2 3 4 3 6 3" xfId="1544" xr:uid="{20320DF3-5AE0-4C61-A712-1B3BA9A34D24}"/>
    <cellStyle name="Separador de milhares 2 3 4 3 7" xfId="521" xr:uid="{00000000-0005-0000-0000-000014000000}"/>
    <cellStyle name="Separador de milhares 2 3 4 3 7 2" xfId="1072" xr:uid="{74C4EB2C-E50D-46C7-B5ED-28522E31B8CA}"/>
    <cellStyle name="Separador de milhares 2 3 4 3 7 3" xfId="1622" xr:uid="{649996A6-DBEC-410F-B6F2-88309783E79F}"/>
    <cellStyle name="Separador de milhares 2 3 4 3 8" xfId="600" xr:uid="{606D06B9-250B-4484-8F31-D9515A119186}"/>
    <cellStyle name="Separador de milhares 2 3 4 3 9" xfId="1151" xr:uid="{32538EAC-B18E-4048-9AD5-63E6495911CD}"/>
    <cellStyle name="Separador de milhares 2 3 4 4" xfId="79" xr:uid="{00000000-0005-0000-0000-000013000000}"/>
    <cellStyle name="Separador de milhares 2 3 4 4 2" xfId="158" xr:uid="{00000000-0005-0000-0000-000013000000}"/>
    <cellStyle name="Separador de milhares 2 3 4 4 2 2" xfId="709" xr:uid="{8EFFB6B8-CA07-4114-9ADA-2C801D350096}"/>
    <cellStyle name="Separador de milhares 2 3 4 4 2 3" xfId="1260" xr:uid="{4CE5D298-72F8-4677-9D42-B0DFBC00D8EB}"/>
    <cellStyle name="Separador de milhares 2 3 4 4 3" xfId="237" xr:uid="{00000000-0005-0000-0000-000013000000}"/>
    <cellStyle name="Separador de milhares 2 3 4 4 3 2" xfId="788" xr:uid="{577162FB-23EE-4D74-B098-80DF124ABA7F}"/>
    <cellStyle name="Separador de milhares 2 3 4 4 3 3" xfId="1339" xr:uid="{B97B6B29-D272-4F18-97C3-C8D83AF90D1B}"/>
    <cellStyle name="Separador de milhares 2 3 4 4 4" xfId="317" xr:uid="{00000000-0005-0000-0000-000013000000}"/>
    <cellStyle name="Separador de milhares 2 3 4 4 4 2" xfId="868" xr:uid="{BF77D98B-6466-4038-BB96-EE7092F9F520}"/>
    <cellStyle name="Separador de milhares 2 3 4 4 4 3" xfId="1418" xr:uid="{CCD1B056-E6D0-480A-858E-E7689CE16140}"/>
    <cellStyle name="Separador de milhares 2 3 4 4 5" xfId="395" xr:uid="{00000000-0005-0000-0000-000013000000}"/>
    <cellStyle name="Separador de milhares 2 3 4 4 5 2" xfId="946" xr:uid="{369B830A-36EB-4079-9034-5F4B814BD0BB}"/>
    <cellStyle name="Separador de milhares 2 3 4 4 5 3" xfId="1496" xr:uid="{93E1B23F-BEB7-4F0D-8010-59F5FD4767A3}"/>
    <cellStyle name="Separador de milhares 2 3 4 4 6" xfId="474" xr:uid="{00000000-0005-0000-0000-000013000000}"/>
    <cellStyle name="Separador de milhares 2 3 4 4 6 2" xfId="1025" xr:uid="{E57D0C9F-C844-44AB-8332-49553B619E1B}"/>
    <cellStyle name="Separador de milhares 2 3 4 4 6 3" xfId="1575" xr:uid="{CD29EF86-DFD5-4E87-9D48-85F68A29C143}"/>
    <cellStyle name="Separador de milhares 2 3 4 4 7" xfId="552" xr:uid="{00000000-0005-0000-0000-000013000000}"/>
    <cellStyle name="Separador de milhares 2 3 4 4 7 2" xfId="1103" xr:uid="{CDCA6697-B0BA-4CEF-B040-6899E615FCEF}"/>
    <cellStyle name="Separador de milhares 2 3 4 4 7 3" xfId="1653" xr:uid="{D716CCCE-0D9E-401B-A654-E55C10D8B335}"/>
    <cellStyle name="Separador de milhares 2 3 4 4 8" xfId="631" xr:uid="{145A9FCA-90C9-4B8E-8836-182762E328CB}"/>
    <cellStyle name="Separador de milhares 2 3 4 4 9" xfId="1182" xr:uid="{44AF48AA-E883-46A8-ADD2-533BB3366F3A}"/>
    <cellStyle name="Separador de milhares 2 3 4 5" xfId="95" xr:uid="{00000000-0005-0000-0000-000014000000}"/>
    <cellStyle name="Separador de milhares 2 3 4 5 2" xfId="646" xr:uid="{F7E679EA-6CF2-42FD-B9B9-0E8C236E8D3E}"/>
    <cellStyle name="Separador de milhares 2 3 4 5 3" xfId="1197" xr:uid="{275F2C53-6830-4DD2-BA52-877C87F845ED}"/>
    <cellStyle name="Separador de milhares 2 3 4 6" xfId="174" xr:uid="{00000000-0005-0000-0000-000014000000}"/>
    <cellStyle name="Separador de milhares 2 3 4 6 2" xfId="725" xr:uid="{7F5DB434-544E-43EE-B97E-E52BEE15A6BB}"/>
    <cellStyle name="Separador de milhares 2 3 4 6 3" xfId="1276" xr:uid="{3625C032-FFCB-47FF-A52C-B1295159E244}"/>
    <cellStyle name="Separador de milhares 2 3 4 7" xfId="253" xr:uid="{00000000-0005-0000-0000-000014000000}"/>
    <cellStyle name="Separador de milhares 2 3 4 7 2" xfId="804" xr:uid="{B2D6BD09-6377-4B48-9A48-75052D1C0699}"/>
    <cellStyle name="Separador de milhares 2 3 4 7 3" xfId="1355" xr:uid="{C18E7D77-9283-4080-BF94-DE40575952F3}"/>
    <cellStyle name="Separador de milhares 2 3 4 8" xfId="332" xr:uid="{00000000-0005-0000-0000-000014000000}"/>
    <cellStyle name="Separador de milhares 2 3 4 8 2" xfId="883" xr:uid="{2F30860D-FDEC-40FB-92E4-B8A2A688C7DD}"/>
    <cellStyle name="Separador de milhares 2 3 4 8 3" xfId="1433" xr:uid="{7714050F-175F-41B5-A012-C2F25935A01B}"/>
    <cellStyle name="Separador de milhares 2 3 4 9" xfId="411" xr:uid="{00000000-0005-0000-0000-000014000000}"/>
    <cellStyle name="Separador de milhares 2 3 4 9 2" xfId="962" xr:uid="{9E03AFFD-9754-4C1E-B36C-26BA2435A65F}"/>
    <cellStyle name="Separador de milhares 2 3 4 9 3" xfId="1512" xr:uid="{4B191ED4-067E-40C5-9BD0-61EE090F8427}"/>
    <cellStyle name="Separador de milhares 2 3 5" xfId="25" xr:uid="{00000000-0005-0000-0000-000010000000}"/>
    <cellStyle name="Separador de milhares 2 3 5 10" xfId="1128" xr:uid="{D04D9622-4ACD-4E3A-A59F-4E58B3DC3DB8}"/>
    <cellStyle name="Separador de milhares 2 3 5 2" xfId="57" xr:uid="{00000000-0005-0000-0000-000024000000}"/>
    <cellStyle name="Separador de milhares 2 3 5 2 2" xfId="136" xr:uid="{00000000-0005-0000-0000-000024000000}"/>
    <cellStyle name="Separador de milhares 2 3 5 2 2 2" xfId="687" xr:uid="{17FCFA22-2D05-4ADE-A828-E073F9893A44}"/>
    <cellStyle name="Separador de milhares 2 3 5 2 2 3" xfId="1238" xr:uid="{DA7E19C4-4CAF-4DE0-83EC-2C9CCA07C26C}"/>
    <cellStyle name="Separador de milhares 2 3 5 2 3" xfId="215" xr:uid="{00000000-0005-0000-0000-000024000000}"/>
    <cellStyle name="Separador de milhares 2 3 5 2 3 2" xfId="766" xr:uid="{815FA99A-322D-404A-9F5A-B110458EC3A8}"/>
    <cellStyle name="Separador de milhares 2 3 5 2 3 3" xfId="1317" xr:uid="{BC63F07C-66C0-4B6F-B639-DC842A0CA1B0}"/>
    <cellStyle name="Separador de milhares 2 3 5 2 4" xfId="295" xr:uid="{00000000-0005-0000-0000-000024000000}"/>
    <cellStyle name="Separador de milhares 2 3 5 2 4 2" xfId="846" xr:uid="{7505BA35-2CFC-4CF7-B650-1DB3E77F5996}"/>
    <cellStyle name="Separador de milhares 2 3 5 2 4 3" xfId="1396" xr:uid="{179F9C9B-B1DE-408B-8C1A-A3A4934E0515}"/>
    <cellStyle name="Separador de milhares 2 3 5 2 5" xfId="373" xr:uid="{00000000-0005-0000-0000-000024000000}"/>
    <cellStyle name="Separador de milhares 2 3 5 2 5 2" xfId="924" xr:uid="{A6E25FF6-AA34-4996-9154-306D3C7CDABA}"/>
    <cellStyle name="Separador de milhares 2 3 5 2 5 3" xfId="1474" xr:uid="{5254AE70-1948-436D-B241-9516D9E6F3DE}"/>
    <cellStyle name="Separador de milhares 2 3 5 2 6" xfId="452" xr:uid="{00000000-0005-0000-0000-000024000000}"/>
    <cellStyle name="Separador de milhares 2 3 5 2 6 2" xfId="1003" xr:uid="{7EED264F-1586-47F5-AED0-228CC39394F2}"/>
    <cellStyle name="Separador de milhares 2 3 5 2 6 3" xfId="1553" xr:uid="{0B21C132-56FC-45FA-B2D3-61D16DCDC50A}"/>
    <cellStyle name="Separador de milhares 2 3 5 2 7" xfId="530" xr:uid="{00000000-0005-0000-0000-000024000000}"/>
    <cellStyle name="Separador de milhares 2 3 5 2 7 2" xfId="1081" xr:uid="{8163D3BA-0E6A-487E-B45D-582A902334AA}"/>
    <cellStyle name="Separador de milhares 2 3 5 2 7 3" xfId="1631" xr:uid="{C740DA52-D157-4DF1-9C50-032B42A9CE78}"/>
    <cellStyle name="Separador de milhares 2 3 5 2 8" xfId="609" xr:uid="{78B364BF-B5C2-46BE-A029-D0D53E9FF57F}"/>
    <cellStyle name="Separador de milhares 2 3 5 2 9" xfId="1160" xr:uid="{28580E54-7C90-4143-8783-B37953B0FB81}"/>
    <cellStyle name="Separador de milhares 2 3 5 3" xfId="104" xr:uid="{00000000-0005-0000-0000-000010000000}"/>
    <cellStyle name="Separador de milhares 2 3 5 3 2" xfId="655" xr:uid="{DCAEEC95-BAA9-4A56-BCD7-59BB67A8FABC}"/>
    <cellStyle name="Separador de milhares 2 3 5 3 3" xfId="1206" xr:uid="{F93F2774-4C91-4E95-850C-9B2E65FA49AA}"/>
    <cellStyle name="Separador de milhares 2 3 5 4" xfId="183" xr:uid="{00000000-0005-0000-0000-000010000000}"/>
    <cellStyle name="Separador de milhares 2 3 5 4 2" xfId="734" xr:uid="{CF849067-6E01-4714-9216-7D629496A994}"/>
    <cellStyle name="Separador de milhares 2 3 5 4 3" xfId="1285" xr:uid="{2A8975D2-5DB9-4B6C-B50F-BD650C62722A}"/>
    <cellStyle name="Separador de milhares 2 3 5 5" xfId="263" xr:uid="{00000000-0005-0000-0000-000010000000}"/>
    <cellStyle name="Separador de milhares 2 3 5 5 2" xfId="814" xr:uid="{0DEE1CE3-4614-407D-8E5F-B8C59B7420B0}"/>
    <cellStyle name="Separador de milhares 2 3 5 5 3" xfId="1364" xr:uid="{67076CF5-8D2E-4687-BBE5-E70945E8A1C5}"/>
    <cellStyle name="Separador de milhares 2 3 5 6" xfId="341" xr:uid="{00000000-0005-0000-0000-000010000000}"/>
    <cellStyle name="Separador de milhares 2 3 5 6 2" xfId="892" xr:uid="{8AE548C5-8EBA-42BC-B3C7-C15E27B92FA1}"/>
    <cellStyle name="Separador de milhares 2 3 5 6 3" xfId="1442" xr:uid="{B1FD0185-DE34-4CD1-A5AA-DFA1AB2975C5}"/>
    <cellStyle name="Separador de milhares 2 3 5 7" xfId="420" xr:uid="{00000000-0005-0000-0000-000010000000}"/>
    <cellStyle name="Separador de milhares 2 3 5 7 2" xfId="971" xr:uid="{D1EEAD5F-1FC7-4D93-8641-E2156431DA65}"/>
    <cellStyle name="Separador de milhares 2 3 5 7 3" xfId="1521" xr:uid="{2EEF6FF6-A5D1-4341-88E6-673DC7D9C312}"/>
    <cellStyle name="Separador de milhares 2 3 5 8" xfId="498" xr:uid="{00000000-0005-0000-0000-000010000000}"/>
    <cellStyle name="Separador de milhares 2 3 5 8 2" xfId="1049" xr:uid="{53681936-F57A-4848-A194-8DBBCBBD1906}"/>
    <cellStyle name="Separador de milhares 2 3 5 8 3" xfId="1599" xr:uid="{732F46A7-5384-4922-B181-E2071F4ABA1E}"/>
    <cellStyle name="Separador de milhares 2 3 5 9" xfId="577" xr:uid="{5404C2E2-0AF7-4482-80EF-04F7596F3DFB}"/>
    <cellStyle name="Separador de milhares 2 3 6" xfId="41" xr:uid="{00000000-0005-0000-0000-000010000000}"/>
    <cellStyle name="Separador de milhares 2 3 6 2" xfId="120" xr:uid="{00000000-0005-0000-0000-000010000000}"/>
    <cellStyle name="Separador de milhares 2 3 6 2 2" xfId="671" xr:uid="{25AE80C1-F0A1-4461-BF7D-C6C8A8FCA208}"/>
    <cellStyle name="Separador de milhares 2 3 6 2 3" xfId="1222" xr:uid="{BC5C3D3B-6DEC-4515-8379-49F35FDEE6B3}"/>
    <cellStyle name="Separador de milhares 2 3 6 3" xfId="199" xr:uid="{00000000-0005-0000-0000-000010000000}"/>
    <cellStyle name="Separador de milhares 2 3 6 3 2" xfId="750" xr:uid="{2193FE90-B74C-414B-BDA2-E85515223A46}"/>
    <cellStyle name="Separador de milhares 2 3 6 3 3" xfId="1301" xr:uid="{5227487A-20F8-4140-BA85-3E2EE3449CDB}"/>
    <cellStyle name="Separador de milhares 2 3 6 4" xfId="279" xr:uid="{00000000-0005-0000-0000-000010000000}"/>
    <cellStyle name="Separador de milhares 2 3 6 4 2" xfId="830" xr:uid="{17B49100-3937-4B0B-B089-70D2E761A123}"/>
    <cellStyle name="Separador de milhares 2 3 6 4 3" xfId="1380" xr:uid="{171C746C-CD83-4362-9305-E2D61CC1058A}"/>
    <cellStyle name="Separador de milhares 2 3 6 5" xfId="357" xr:uid="{00000000-0005-0000-0000-000010000000}"/>
    <cellStyle name="Separador de milhares 2 3 6 5 2" xfId="908" xr:uid="{212A9301-A67C-4523-8AC4-12DB00E2BBB4}"/>
    <cellStyle name="Separador de milhares 2 3 6 5 3" xfId="1458" xr:uid="{D2A21346-4752-4B56-9697-8D252ECEB9F9}"/>
    <cellStyle name="Separador de milhares 2 3 6 6" xfId="436" xr:uid="{00000000-0005-0000-0000-000010000000}"/>
    <cellStyle name="Separador de milhares 2 3 6 6 2" xfId="987" xr:uid="{563A771D-FA94-4D4F-84B1-0280052D7734}"/>
    <cellStyle name="Separador de milhares 2 3 6 6 3" xfId="1537" xr:uid="{45B7906E-7291-4995-8922-50B57B8D1705}"/>
    <cellStyle name="Separador de milhares 2 3 6 7" xfId="514" xr:uid="{00000000-0005-0000-0000-000010000000}"/>
    <cellStyle name="Separador de milhares 2 3 6 7 2" xfId="1065" xr:uid="{1C9B584D-DDB2-4041-9510-8AB24B15EBF4}"/>
    <cellStyle name="Separador de milhares 2 3 6 7 3" xfId="1615" xr:uid="{5C293F0B-8FA5-40B1-8D64-15294DF6E2BF}"/>
    <cellStyle name="Separador de milhares 2 3 6 8" xfId="593" xr:uid="{A7241EFB-D3B5-4BAA-AC14-9C630A753B33}"/>
    <cellStyle name="Separador de milhares 2 3 6 9" xfId="1144" xr:uid="{A3248C48-E2F6-4B60-BBB1-56DF34E380D3}"/>
    <cellStyle name="Separador de milhares 2 3 7" xfId="73" xr:uid="{00000000-0005-0000-0000-00000F000000}"/>
    <cellStyle name="Separador de milhares 2 3 7 2" xfId="152" xr:uid="{00000000-0005-0000-0000-00000F000000}"/>
    <cellStyle name="Separador de milhares 2 3 7 2 2" xfId="703" xr:uid="{1CF26559-90A8-4BF3-8823-B0BB820A41B8}"/>
    <cellStyle name="Separador de milhares 2 3 7 2 3" xfId="1254" xr:uid="{BA4E95DB-D1AD-4A99-B41B-8E73C9B369D1}"/>
    <cellStyle name="Separador de milhares 2 3 7 3" xfId="231" xr:uid="{00000000-0005-0000-0000-00000F000000}"/>
    <cellStyle name="Separador de milhares 2 3 7 3 2" xfId="782" xr:uid="{480543C2-2754-4E67-A064-BA36BC5AAD5B}"/>
    <cellStyle name="Separador de milhares 2 3 7 3 3" xfId="1333" xr:uid="{3F7E4771-1067-4E19-90A8-30691E3B73D3}"/>
    <cellStyle name="Separador de milhares 2 3 7 4" xfId="311" xr:uid="{00000000-0005-0000-0000-00000F000000}"/>
    <cellStyle name="Separador de milhares 2 3 7 4 2" xfId="862" xr:uid="{1E90D29E-1421-473C-953C-8DED3E8A3EAF}"/>
    <cellStyle name="Separador de milhares 2 3 7 4 3" xfId="1412" xr:uid="{5C66FC94-67C6-40A1-BE19-9193F773C839}"/>
    <cellStyle name="Separador de milhares 2 3 7 5" xfId="389" xr:uid="{00000000-0005-0000-0000-00000F000000}"/>
    <cellStyle name="Separador de milhares 2 3 7 5 2" xfId="940" xr:uid="{991FBC76-FE34-484D-BE20-43DF64BBFD8C}"/>
    <cellStyle name="Separador de milhares 2 3 7 5 3" xfId="1490" xr:uid="{8E631159-F833-4313-8690-14696E18D196}"/>
    <cellStyle name="Separador de milhares 2 3 7 6" xfId="468" xr:uid="{00000000-0005-0000-0000-00000F000000}"/>
    <cellStyle name="Separador de milhares 2 3 7 6 2" xfId="1019" xr:uid="{0E2DDA42-0DD4-4B0E-B077-A6149FA3801C}"/>
    <cellStyle name="Separador de milhares 2 3 7 6 3" xfId="1569" xr:uid="{D7241CC2-EEB3-4019-99F2-59F74158B5E2}"/>
    <cellStyle name="Separador de milhares 2 3 7 7" xfId="546" xr:uid="{00000000-0005-0000-0000-00000F000000}"/>
    <cellStyle name="Separador de milhares 2 3 7 7 2" xfId="1097" xr:uid="{F772E049-5DEC-4905-AF83-F9E05BB2DFEF}"/>
    <cellStyle name="Separador de milhares 2 3 7 7 3" xfId="1647" xr:uid="{3E98DF7F-2255-43BE-8074-9FDC7FA79048}"/>
    <cellStyle name="Separador de milhares 2 3 7 8" xfId="625" xr:uid="{0EE68A27-B232-4E14-AB10-FC3D7811E33C}"/>
    <cellStyle name="Separador de milhares 2 3 7 9" xfId="1176" xr:uid="{05EB2740-4CE0-4141-9BE3-CFA56117C6D0}"/>
    <cellStyle name="Separador de milhares 2 3 8" xfId="89" xr:uid="{00000000-0005-0000-0000-000010000000}"/>
    <cellStyle name="Separador de milhares 2 3 8 2" xfId="640" xr:uid="{5C000B7E-6BE7-4D95-9E1E-4E2893061494}"/>
    <cellStyle name="Separador de milhares 2 3 8 3" xfId="1191" xr:uid="{FEB3EDDF-6E82-46C8-AEA9-001CF477416E}"/>
    <cellStyle name="Separador de milhares 2 3 9" xfId="167" xr:uid="{00000000-0005-0000-0000-000010000000}"/>
    <cellStyle name="Separador de milhares 2 3 9 2" xfId="718" xr:uid="{99B4605B-42A8-4A54-85F0-908BB214F9D9}"/>
    <cellStyle name="Separador de milhares 2 3 9 3" xfId="1269" xr:uid="{DB85E29D-A818-4F1F-99F6-30703857FF95}"/>
    <cellStyle name="Separador de milhares 3" xfId="3" xr:uid="{00000000-0005-0000-0000-000015000000}"/>
    <cellStyle name="Título 5" xfId="4" xr:uid="{00000000-0005-0000-0000-000016000000}"/>
    <cellStyle name="Vírgula" xfId="13" builtinId="3"/>
    <cellStyle name="Vírgula 10" xfId="488" xr:uid="{00000000-0005-0000-0000-000057020000}"/>
    <cellStyle name="Vírgula 10 2" xfId="1039" xr:uid="{AE8EDAF7-A4D4-4D2A-B2DC-CE6E5302350D}"/>
    <cellStyle name="Vírgula 10 3" xfId="1589" xr:uid="{76E5BA2D-45EC-4DA5-BAC4-CF10D40EF407}"/>
    <cellStyle name="Vírgula 11" xfId="566" xr:uid="{2329E1D0-4E08-48F4-98B2-CD5D3856AADA}"/>
    <cellStyle name="Vírgula 12" xfId="1117" xr:uid="{BDDC3ED5-9A28-4232-9460-88B40086C047}"/>
    <cellStyle name="Vírgula 2" xfId="30" xr:uid="{00000000-0005-0000-0000-000053000000}"/>
    <cellStyle name="Vírgula 2 10" xfId="1133" xr:uid="{944FF414-A5FE-4029-8C85-0F503C31C0A3}"/>
    <cellStyle name="Vírgula 2 2" xfId="62" xr:uid="{00000000-0005-0000-0000-000028000000}"/>
    <cellStyle name="Vírgula 2 2 2" xfId="141" xr:uid="{00000000-0005-0000-0000-000028000000}"/>
    <cellStyle name="Vírgula 2 2 2 2" xfId="692" xr:uid="{430D09C6-5DAF-4FC5-A414-DF2ABE46B8DC}"/>
    <cellStyle name="Vírgula 2 2 2 3" xfId="1243" xr:uid="{EA6C7265-5826-44A7-854D-3F607BC21938}"/>
    <cellStyle name="Vírgula 2 2 3" xfId="220" xr:uid="{00000000-0005-0000-0000-000028000000}"/>
    <cellStyle name="Vírgula 2 2 3 2" xfId="771" xr:uid="{D08C79D2-A2AD-473F-A309-237C6A806FC0}"/>
    <cellStyle name="Vírgula 2 2 3 3" xfId="1322" xr:uid="{E3371C33-2142-4360-9022-458B5748E9B2}"/>
    <cellStyle name="Vírgula 2 2 4" xfId="300" xr:uid="{00000000-0005-0000-0000-000028000000}"/>
    <cellStyle name="Vírgula 2 2 4 2" xfId="851" xr:uid="{E5FBB7B7-4CD7-4F0B-BA22-51BDBA54BA7C}"/>
    <cellStyle name="Vírgula 2 2 4 3" xfId="1401" xr:uid="{0368B47F-64BE-4642-94C8-C2B861FC3144}"/>
    <cellStyle name="Vírgula 2 2 5" xfId="378" xr:uid="{00000000-0005-0000-0000-000028000000}"/>
    <cellStyle name="Vírgula 2 2 5 2" xfId="929" xr:uid="{0D20B456-DE4C-457B-AAF3-B4113D5B5C38}"/>
    <cellStyle name="Vírgula 2 2 5 3" xfId="1479" xr:uid="{1257F5CC-E072-470F-A143-8CF44DF5A98F}"/>
    <cellStyle name="Vírgula 2 2 6" xfId="457" xr:uid="{00000000-0005-0000-0000-000028000000}"/>
    <cellStyle name="Vírgula 2 2 6 2" xfId="1008" xr:uid="{1848D41F-349F-4916-98A6-25F9FDDD5057}"/>
    <cellStyle name="Vírgula 2 2 6 3" xfId="1558" xr:uid="{FEF633C9-2DC8-4775-9AF3-9AD9DA39B423}"/>
    <cellStyle name="Vírgula 2 2 7" xfId="535" xr:uid="{00000000-0005-0000-0000-000028000000}"/>
    <cellStyle name="Vírgula 2 2 7 2" xfId="1086" xr:uid="{959142D8-41FC-497A-BE5D-3108C0727E3C}"/>
    <cellStyle name="Vírgula 2 2 7 3" xfId="1636" xr:uid="{A07CE149-53D3-49C6-9ECF-DA85BD0C7709}"/>
    <cellStyle name="Vírgula 2 2 8" xfId="614" xr:uid="{86274C05-51E5-4BDE-8718-8AAE2288AC46}"/>
    <cellStyle name="Vírgula 2 2 9" xfId="1165" xr:uid="{07D792B4-6587-4032-9B34-D7BAF101044B}"/>
    <cellStyle name="Vírgula 2 3" xfId="109" xr:uid="{00000000-0005-0000-0000-000053000000}"/>
    <cellStyle name="Vírgula 2 3 2" xfId="660" xr:uid="{6EDADD55-58EE-481D-A2CD-EAA9F07D8E82}"/>
    <cellStyle name="Vírgula 2 3 3" xfId="1211" xr:uid="{C0E5AD10-7196-43B1-A639-A3D17FBBD08E}"/>
    <cellStyle name="Vírgula 2 4" xfId="188" xr:uid="{00000000-0005-0000-0000-000053000000}"/>
    <cellStyle name="Vírgula 2 4 2" xfId="739" xr:uid="{5DCB4F1A-013A-4345-8C9F-3BC4C4DE7864}"/>
    <cellStyle name="Vírgula 2 4 3" xfId="1290" xr:uid="{2DB3ADF4-16C8-480A-9949-7EEC1B925B4F}"/>
    <cellStyle name="Vírgula 2 5" xfId="268" xr:uid="{00000000-0005-0000-0000-000053000000}"/>
    <cellStyle name="Vírgula 2 5 2" xfId="819" xr:uid="{A4690E13-7D36-4921-A1DD-53188839AF4A}"/>
    <cellStyle name="Vírgula 2 5 3" xfId="1369" xr:uid="{0300BA34-66D0-4343-BD03-16BACF80C075}"/>
    <cellStyle name="Vírgula 2 6" xfId="346" xr:uid="{00000000-0005-0000-0000-000053000000}"/>
    <cellStyle name="Vírgula 2 6 2" xfId="897" xr:uid="{E4ECC296-E4C7-498B-B213-6E42AA90F8BE}"/>
    <cellStyle name="Vírgula 2 6 3" xfId="1447" xr:uid="{50044CBB-DE17-4B1F-9611-6632F3E30D66}"/>
    <cellStyle name="Vírgula 2 7" xfId="425" xr:uid="{00000000-0005-0000-0000-000053000000}"/>
    <cellStyle name="Vírgula 2 7 2" xfId="976" xr:uid="{98C4D93E-C03D-4BA9-A9DC-E377E4A10F16}"/>
    <cellStyle name="Vírgula 2 7 3" xfId="1526" xr:uid="{B1C46E1E-590F-4BF9-A8AB-5009E81CB453}"/>
    <cellStyle name="Vírgula 2 8" xfId="503" xr:uid="{00000000-0005-0000-0000-000053000000}"/>
    <cellStyle name="Vírgula 2 8 2" xfId="1054" xr:uid="{8B59E275-B28A-4D2F-9CF5-A7299F256265}"/>
    <cellStyle name="Vírgula 2 8 3" xfId="1604" xr:uid="{07DED341-91B7-4145-8209-392F54AA74D1}"/>
    <cellStyle name="Vírgula 2 9" xfId="582" xr:uid="{E4B824E4-55DD-4464-AE82-C3A6DD341467}"/>
    <cellStyle name="Vírgula 3" xfId="46" xr:uid="{00000000-0005-0000-0000-000063000000}"/>
    <cellStyle name="Vírgula 3 2" xfId="125" xr:uid="{00000000-0005-0000-0000-000063000000}"/>
    <cellStyle name="Vírgula 3 2 2" xfId="676" xr:uid="{86BCF9AD-90C3-4D9D-8040-C2EF2D96A153}"/>
    <cellStyle name="Vírgula 3 2 3" xfId="1227" xr:uid="{1ED681CA-7EE3-42A1-B365-B15C8B232117}"/>
    <cellStyle name="Vírgula 3 3" xfId="204" xr:uid="{00000000-0005-0000-0000-000063000000}"/>
    <cellStyle name="Vírgula 3 3 2" xfId="755" xr:uid="{DD806EBC-10E1-4DFA-B432-68EF933FC7EA}"/>
    <cellStyle name="Vírgula 3 3 3" xfId="1306" xr:uid="{5AD139CC-819D-4E2E-856D-ED7E89B88262}"/>
    <cellStyle name="Vírgula 3 4" xfId="284" xr:uid="{00000000-0005-0000-0000-000063000000}"/>
    <cellStyle name="Vírgula 3 4 2" xfId="835" xr:uid="{9D7CD534-DD30-4A36-864B-C5AD728B0E02}"/>
    <cellStyle name="Vírgula 3 4 3" xfId="1385" xr:uid="{6367F60E-334F-42E4-89F1-6C8904831261}"/>
    <cellStyle name="Vírgula 3 5" xfId="362" xr:uid="{00000000-0005-0000-0000-000063000000}"/>
    <cellStyle name="Vírgula 3 5 2" xfId="913" xr:uid="{927F3CBF-E253-4CE5-9906-90A9195EB605}"/>
    <cellStyle name="Vírgula 3 5 3" xfId="1463" xr:uid="{BFB559B2-25A5-4A92-8CBE-8D121CB1F818}"/>
    <cellStyle name="Vírgula 3 6" xfId="441" xr:uid="{00000000-0005-0000-0000-000063000000}"/>
    <cellStyle name="Vírgula 3 6 2" xfId="992" xr:uid="{78B48586-953B-472E-BC71-75280C22D36D}"/>
    <cellStyle name="Vírgula 3 6 3" xfId="1542" xr:uid="{E60AF594-FEAD-4C7D-8867-08C34A208C64}"/>
    <cellStyle name="Vírgula 3 7" xfId="519" xr:uid="{00000000-0005-0000-0000-000063000000}"/>
    <cellStyle name="Vírgula 3 7 2" xfId="1070" xr:uid="{8F86FE3A-A0D0-4862-A676-EA9845375E10}"/>
    <cellStyle name="Vírgula 3 7 3" xfId="1620" xr:uid="{1ABF61AD-E680-4DCF-A504-F3F7AF3B737E}"/>
    <cellStyle name="Vírgula 3 8" xfId="598" xr:uid="{A7FA2CDA-8AE4-464E-8C71-CE84AAB1DB6F}"/>
    <cellStyle name="Vírgula 3 9" xfId="1149" xr:uid="{775A67AB-669F-4F99-AAF4-41790198D515}"/>
    <cellStyle name="Vírgula 4" xfId="78" xr:uid="{00000000-0005-0000-0000-000082000000}"/>
    <cellStyle name="Vírgula 4 2" xfId="157" xr:uid="{00000000-0005-0000-0000-000082000000}"/>
    <cellStyle name="Vírgula 4 2 2" xfId="708" xr:uid="{9B78BA6C-532C-4FA5-A753-DAD317563B73}"/>
    <cellStyle name="Vírgula 4 2 3" xfId="1259" xr:uid="{596D7A02-8C71-4EAA-A367-D7E22E29B426}"/>
    <cellStyle name="Vírgula 4 3" xfId="236" xr:uid="{00000000-0005-0000-0000-000082000000}"/>
    <cellStyle name="Vírgula 4 3 2" xfId="787" xr:uid="{24B1419F-FCB6-42D1-8226-D19919915ADC}"/>
    <cellStyle name="Vírgula 4 3 3" xfId="1338" xr:uid="{992D92BE-A6D9-4DDA-B169-3B0847DCCA13}"/>
    <cellStyle name="Vírgula 4 4" xfId="316" xr:uid="{00000000-0005-0000-0000-000082000000}"/>
    <cellStyle name="Vírgula 4 4 2" xfId="867" xr:uid="{D4777AE9-9358-40AD-AB7D-9313FD25108A}"/>
    <cellStyle name="Vírgula 4 4 3" xfId="1417" xr:uid="{BE168EE9-4572-467C-84DA-38EE82B66F16}"/>
    <cellStyle name="Vírgula 4 5" xfId="394" xr:uid="{00000000-0005-0000-0000-000082000000}"/>
    <cellStyle name="Vírgula 4 5 2" xfId="945" xr:uid="{79F7C04B-F62B-494E-9C03-770D0C647F5C}"/>
    <cellStyle name="Vírgula 4 5 3" xfId="1495" xr:uid="{6F9B034B-036A-48FA-AB99-ED117B72A5BA}"/>
    <cellStyle name="Vírgula 4 6" xfId="473" xr:uid="{00000000-0005-0000-0000-000082000000}"/>
    <cellStyle name="Vírgula 4 6 2" xfId="1024" xr:uid="{E90F5015-1387-4D7E-8868-E7ACF2364B86}"/>
    <cellStyle name="Vírgula 4 6 3" xfId="1574" xr:uid="{0140E5E4-0593-435B-A467-3C0DC9A773D4}"/>
    <cellStyle name="Vírgula 4 7" xfId="551" xr:uid="{00000000-0005-0000-0000-000082000000}"/>
    <cellStyle name="Vírgula 4 7 2" xfId="1102" xr:uid="{87624FA1-385C-411E-9C4C-588323FA8D6A}"/>
    <cellStyle name="Vírgula 4 7 3" xfId="1652" xr:uid="{823B95DF-9C6B-45BB-8A28-9E4C5640B7D0}"/>
    <cellStyle name="Vírgula 4 8" xfId="630" xr:uid="{EDA7142F-5872-4B6B-B55C-6A6D5BB58499}"/>
    <cellStyle name="Vírgula 4 9" xfId="1181" xr:uid="{B2B81B21-6829-42FD-A408-958E01C93F72}"/>
    <cellStyle name="Vírgula 5" xfId="94" xr:uid="{00000000-0005-0000-0000-0000CD000000}"/>
    <cellStyle name="Vírgula 5 2" xfId="645" xr:uid="{AACB4129-FEE5-486C-AF43-41EF136D6FFB}"/>
    <cellStyle name="Vírgula 5 3" xfId="1196" xr:uid="{D7CF9AA1-7B3B-4A7E-96C4-3B18BFBF4C51}"/>
    <cellStyle name="Vírgula 6" xfId="172" xr:uid="{00000000-0005-0000-0000-00001C010000}"/>
    <cellStyle name="Vírgula 6 2" xfId="723" xr:uid="{61053F1C-055F-483B-AED8-E44B92CE6C1A}"/>
    <cellStyle name="Vírgula 6 3" xfId="1274" xr:uid="{39F9800D-EA28-43DA-82A9-BCFD2AC43BCE}"/>
    <cellStyle name="Vírgula 7" xfId="251" xr:uid="{00000000-0005-0000-0000-00006C010000}"/>
    <cellStyle name="Vírgula 7 2" xfId="802" xr:uid="{3F9A882D-D253-4E1B-A73D-0C11659E67FF}"/>
    <cellStyle name="Vírgula 7 3" xfId="1353" xr:uid="{2249C3F0-8D21-4257-A140-29616123A02A}"/>
    <cellStyle name="Vírgula 8" xfId="331" xr:uid="{00000000-0005-0000-0000-0000BA010000}"/>
    <cellStyle name="Vírgula 8 2" xfId="882" xr:uid="{F00B80BC-956D-4ACE-A475-1C331474E664}"/>
    <cellStyle name="Vírgula 8 3" xfId="1432" xr:uid="{1CD16429-1187-4951-849F-9D5E38E56681}"/>
    <cellStyle name="Vírgula 9" xfId="409" xr:uid="{00000000-0005-0000-0000-000009020000}"/>
    <cellStyle name="Vírgula 9 2" xfId="960" xr:uid="{9FA87020-E855-454F-9F2F-684253B9DE89}"/>
    <cellStyle name="Vírgula 9 3" xfId="1510" xr:uid="{D1BF8577-4CE1-4A10-9736-3A12D7311CD0}"/>
  </cellStyles>
  <dxfs count="51">
    <dxf>
      <fill>
        <patternFill>
          <bgColor theme="3"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ill>
        <patternFill>
          <bgColor theme="3"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66"/>
        </patternFill>
      </fill>
    </dxf>
    <dxf>
      <font>
        <color rgb="FF9C0006"/>
      </font>
      <fill>
        <patternFill>
          <bgColor rgb="FFFFC7CE"/>
        </patternFill>
      </fill>
    </dxf>
    <dxf>
      <font>
        <color rgb="FF9C0006"/>
      </font>
      <fill>
        <patternFill>
          <bgColor rgb="FFFFC7CE"/>
        </patternFill>
      </fill>
    </dxf>
    <dxf>
      <fill>
        <patternFill>
          <bgColor rgb="FFFFFF66"/>
        </patternFill>
      </fill>
    </dxf>
    <dxf>
      <font>
        <color rgb="FF9C0006"/>
      </font>
      <fill>
        <patternFill>
          <bgColor rgb="FFFFC7CE"/>
        </patternFill>
      </fill>
    </dxf>
    <dxf>
      <fill>
        <patternFill>
          <bgColor rgb="FFFFFF66"/>
        </patternFill>
      </fill>
    </dxf>
    <dxf>
      <font>
        <color rgb="FF9C0006"/>
      </font>
      <fill>
        <patternFill>
          <bgColor rgb="FFFFC7CE"/>
        </patternFill>
      </fill>
    </dxf>
    <dxf>
      <fill>
        <patternFill>
          <bgColor rgb="FFFFFF66"/>
        </patternFill>
      </fill>
    </dxf>
    <dxf>
      <font>
        <color rgb="FF9C0006"/>
      </font>
      <fill>
        <patternFill>
          <bgColor rgb="FFFFC7CE"/>
        </patternFill>
      </fill>
    </dxf>
    <dxf>
      <fill>
        <patternFill>
          <bgColor rgb="FFFFFF66"/>
        </patternFill>
      </fill>
    </dxf>
    <dxf>
      <font>
        <color rgb="FF9C0006"/>
      </font>
      <fill>
        <patternFill>
          <bgColor rgb="FFFFC7CE"/>
        </patternFill>
      </fill>
    </dxf>
    <dxf>
      <fill>
        <patternFill>
          <bgColor rgb="FFFFFF66"/>
        </patternFill>
      </fill>
    </dxf>
    <dxf>
      <font>
        <color rgb="FF9C0006"/>
      </font>
      <fill>
        <patternFill>
          <bgColor rgb="FFFFC7CE"/>
        </patternFill>
      </fill>
    </dxf>
    <dxf>
      <fill>
        <patternFill>
          <bgColor rgb="FFFFFF66"/>
        </patternFill>
      </fill>
    </dxf>
    <dxf>
      <font>
        <color rgb="FF9C0006"/>
      </font>
      <fill>
        <patternFill>
          <bgColor rgb="FFFFC7CE"/>
        </patternFill>
      </fill>
    </dxf>
    <dxf>
      <font>
        <color rgb="FF9C0006"/>
      </font>
      <fill>
        <patternFill>
          <bgColor rgb="FFFFC7CE"/>
        </patternFill>
      </fill>
    </dxf>
    <dxf>
      <fill>
        <patternFill>
          <bgColor rgb="FFFFFF66"/>
        </patternFill>
      </fill>
    </dxf>
    <dxf>
      <font>
        <color rgb="FF9C0006"/>
      </font>
      <fill>
        <patternFill>
          <bgColor rgb="FFFFC7CE"/>
        </patternFill>
      </fill>
    </dxf>
    <dxf>
      <fill>
        <patternFill>
          <bgColor rgb="FFFFFF66"/>
        </patternFill>
      </fill>
    </dxf>
    <dxf>
      <font>
        <color rgb="FF9C0006"/>
      </font>
      <fill>
        <patternFill>
          <bgColor rgb="FFFFC7CE"/>
        </patternFill>
      </fill>
    </dxf>
    <dxf>
      <fill>
        <patternFill>
          <bgColor rgb="FFFFFF66"/>
        </patternFill>
      </fill>
    </dxf>
    <dxf>
      <font>
        <color rgb="FF9C0006"/>
      </font>
      <fill>
        <patternFill>
          <bgColor rgb="FFFFC7CE"/>
        </patternFill>
      </fill>
    </dxf>
    <dxf>
      <fill>
        <patternFill>
          <bgColor rgb="FFFFFF66"/>
        </patternFill>
      </fill>
    </dxf>
    <dxf>
      <font>
        <color rgb="FF9C0006"/>
      </font>
      <fill>
        <patternFill>
          <bgColor rgb="FFFFC7CE"/>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ont>
        <color rgb="FF9C0006"/>
      </font>
      <fill>
        <patternFill>
          <bgColor rgb="FFFFC7CE"/>
        </patternFill>
      </fill>
    </dxf>
    <dxf>
      <fill>
        <patternFill>
          <bgColor rgb="FFFFFF66"/>
        </patternFill>
      </fill>
    </dxf>
    <dxf>
      <font>
        <color rgb="FF9C0006"/>
      </font>
      <fill>
        <patternFill>
          <bgColor rgb="FFFFC7CE"/>
        </patternFill>
      </fill>
    </dxf>
    <dxf>
      <fill>
        <patternFill>
          <bgColor rgb="FFFFFF66"/>
        </patternFill>
      </fill>
    </dxf>
    <dxf>
      <font>
        <color rgb="FF9C0006"/>
      </font>
      <fill>
        <patternFill>
          <bgColor rgb="FFFFC7CE"/>
        </patternFill>
      </fill>
    </dxf>
  </dxfs>
  <tableStyles count="1" defaultTableStyle="TableStyleMedium9" defaultPivotStyle="PivotStyleLight16">
    <tableStyle name="Invisible" pivot="0" table="0" count="0" xr9:uid="{26214484-416D-4E37-B86B-00C7C3553B7E}"/>
  </tableStyles>
  <colors>
    <mruColors>
      <color rgb="FFC5D9F1"/>
      <color rgb="FF99FF33"/>
      <color rgb="FFFFFF66"/>
      <color rgb="FF0066FF"/>
      <color rgb="FF95B3D7"/>
      <color rgb="FFFF9933"/>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comments" Target="../comments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5" Type="http://schemas.openxmlformats.org/officeDocument/2006/relationships/printerSettings" Target="../printerSettings/printerSettings24.bin"/><Relationship Id="rId4" Type="http://schemas.openxmlformats.org/officeDocument/2006/relationships/printerSettings" Target="../printerSettings/printerSettings23.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92"/>
  <sheetViews>
    <sheetView topLeftCell="A43" zoomScale="90" zoomScaleNormal="90" workbookViewId="0">
      <selection activeCell="B39" sqref="B39:B45"/>
    </sheetView>
  </sheetViews>
  <sheetFormatPr defaultColWidth="9.7265625" defaultRowHeight="30.25" customHeight="1" x14ac:dyDescent="0.35"/>
  <cols>
    <col min="1" max="1" width="5.26953125" style="1" customWidth="1"/>
    <col min="2" max="2" width="6.453125" style="1" customWidth="1"/>
    <col min="3" max="3" width="14" style="1" customWidth="1"/>
    <col min="4" max="4" width="22" style="3" customWidth="1"/>
    <col min="5" max="5" width="12.26953125" style="1" customWidth="1"/>
    <col min="6" max="6" width="2.54296875" style="1" customWidth="1"/>
    <col min="7" max="7" width="1.7265625" style="1" customWidth="1"/>
    <col min="8" max="8" width="7.7265625" style="1" customWidth="1"/>
    <col min="9" max="9" width="10.1796875" style="1" customWidth="1"/>
    <col min="10" max="10" width="12.1796875" style="3" customWidth="1"/>
    <col min="11" max="11" width="10.453125" style="4" customWidth="1"/>
    <col min="12" max="12" width="4.54296875" style="4" customWidth="1"/>
    <col min="13" max="13" width="5.81640625" style="4" customWidth="1"/>
    <col min="14" max="14" width="9.26953125" style="4" customWidth="1"/>
    <col min="15" max="15" width="6.1796875" style="4" customWidth="1"/>
    <col min="16" max="16" width="5" style="4" customWidth="1"/>
    <col min="17" max="17" width="5.453125" style="4" customWidth="1"/>
    <col min="18" max="18" width="7.453125" style="4" customWidth="1"/>
    <col min="19" max="19" width="10.26953125" style="12" customWidth="1"/>
    <col min="20" max="20" width="10.81640625" style="5" customWidth="1"/>
    <col min="21" max="21" width="13.26953125" style="6" customWidth="1"/>
    <col min="22" max="22" width="14.1796875" style="6" customWidth="1"/>
    <col min="23" max="23" width="13.453125" style="6" customWidth="1"/>
    <col min="24" max="25" width="14.1796875" style="6" customWidth="1"/>
    <col min="26" max="26" width="12.453125" style="6" customWidth="1"/>
    <col min="27" max="27" width="13.26953125" style="6" customWidth="1"/>
    <col min="28" max="28" width="12.7265625" style="6" customWidth="1"/>
    <col min="29" max="29" width="13.7265625" style="6" customWidth="1"/>
    <col min="30" max="30" width="12.7265625" style="6" customWidth="1"/>
    <col min="31" max="31" width="13.81640625" style="6" customWidth="1"/>
    <col min="32" max="32" width="13.453125" style="6" customWidth="1"/>
    <col min="33" max="35" width="12.453125" style="2" customWidth="1"/>
    <col min="36" max="36" width="15.453125" style="2" bestFit="1" customWidth="1"/>
    <col min="37" max="38" width="12.453125" style="2" customWidth="1"/>
    <col min="39" max="39" width="13.7265625" style="2" customWidth="1"/>
    <col min="40" max="42" width="12.453125" style="2" customWidth="1"/>
    <col min="43" max="43" width="13.7265625" style="2" customWidth="1"/>
    <col min="44" max="16384" width="9.7265625" style="2"/>
  </cols>
  <sheetData>
    <row r="1" spans="1:43" ht="44.15" customHeight="1" x14ac:dyDescent="0.35">
      <c r="A1" s="202" t="s">
        <v>52</v>
      </c>
      <c r="B1" s="203"/>
      <c r="C1" s="204"/>
      <c r="D1" s="211" t="s">
        <v>48</v>
      </c>
      <c r="E1" s="212"/>
      <c r="F1" s="212"/>
      <c r="G1" s="212"/>
      <c r="H1" s="212"/>
      <c r="I1" s="212"/>
      <c r="J1" s="213"/>
      <c r="K1" s="201" t="s">
        <v>49</v>
      </c>
      <c r="L1" s="201"/>
      <c r="M1" s="201"/>
      <c r="N1" s="201"/>
      <c r="O1" s="201"/>
      <c r="P1" s="201"/>
      <c r="Q1" s="201"/>
      <c r="R1" s="201"/>
      <c r="S1" s="201"/>
      <c r="T1" s="201"/>
      <c r="U1" s="191" t="s">
        <v>191</v>
      </c>
      <c r="V1" s="191" t="s">
        <v>192</v>
      </c>
      <c r="W1" s="191" t="s">
        <v>193</v>
      </c>
      <c r="X1" s="191" t="s">
        <v>194</v>
      </c>
      <c r="Y1" s="191" t="s">
        <v>200</v>
      </c>
      <c r="Z1" s="191" t="s">
        <v>201</v>
      </c>
      <c r="AA1" s="191" t="s">
        <v>202</v>
      </c>
      <c r="AB1" s="191" t="s">
        <v>204</v>
      </c>
      <c r="AC1" s="191" t="s">
        <v>205</v>
      </c>
      <c r="AD1" s="191" t="s">
        <v>306</v>
      </c>
      <c r="AE1" s="191" t="s">
        <v>317</v>
      </c>
      <c r="AF1" s="191" t="s">
        <v>318</v>
      </c>
      <c r="AG1" s="191" t="s">
        <v>316</v>
      </c>
      <c r="AH1" s="193" t="s">
        <v>319</v>
      </c>
      <c r="AI1" s="193" t="s">
        <v>324</v>
      </c>
      <c r="AJ1" s="193" t="s">
        <v>325</v>
      </c>
      <c r="AK1" s="193" t="s">
        <v>326</v>
      </c>
      <c r="AL1" s="193" t="s">
        <v>327</v>
      </c>
      <c r="AM1" s="191" t="s">
        <v>315</v>
      </c>
      <c r="AN1" s="191" t="s">
        <v>315</v>
      </c>
      <c r="AO1" s="191" t="s">
        <v>315</v>
      </c>
      <c r="AP1" s="191" t="s">
        <v>315</v>
      </c>
      <c r="AQ1" s="191" t="s">
        <v>315</v>
      </c>
    </row>
    <row r="2" spans="1:43" ht="23.5" customHeight="1" x14ac:dyDescent="0.35">
      <c r="A2" s="211" t="s">
        <v>168</v>
      </c>
      <c r="B2" s="212"/>
      <c r="C2" s="212"/>
      <c r="D2" s="212"/>
      <c r="E2" s="212"/>
      <c r="F2" s="212"/>
      <c r="G2" s="212"/>
      <c r="H2" s="212"/>
      <c r="I2" s="212"/>
      <c r="J2" s="213"/>
      <c r="K2" s="214" t="s">
        <v>62</v>
      </c>
      <c r="L2" s="215"/>
      <c r="M2" s="215"/>
      <c r="N2" s="215"/>
      <c r="O2" s="215"/>
      <c r="P2" s="215"/>
      <c r="Q2" s="215"/>
      <c r="R2" s="215"/>
      <c r="S2" s="215"/>
      <c r="T2" s="216"/>
      <c r="U2" s="192"/>
      <c r="V2" s="192"/>
      <c r="W2" s="192"/>
      <c r="X2" s="192"/>
      <c r="Y2" s="192"/>
      <c r="Z2" s="192"/>
      <c r="AA2" s="192"/>
      <c r="AB2" s="192"/>
      <c r="AC2" s="192"/>
      <c r="AD2" s="192"/>
      <c r="AE2" s="192"/>
      <c r="AF2" s="192"/>
      <c r="AG2" s="192"/>
      <c r="AH2" s="194"/>
      <c r="AI2" s="194"/>
      <c r="AJ2" s="194"/>
      <c r="AK2" s="194"/>
      <c r="AL2" s="194"/>
      <c r="AM2" s="192"/>
      <c r="AN2" s="192"/>
      <c r="AO2" s="192"/>
      <c r="AP2" s="192"/>
      <c r="AQ2" s="192"/>
    </row>
    <row r="3" spans="1:43" s="3" customFormat="1" ht="43.5" customHeight="1" x14ac:dyDescent="0.25">
      <c r="A3" s="7" t="s">
        <v>3</v>
      </c>
      <c r="B3" s="7" t="s">
        <v>56</v>
      </c>
      <c r="C3" s="7" t="s">
        <v>57</v>
      </c>
      <c r="D3" s="8" t="s">
        <v>58</v>
      </c>
      <c r="E3" s="8" t="s">
        <v>59</v>
      </c>
      <c r="F3" s="8" t="s">
        <v>18</v>
      </c>
      <c r="G3" s="8" t="s">
        <v>19</v>
      </c>
      <c r="H3" s="8" t="s">
        <v>60</v>
      </c>
      <c r="I3" s="8" t="s">
        <v>61</v>
      </c>
      <c r="J3" s="9" t="s">
        <v>50</v>
      </c>
      <c r="K3" s="52" t="s">
        <v>212</v>
      </c>
      <c r="L3" s="52" t="s">
        <v>207</v>
      </c>
      <c r="M3" s="52" t="s">
        <v>208</v>
      </c>
      <c r="N3" s="52" t="s">
        <v>209</v>
      </c>
      <c r="O3" s="52" t="s">
        <v>210</v>
      </c>
      <c r="P3" s="52" t="s">
        <v>211</v>
      </c>
      <c r="Q3" s="52" t="s">
        <v>213</v>
      </c>
      <c r="R3" s="52" t="s">
        <v>214</v>
      </c>
      <c r="S3" s="130" t="s">
        <v>0</v>
      </c>
      <c r="T3" s="131" t="s">
        <v>2</v>
      </c>
      <c r="U3" s="156">
        <v>45506</v>
      </c>
      <c r="V3" s="156">
        <v>45506</v>
      </c>
      <c r="W3" s="156">
        <v>45506</v>
      </c>
      <c r="X3" s="156">
        <v>45506</v>
      </c>
      <c r="Y3" s="156">
        <v>45548</v>
      </c>
      <c r="Z3" s="156">
        <v>45548</v>
      </c>
      <c r="AA3" s="156">
        <v>45548</v>
      </c>
      <c r="AB3" s="156">
        <v>45596</v>
      </c>
      <c r="AC3" s="156">
        <v>45617</v>
      </c>
      <c r="AD3" s="156">
        <v>45693</v>
      </c>
      <c r="AE3" s="156">
        <v>45709</v>
      </c>
      <c r="AF3" s="156">
        <v>45712</v>
      </c>
      <c r="AG3" s="156">
        <v>45730</v>
      </c>
      <c r="AH3" s="157">
        <v>45755</v>
      </c>
      <c r="AI3" s="157">
        <v>45785</v>
      </c>
      <c r="AJ3" s="157">
        <v>45785</v>
      </c>
      <c r="AK3" s="157">
        <v>45785</v>
      </c>
      <c r="AL3" s="157">
        <v>45785</v>
      </c>
      <c r="AM3" s="156" t="s">
        <v>1</v>
      </c>
      <c r="AN3" s="156" t="s">
        <v>1</v>
      </c>
      <c r="AO3" s="156" t="s">
        <v>1</v>
      </c>
      <c r="AP3" s="156" t="s">
        <v>1</v>
      </c>
      <c r="AQ3" s="156" t="s">
        <v>1</v>
      </c>
    </row>
    <row r="4" spans="1:43" ht="30.25" customHeight="1" x14ac:dyDescent="0.35">
      <c r="A4" s="37">
        <v>1</v>
      </c>
      <c r="B4" s="37">
        <v>1</v>
      </c>
      <c r="C4" s="35" t="s">
        <v>63</v>
      </c>
      <c r="D4" s="34" t="s">
        <v>64</v>
      </c>
      <c r="E4" s="35" t="s">
        <v>65</v>
      </c>
      <c r="F4" s="35" t="s">
        <v>20</v>
      </c>
      <c r="G4" s="35" t="s">
        <v>66</v>
      </c>
      <c r="H4" s="35" t="s">
        <v>5</v>
      </c>
      <c r="I4" s="35" t="s">
        <v>6</v>
      </c>
      <c r="J4" s="36">
        <v>1670</v>
      </c>
      <c r="K4" s="27">
        <f>0</f>
        <v>0</v>
      </c>
      <c r="L4" s="127">
        <f>IF(SUM(U4:AQ4)&gt;K4+N4,K4+N4,SUM(U4:AQ4))</f>
        <v>0</v>
      </c>
      <c r="M4" s="127">
        <f>(SUM(U4:AQ4))</f>
        <v>0</v>
      </c>
      <c r="N4" s="128"/>
      <c r="O4" s="129">
        <f>ROUND(IF(K4*0.25-0.5&lt;0,0,K4*0.25-0.5),0)-R4-P4</f>
        <v>0</v>
      </c>
      <c r="P4" s="128"/>
      <c r="Q4" s="128"/>
      <c r="R4" s="128"/>
      <c r="S4" s="26">
        <f>K4-SUM(U4:AQ4)+N4</f>
        <v>0</v>
      </c>
      <c r="T4" s="25" t="str">
        <f>IF(S4&lt;0,"ATENÇÃO","OK")</f>
        <v>OK</v>
      </c>
      <c r="U4" s="22"/>
      <c r="V4" s="24"/>
      <c r="W4" s="24"/>
      <c r="X4" s="24"/>
      <c r="Y4" s="24"/>
      <c r="Z4" s="24"/>
      <c r="AA4" s="24"/>
      <c r="AB4" s="22"/>
      <c r="AC4" s="22"/>
      <c r="AD4" s="22"/>
      <c r="AE4" s="22"/>
      <c r="AF4" s="153"/>
      <c r="AG4" s="153"/>
      <c r="AH4" s="153"/>
      <c r="AI4" s="153"/>
      <c r="AJ4" s="153"/>
      <c r="AK4" s="153"/>
      <c r="AL4" s="153"/>
      <c r="AM4" s="153"/>
      <c r="AN4" s="153"/>
      <c r="AO4" s="153"/>
      <c r="AP4" s="153"/>
      <c r="AQ4" s="153"/>
    </row>
    <row r="5" spans="1:43" ht="30.25" customHeight="1" x14ac:dyDescent="0.35">
      <c r="A5" s="44">
        <v>2</v>
      </c>
      <c r="B5" s="44">
        <v>2</v>
      </c>
      <c r="C5" s="45" t="s">
        <v>67</v>
      </c>
      <c r="D5" s="46" t="s">
        <v>68</v>
      </c>
      <c r="E5" s="45" t="s">
        <v>69</v>
      </c>
      <c r="F5" s="45" t="s">
        <v>20</v>
      </c>
      <c r="G5" s="45" t="s">
        <v>66</v>
      </c>
      <c r="H5" s="45" t="s">
        <v>5</v>
      </c>
      <c r="I5" s="45" t="s">
        <v>6</v>
      </c>
      <c r="J5" s="47">
        <v>1651.67</v>
      </c>
      <c r="K5" s="27">
        <f>0</f>
        <v>0</v>
      </c>
      <c r="L5" s="127">
        <f t="shared" ref="L5:L68" si="0">IF(SUM(U5:AQ5)&gt;K5+N5,K5+N5,SUM(U5:AQ5))</f>
        <v>4</v>
      </c>
      <c r="M5" s="127">
        <f t="shared" ref="M5:M68" si="1">(SUM(U5:AQ5))</f>
        <v>4</v>
      </c>
      <c r="N5" s="128">
        <f>2+2</f>
        <v>4</v>
      </c>
      <c r="O5" s="129">
        <f t="shared" ref="O5:O68" si="2">ROUND(IF(K5*0.25-0.5&lt;0,0,K5*0.25-0.5),0)-R5-P5</f>
        <v>0</v>
      </c>
      <c r="P5" s="128"/>
      <c r="Q5" s="128"/>
      <c r="R5" s="128"/>
      <c r="S5" s="26">
        <f t="shared" ref="S5:S68" si="3">K5-SUM(U5:AQ5)+N5</f>
        <v>0</v>
      </c>
      <c r="T5" s="25" t="str">
        <f t="shared" ref="T5:T45" si="4">IF(S5&lt;0,"ATENÇÃO","OK")</f>
        <v>OK</v>
      </c>
      <c r="U5" s="22"/>
      <c r="V5" s="24"/>
      <c r="W5" s="24"/>
      <c r="X5" s="24"/>
      <c r="Y5" s="24"/>
      <c r="Z5" s="24"/>
      <c r="AA5" s="24"/>
      <c r="AB5" s="22"/>
      <c r="AC5" s="22"/>
      <c r="AD5" s="22"/>
      <c r="AE5" s="22"/>
      <c r="AF5" s="153"/>
      <c r="AG5" s="153"/>
      <c r="AH5" s="153"/>
      <c r="AI5" s="153"/>
      <c r="AJ5" s="153"/>
      <c r="AK5" s="153"/>
      <c r="AL5" s="153">
        <v>4</v>
      </c>
      <c r="AM5" s="153"/>
      <c r="AN5" s="153"/>
      <c r="AO5" s="153"/>
      <c r="AP5" s="153"/>
      <c r="AQ5" s="153"/>
    </row>
    <row r="6" spans="1:43" ht="30.25" customHeight="1" x14ac:dyDescent="0.35">
      <c r="A6" s="37">
        <v>3</v>
      </c>
      <c r="B6" s="37">
        <v>3</v>
      </c>
      <c r="C6" s="35" t="s">
        <v>63</v>
      </c>
      <c r="D6" s="34" t="s">
        <v>70</v>
      </c>
      <c r="E6" s="35" t="s">
        <v>71</v>
      </c>
      <c r="F6" s="35" t="s">
        <v>20</v>
      </c>
      <c r="G6" s="35" t="s">
        <v>72</v>
      </c>
      <c r="H6" s="35" t="s">
        <v>5</v>
      </c>
      <c r="I6" s="35" t="s">
        <v>6</v>
      </c>
      <c r="J6" s="36">
        <v>1802</v>
      </c>
      <c r="K6" s="27">
        <f>1</f>
        <v>1</v>
      </c>
      <c r="L6" s="127">
        <f t="shared" si="0"/>
        <v>1</v>
      </c>
      <c r="M6" s="127">
        <f t="shared" si="1"/>
        <v>1</v>
      </c>
      <c r="N6" s="128"/>
      <c r="O6" s="129">
        <f t="shared" si="2"/>
        <v>0</v>
      </c>
      <c r="P6" s="128"/>
      <c r="Q6" s="128"/>
      <c r="R6" s="128"/>
      <c r="S6" s="26">
        <f t="shared" si="3"/>
        <v>0</v>
      </c>
      <c r="T6" s="25" t="str">
        <f t="shared" si="4"/>
        <v>OK</v>
      </c>
      <c r="U6" s="22"/>
      <c r="V6" s="22">
        <v>1</v>
      </c>
      <c r="W6" s="24"/>
      <c r="X6" s="24"/>
      <c r="Y6" s="24"/>
      <c r="Z6" s="24"/>
      <c r="AA6" s="24"/>
      <c r="AB6" s="22"/>
      <c r="AC6" s="22"/>
      <c r="AD6" s="22"/>
      <c r="AE6" s="22"/>
      <c r="AF6" s="153"/>
      <c r="AG6" s="153"/>
      <c r="AH6" s="153"/>
      <c r="AI6" s="153"/>
      <c r="AJ6" s="153"/>
      <c r="AK6" s="153"/>
      <c r="AL6" s="153"/>
      <c r="AM6" s="153"/>
      <c r="AN6" s="153"/>
      <c r="AO6" s="153"/>
      <c r="AP6" s="153"/>
      <c r="AQ6" s="153"/>
    </row>
    <row r="7" spans="1:43" ht="30.25" customHeight="1" x14ac:dyDescent="0.35">
      <c r="A7" s="44">
        <v>4</v>
      </c>
      <c r="B7" s="44">
        <v>4</v>
      </c>
      <c r="C7" s="45" t="s">
        <v>67</v>
      </c>
      <c r="D7" s="46" t="s">
        <v>73</v>
      </c>
      <c r="E7" s="45" t="s">
        <v>74</v>
      </c>
      <c r="F7" s="45" t="s">
        <v>20</v>
      </c>
      <c r="G7" s="45" t="s">
        <v>75</v>
      </c>
      <c r="H7" s="45" t="s">
        <v>5</v>
      </c>
      <c r="I7" s="45" t="s">
        <v>6</v>
      </c>
      <c r="J7" s="47">
        <v>1800</v>
      </c>
      <c r="K7" s="27">
        <f>0</f>
        <v>0</v>
      </c>
      <c r="L7" s="127">
        <f t="shared" si="0"/>
        <v>0</v>
      </c>
      <c r="M7" s="127">
        <f t="shared" si="1"/>
        <v>0</v>
      </c>
      <c r="N7" s="128"/>
      <c r="O7" s="129">
        <f t="shared" si="2"/>
        <v>0</v>
      </c>
      <c r="P7" s="128"/>
      <c r="Q7" s="128"/>
      <c r="R7" s="128"/>
      <c r="S7" s="26">
        <f t="shared" si="3"/>
        <v>0</v>
      </c>
      <c r="T7" s="25" t="str">
        <f t="shared" si="4"/>
        <v>OK</v>
      </c>
      <c r="U7" s="22"/>
      <c r="V7" s="24"/>
      <c r="W7" s="24"/>
      <c r="X7" s="24"/>
      <c r="Y7" s="24"/>
      <c r="Z7" s="24"/>
      <c r="AA7" s="24"/>
      <c r="AB7" s="22"/>
      <c r="AC7" s="22"/>
      <c r="AD7" s="22"/>
      <c r="AE7" s="22"/>
      <c r="AF7" s="153"/>
      <c r="AG7" s="153"/>
      <c r="AH7" s="153"/>
      <c r="AI7" s="153"/>
      <c r="AJ7" s="153"/>
      <c r="AK7" s="153"/>
      <c r="AL7" s="153"/>
      <c r="AM7" s="153"/>
      <c r="AN7" s="153"/>
      <c r="AO7" s="153"/>
      <c r="AP7" s="153"/>
      <c r="AQ7" s="153"/>
    </row>
    <row r="8" spans="1:43" ht="30.25" customHeight="1" x14ac:dyDescent="0.35">
      <c r="A8" s="37">
        <v>5</v>
      </c>
      <c r="B8" s="37">
        <v>5</v>
      </c>
      <c r="C8" s="35" t="s">
        <v>63</v>
      </c>
      <c r="D8" s="34" t="s">
        <v>76</v>
      </c>
      <c r="E8" s="35" t="s">
        <v>77</v>
      </c>
      <c r="F8" s="35" t="s">
        <v>20</v>
      </c>
      <c r="G8" s="35" t="s">
        <v>78</v>
      </c>
      <c r="H8" s="35" t="s">
        <v>5</v>
      </c>
      <c r="I8" s="35" t="s">
        <v>6</v>
      </c>
      <c r="J8" s="36">
        <v>2686</v>
      </c>
      <c r="K8" s="27">
        <f>2</f>
        <v>2</v>
      </c>
      <c r="L8" s="127">
        <f t="shared" si="0"/>
        <v>2</v>
      </c>
      <c r="M8" s="127">
        <f t="shared" si="1"/>
        <v>2</v>
      </c>
      <c r="N8" s="128"/>
      <c r="O8" s="129">
        <f t="shared" si="2"/>
        <v>0</v>
      </c>
      <c r="P8" s="128"/>
      <c r="Q8" s="128"/>
      <c r="R8" s="128"/>
      <c r="S8" s="26">
        <f t="shared" si="3"/>
        <v>0</v>
      </c>
      <c r="T8" s="25" t="str">
        <f t="shared" si="4"/>
        <v>OK</v>
      </c>
      <c r="U8" s="22"/>
      <c r="V8" s="22">
        <v>2</v>
      </c>
      <c r="W8" s="24"/>
      <c r="X8" s="24"/>
      <c r="Y8" s="24"/>
      <c r="Z8" s="24"/>
      <c r="AA8" s="24"/>
      <c r="AB8" s="22"/>
      <c r="AC8" s="22"/>
      <c r="AD8" s="22"/>
      <c r="AE8" s="22"/>
      <c r="AF8" s="153"/>
      <c r="AG8" s="153"/>
      <c r="AH8" s="153"/>
      <c r="AI8" s="153"/>
      <c r="AJ8" s="153"/>
      <c r="AK8" s="153"/>
      <c r="AL8" s="153"/>
      <c r="AM8" s="153"/>
      <c r="AN8" s="153"/>
      <c r="AO8" s="153"/>
      <c r="AP8" s="153"/>
      <c r="AQ8" s="153"/>
    </row>
    <row r="9" spans="1:43" ht="56.5" customHeight="1" x14ac:dyDescent="0.35">
      <c r="A9" s="44">
        <v>6</v>
      </c>
      <c r="B9" s="44">
        <v>6</v>
      </c>
      <c r="C9" s="45" t="s">
        <v>67</v>
      </c>
      <c r="D9" s="46" t="s">
        <v>79</v>
      </c>
      <c r="E9" s="107" t="s">
        <v>182</v>
      </c>
      <c r="F9" s="45" t="s">
        <v>20</v>
      </c>
      <c r="G9" s="45" t="s">
        <v>21</v>
      </c>
      <c r="H9" s="45" t="s">
        <v>5</v>
      </c>
      <c r="I9" s="45" t="s">
        <v>6</v>
      </c>
      <c r="J9" s="47">
        <v>2821.51</v>
      </c>
      <c r="K9" s="27">
        <v>0</v>
      </c>
      <c r="L9" s="127">
        <f t="shared" si="0"/>
        <v>0</v>
      </c>
      <c r="M9" s="127">
        <f t="shared" si="1"/>
        <v>0</v>
      </c>
      <c r="N9" s="128"/>
      <c r="O9" s="129">
        <f t="shared" si="2"/>
        <v>0</v>
      </c>
      <c r="P9" s="128"/>
      <c r="Q9" s="128"/>
      <c r="R9" s="128"/>
      <c r="S9" s="26">
        <f t="shared" si="3"/>
        <v>0</v>
      </c>
      <c r="T9" s="25" t="str">
        <f t="shared" si="4"/>
        <v>OK</v>
      </c>
      <c r="U9" s="22"/>
      <c r="V9" s="24"/>
      <c r="W9" s="24"/>
      <c r="X9" s="24"/>
      <c r="Y9" s="24"/>
      <c r="Z9" s="24"/>
      <c r="AA9" s="24"/>
      <c r="AB9" s="22"/>
      <c r="AC9" s="22"/>
      <c r="AD9" s="22"/>
      <c r="AE9" s="22"/>
      <c r="AF9" s="153"/>
      <c r="AG9" s="153"/>
      <c r="AH9" s="153"/>
      <c r="AI9" s="153"/>
      <c r="AJ9" s="153"/>
      <c r="AK9" s="153"/>
      <c r="AL9" s="153"/>
      <c r="AM9" s="153"/>
      <c r="AN9" s="153"/>
      <c r="AO9" s="153"/>
      <c r="AP9" s="153"/>
      <c r="AQ9" s="153"/>
    </row>
    <row r="10" spans="1:43" ht="30.25" customHeight="1" x14ac:dyDescent="0.35">
      <c r="A10" s="37">
        <v>7</v>
      </c>
      <c r="B10" s="37">
        <v>7</v>
      </c>
      <c r="C10" s="35" t="s">
        <v>63</v>
      </c>
      <c r="D10" s="34" t="s">
        <v>80</v>
      </c>
      <c r="E10" s="35" t="s">
        <v>81</v>
      </c>
      <c r="F10" s="35" t="s">
        <v>20</v>
      </c>
      <c r="G10" s="35" t="s">
        <v>21</v>
      </c>
      <c r="H10" s="35" t="s">
        <v>5</v>
      </c>
      <c r="I10" s="35" t="s">
        <v>6</v>
      </c>
      <c r="J10" s="36">
        <v>7446</v>
      </c>
      <c r="K10" s="27">
        <v>0</v>
      </c>
      <c r="L10" s="127">
        <f t="shared" si="0"/>
        <v>0</v>
      </c>
      <c r="M10" s="127">
        <f t="shared" si="1"/>
        <v>0</v>
      </c>
      <c r="N10" s="128"/>
      <c r="O10" s="129">
        <f t="shared" si="2"/>
        <v>0</v>
      </c>
      <c r="P10" s="128"/>
      <c r="Q10" s="128"/>
      <c r="R10" s="128"/>
      <c r="S10" s="26">
        <f t="shared" si="3"/>
        <v>0</v>
      </c>
      <c r="T10" s="25" t="str">
        <f t="shared" si="4"/>
        <v>OK</v>
      </c>
      <c r="U10" s="22"/>
      <c r="V10" s="24"/>
      <c r="W10" s="24"/>
      <c r="X10" s="24"/>
      <c r="Y10" s="24"/>
      <c r="Z10" s="24"/>
      <c r="AA10" s="24"/>
      <c r="AB10" s="22"/>
      <c r="AC10" s="22"/>
      <c r="AD10" s="22"/>
      <c r="AE10" s="22"/>
      <c r="AF10" s="153"/>
      <c r="AG10" s="153"/>
      <c r="AH10" s="153"/>
      <c r="AI10" s="153"/>
      <c r="AJ10" s="153"/>
      <c r="AK10" s="153"/>
      <c r="AL10" s="153"/>
      <c r="AM10" s="153"/>
      <c r="AN10" s="153"/>
      <c r="AO10" s="153"/>
      <c r="AP10" s="153"/>
      <c r="AQ10" s="153"/>
    </row>
    <row r="11" spans="1:43" ht="30.25" customHeight="1" x14ac:dyDescent="0.35">
      <c r="A11" s="44">
        <v>8</v>
      </c>
      <c r="B11" s="44">
        <v>8</v>
      </c>
      <c r="C11" s="45" t="s">
        <v>63</v>
      </c>
      <c r="D11" s="46" t="s">
        <v>82</v>
      </c>
      <c r="E11" s="45" t="s">
        <v>81</v>
      </c>
      <c r="F11" s="45" t="s">
        <v>20</v>
      </c>
      <c r="G11" s="45" t="s">
        <v>21</v>
      </c>
      <c r="H11" s="45" t="s">
        <v>5</v>
      </c>
      <c r="I11" s="45" t="s">
        <v>6</v>
      </c>
      <c r="J11" s="47">
        <v>7375</v>
      </c>
      <c r="K11" s="27">
        <v>0</v>
      </c>
      <c r="L11" s="127">
        <f t="shared" si="0"/>
        <v>0</v>
      </c>
      <c r="M11" s="127">
        <f t="shared" si="1"/>
        <v>0</v>
      </c>
      <c r="N11" s="128"/>
      <c r="O11" s="129">
        <f t="shared" si="2"/>
        <v>0</v>
      </c>
      <c r="P11" s="128"/>
      <c r="Q11" s="128"/>
      <c r="R11" s="128"/>
      <c r="S11" s="26">
        <f t="shared" si="3"/>
        <v>0</v>
      </c>
      <c r="T11" s="25" t="str">
        <f t="shared" si="4"/>
        <v>OK</v>
      </c>
      <c r="U11" s="22"/>
      <c r="V11" s="24"/>
      <c r="W11" s="24"/>
      <c r="X11" s="24"/>
      <c r="Y11" s="24"/>
      <c r="Z11" s="24"/>
      <c r="AA11" s="24"/>
      <c r="AB11" s="22"/>
      <c r="AC11" s="22"/>
      <c r="AD11" s="22"/>
      <c r="AE11" s="22"/>
      <c r="AF11" s="153"/>
      <c r="AG11" s="153"/>
      <c r="AH11" s="153"/>
      <c r="AI11" s="153"/>
      <c r="AJ11" s="153"/>
      <c r="AK11" s="153"/>
      <c r="AL11" s="153"/>
      <c r="AM11" s="153"/>
      <c r="AN11" s="153"/>
      <c r="AO11" s="153"/>
      <c r="AP11" s="153"/>
      <c r="AQ11" s="153"/>
    </row>
    <row r="12" spans="1:43" ht="30.25" customHeight="1" x14ac:dyDescent="0.35">
      <c r="A12" s="37">
        <v>9</v>
      </c>
      <c r="B12" s="37">
        <v>9</v>
      </c>
      <c r="C12" s="35" t="s">
        <v>83</v>
      </c>
      <c r="D12" s="34" t="s">
        <v>84</v>
      </c>
      <c r="E12" s="35" t="s">
        <v>85</v>
      </c>
      <c r="F12" s="35" t="s">
        <v>20</v>
      </c>
      <c r="G12" s="35" t="s">
        <v>22</v>
      </c>
      <c r="H12" s="35" t="s">
        <v>5</v>
      </c>
      <c r="I12" s="35" t="s">
        <v>6</v>
      </c>
      <c r="J12" s="36">
        <v>6213.51</v>
      </c>
      <c r="K12" s="27">
        <v>0</v>
      </c>
      <c r="L12" s="127">
        <f t="shared" si="0"/>
        <v>0</v>
      </c>
      <c r="M12" s="127">
        <f t="shared" si="1"/>
        <v>0</v>
      </c>
      <c r="N12" s="128"/>
      <c r="O12" s="129">
        <f t="shared" si="2"/>
        <v>0</v>
      </c>
      <c r="P12" s="128"/>
      <c r="Q12" s="128"/>
      <c r="R12" s="128"/>
      <c r="S12" s="26">
        <f t="shared" si="3"/>
        <v>0</v>
      </c>
      <c r="T12" s="25" t="str">
        <f t="shared" si="4"/>
        <v>OK</v>
      </c>
      <c r="U12" s="22"/>
      <c r="V12" s="24"/>
      <c r="W12" s="24"/>
      <c r="X12" s="24"/>
      <c r="Y12" s="28"/>
      <c r="Z12" s="24"/>
      <c r="AA12" s="24"/>
      <c r="AB12" s="22"/>
      <c r="AC12" s="22"/>
      <c r="AD12" s="22"/>
      <c r="AE12" s="22"/>
      <c r="AF12" s="153"/>
      <c r="AG12" s="153"/>
      <c r="AH12" s="153"/>
      <c r="AI12" s="153"/>
      <c r="AJ12" s="153"/>
      <c r="AK12" s="153"/>
      <c r="AL12" s="153"/>
      <c r="AM12" s="153"/>
      <c r="AN12" s="153"/>
      <c r="AO12" s="153"/>
      <c r="AP12" s="153"/>
      <c r="AQ12" s="153"/>
    </row>
    <row r="13" spans="1:43" ht="30.25" customHeight="1" x14ac:dyDescent="0.35">
      <c r="A13" s="44">
        <v>10</v>
      </c>
      <c r="B13" s="44">
        <v>10</v>
      </c>
      <c r="C13" s="45" t="s">
        <v>63</v>
      </c>
      <c r="D13" s="46" t="s">
        <v>86</v>
      </c>
      <c r="E13" s="45" t="s">
        <v>87</v>
      </c>
      <c r="F13" s="45" t="s">
        <v>20</v>
      </c>
      <c r="G13" s="45" t="s">
        <v>22</v>
      </c>
      <c r="H13" s="45" t="s">
        <v>5</v>
      </c>
      <c r="I13" s="45" t="s">
        <v>6</v>
      </c>
      <c r="J13" s="47">
        <v>6689.61</v>
      </c>
      <c r="K13" s="27">
        <v>0</v>
      </c>
      <c r="L13" s="127">
        <f t="shared" si="0"/>
        <v>0</v>
      </c>
      <c r="M13" s="127">
        <f t="shared" si="1"/>
        <v>0</v>
      </c>
      <c r="N13" s="128"/>
      <c r="O13" s="129">
        <f t="shared" si="2"/>
        <v>0</v>
      </c>
      <c r="P13" s="128"/>
      <c r="Q13" s="128"/>
      <c r="R13" s="128"/>
      <c r="S13" s="26">
        <f t="shared" si="3"/>
        <v>0</v>
      </c>
      <c r="T13" s="25" t="str">
        <f t="shared" si="4"/>
        <v>OK</v>
      </c>
      <c r="U13" s="22"/>
      <c r="V13" s="24"/>
      <c r="W13" s="24"/>
      <c r="X13" s="24"/>
      <c r="Y13" s="24"/>
      <c r="Z13" s="24"/>
      <c r="AA13" s="24"/>
      <c r="AB13" s="22"/>
      <c r="AC13" s="22"/>
      <c r="AD13" s="22"/>
      <c r="AE13" s="22"/>
      <c r="AF13" s="153"/>
      <c r="AG13" s="153"/>
      <c r="AH13" s="153"/>
      <c r="AI13" s="153"/>
      <c r="AJ13" s="153"/>
      <c r="AK13" s="153"/>
      <c r="AL13" s="153"/>
      <c r="AM13" s="153"/>
      <c r="AN13" s="153"/>
      <c r="AO13" s="153"/>
      <c r="AP13" s="153"/>
      <c r="AQ13" s="153"/>
    </row>
    <row r="14" spans="1:43" ht="30.25" customHeight="1" x14ac:dyDescent="0.35">
      <c r="A14" s="37">
        <v>11</v>
      </c>
      <c r="B14" s="37">
        <v>11</v>
      </c>
      <c r="C14" s="35" t="s">
        <v>83</v>
      </c>
      <c r="D14" s="34" t="s">
        <v>88</v>
      </c>
      <c r="E14" s="35" t="s">
        <v>89</v>
      </c>
      <c r="F14" s="37" t="s">
        <v>20</v>
      </c>
      <c r="G14" s="35" t="s">
        <v>22</v>
      </c>
      <c r="H14" s="37" t="s">
        <v>5</v>
      </c>
      <c r="I14" s="35" t="s">
        <v>6</v>
      </c>
      <c r="J14" s="36">
        <v>3445.06</v>
      </c>
      <c r="K14" s="27">
        <f>2</f>
        <v>2</v>
      </c>
      <c r="L14" s="127">
        <f t="shared" si="0"/>
        <v>2</v>
      </c>
      <c r="M14" s="127">
        <f t="shared" si="1"/>
        <v>2</v>
      </c>
      <c r="N14" s="128"/>
      <c r="O14" s="129">
        <f t="shared" si="2"/>
        <v>0</v>
      </c>
      <c r="P14" s="128"/>
      <c r="Q14" s="128"/>
      <c r="R14" s="128"/>
      <c r="S14" s="26">
        <f t="shared" si="3"/>
        <v>0</v>
      </c>
      <c r="T14" s="25" t="str">
        <f t="shared" si="4"/>
        <v>OK</v>
      </c>
      <c r="U14" s="22"/>
      <c r="V14" s="24"/>
      <c r="W14" s="22">
        <v>2</v>
      </c>
      <c r="X14" s="24"/>
      <c r="Y14" s="24"/>
      <c r="Z14" s="24"/>
      <c r="AA14" s="24"/>
      <c r="AB14" s="22"/>
      <c r="AC14" s="22"/>
      <c r="AD14" s="22"/>
      <c r="AE14" s="22"/>
      <c r="AF14" s="153"/>
      <c r="AG14" s="153"/>
      <c r="AH14" s="153"/>
      <c r="AI14" s="153"/>
      <c r="AJ14" s="153"/>
      <c r="AK14" s="153"/>
      <c r="AL14" s="153"/>
      <c r="AM14" s="153"/>
      <c r="AN14" s="153"/>
      <c r="AO14" s="153"/>
      <c r="AP14" s="153"/>
      <c r="AQ14" s="153"/>
    </row>
    <row r="15" spans="1:43" ht="30.25" customHeight="1" x14ac:dyDescent="0.35">
      <c r="A15" s="44">
        <v>12</v>
      </c>
      <c r="B15" s="44">
        <v>12</v>
      </c>
      <c r="C15" s="45" t="s">
        <v>83</v>
      </c>
      <c r="D15" s="46" t="s">
        <v>90</v>
      </c>
      <c r="E15" s="45" t="s">
        <v>91</v>
      </c>
      <c r="F15" s="44" t="s">
        <v>20</v>
      </c>
      <c r="G15" s="44" t="s">
        <v>22</v>
      </c>
      <c r="H15" s="44" t="s">
        <v>5</v>
      </c>
      <c r="I15" s="45" t="s">
        <v>6</v>
      </c>
      <c r="J15" s="47">
        <v>3617.48</v>
      </c>
      <c r="K15" s="27">
        <f>0</f>
        <v>0</v>
      </c>
      <c r="L15" s="127">
        <f t="shared" si="0"/>
        <v>0</v>
      </c>
      <c r="M15" s="127">
        <f t="shared" si="1"/>
        <v>0</v>
      </c>
      <c r="N15" s="128">
        <f>1+1</f>
        <v>2</v>
      </c>
      <c r="O15" s="129">
        <f t="shared" si="2"/>
        <v>0</v>
      </c>
      <c r="P15" s="128"/>
      <c r="Q15" s="128"/>
      <c r="R15" s="128"/>
      <c r="S15" s="26">
        <f t="shared" si="3"/>
        <v>2</v>
      </c>
      <c r="T15" s="25" t="str">
        <f t="shared" si="4"/>
        <v>OK</v>
      </c>
      <c r="U15" s="22"/>
      <c r="V15" s="24"/>
      <c r="W15" s="24"/>
      <c r="X15" s="24"/>
      <c r="Y15" s="24"/>
      <c r="Z15" s="24"/>
      <c r="AA15" s="24"/>
      <c r="AB15" s="22"/>
      <c r="AC15" s="22"/>
      <c r="AD15" s="22"/>
      <c r="AE15" s="22"/>
      <c r="AF15" s="153"/>
      <c r="AG15" s="153"/>
      <c r="AH15" s="153"/>
      <c r="AI15" s="153"/>
      <c r="AJ15" s="153"/>
      <c r="AK15" s="153"/>
      <c r="AL15" s="153"/>
      <c r="AM15" s="153"/>
      <c r="AN15" s="153"/>
      <c r="AO15" s="153"/>
      <c r="AP15" s="153"/>
      <c r="AQ15" s="153"/>
    </row>
    <row r="16" spans="1:43" ht="30.25" customHeight="1" x14ac:dyDescent="0.35">
      <c r="A16" s="37">
        <v>13</v>
      </c>
      <c r="B16" s="37">
        <v>13</v>
      </c>
      <c r="C16" s="35" t="s">
        <v>92</v>
      </c>
      <c r="D16" s="34" t="s">
        <v>93</v>
      </c>
      <c r="E16" s="35" t="s">
        <v>94</v>
      </c>
      <c r="F16" s="37" t="s">
        <v>20</v>
      </c>
      <c r="G16" s="37" t="s">
        <v>22</v>
      </c>
      <c r="H16" s="37" t="s">
        <v>5</v>
      </c>
      <c r="I16" s="35" t="s">
        <v>6</v>
      </c>
      <c r="J16" s="36">
        <v>7453.33</v>
      </c>
      <c r="K16" s="27">
        <f>0</f>
        <v>0</v>
      </c>
      <c r="L16" s="127">
        <f t="shared" si="0"/>
        <v>0</v>
      </c>
      <c r="M16" s="127">
        <f t="shared" si="1"/>
        <v>0</v>
      </c>
      <c r="N16" s="128"/>
      <c r="O16" s="129">
        <f t="shared" si="2"/>
        <v>0</v>
      </c>
      <c r="P16" s="128"/>
      <c r="Q16" s="128"/>
      <c r="R16" s="128"/>
      <c r="S16" s="26">
        <f t="shared" si="3"/>
        <v>0</v>
      </c>
      <c r="T16" s="25" t="str">
        <f t="shared" si="4"/>
        <v>OK</v>
      </c>
      <c r="U16" s="22"/>
      <c r="V16" s="24"/>
      <c r="W16" s="24"/>
      <c r="X16" s="24"/>
      <c r="Y16" s="24"/>
      <c r="Z16" s="24"/>
      <c r="AA16" s="24"/>
      <c r="AB16" s="22"/>
      <c r="AC16" s="22"/>
      <c r="AD16" s="22"/>
      <c r="AE16" s="22"/>
      <c r="AF16" s="153"/>
      <c r="AG16" s="153"/>
      <c r="AH16" s="153"/>
      <c r="AI16" s="153"/>
      <c r="AJ16" s="153"/>
      <c r="AK16" s="153"/>
      <c r="AL16" s="153"/>
      <c r="AM16" s="153"/>
      <c r="AN16" s="153"/>
      <c r="AO16" s="153"/>
      <c r="AP16" s="153"/>
      <c r="AQ16" s="153"/>
    </row>
    <row r="17" spans="1:43" ht="30.25" customHeight="1" x14ac:dyDescent="0.35">
      <c r="A17" s="44">
        <v>14</v>
      </c>
      <c r="B17" s="44">
        <v>14</v>
      </c>
      <c r="C17" s="45" t="s">
        <v>92</v>
      </c>
      <c r="D17" s="46" t="s">
        <v>95</v>
      </c>
      <c r="E17" s="45" t="s">
        <v>94</v>
      </c>
      <c r="F17" s="45" t="s">
        <v>20</v>
      </c>
      <c r="G17" s="45" t="s">
        <v>22</v>
      </c>
      <c r="H17" s="45" t="s">
        <v>5</v>
      </c>
      <c r="I17" s="45" t="s">
        <v>6</v>
      </c>
      <c r="J17" s="47">
        <v>9561.2000000000007</v>
      </c>
      <c r="K17" s="27">
        <f>0</f>
        <v>0</v>
      </c>
      <c r="L17" s="127">
        <f t="shared" si="0"/>
        <v>0</v>
      </c>
      <c r="M17" s="127">
        <f t="shared" si="1"/>
        <v>0</v>
      </c>
      <c r="N17" s="128"/>
      <c r="O17" s="129">
        <f t="shared" si="2"/>
        <v>0</v>
      </c>
      <c r="P17" s="128"/>
      <c r="Q17" s="128"/>
      <c r="R17" s="128"/>
      <c r="S17" s="26">
        <f t="shared" si="3"/>
        <v>0</v>
      </c>
      <c r="T17" s="25" t="str">
        <f t="shared" si="4"/>
        <v>OK</v>
      </c>
      <c r="U17" s="22"/>
      <c r="V17" s="24"/>
      <c r="W17" s="24"/>
      <c r="X17" s="24"/>
      <c r="Y17" s="24"/>
      <c r="Z17" s="24"/>
      <c r="AA17" s="24"/>
      <c r="AB17" s="22"/>
      <c r="AC17" s="22"/>
      <c r="AD17" s="22"/>
      <c r="AE17" s="22"/>
      <c r="AF17" s="153"/>
      <c r="AG17" s="153"/>
      <c r="AH17" s="153"/>
      <c r="AI17" s="153"/>
      <c r="AJ17" s="153"/>
      <c r="AK17" s="153"/>
      <c r="AL17" s="153"/>
      <c r="AM17" s="153"/>
      <c r="AN17" s="153"/>
      <c r="AO17" s="153"/>
      <c r="AP17" s="153"/>
      <c r="AQ17" s="153"/>
    </row>
    <row r="18" spans="1:43" ht="30.25" customHeight="1" x14ac:dyDescent="0.35">
      <c r="A18" s="37">
        <v>15</v>
      </c>
      <c r="B18" s="37">
        <v>15</v>
      </c>
      <c r="C18" s="35" t="s">
        <v>63</v>
      </c>
      <c r="D18" s="34" t="s">
        <v>96</v>
      </c>
      <c r="E18" s="35" t="s">
        <v>97</v>
      </c>
      <c r="F18" s="35" t="s">
        <v>20</v>
      </c>
      <c r="G18" s="35" t="s">
        <v>31</v>
      </c>
      <c r="H18" s="35" t="s">
        <v>5</v>
      </c>
      <c r="I18" s="35" t="s">
        <v>6</v>
      </c>
      <c r="J18" s="36">
        <v>7598</v>
      </c>
      <c r="K18" s="27">
        <f>0</f>
        <v>0</v>
      </c>
      <c r="L18" s="127">
        <f t="shared" si="0"/>
        <v>0</v>
      </c>
      <c r="M18" s="127">
        <f t="shared" si="1"/>
        <v>0</v>
      </c>
      <c r="N18" s="128"/>
      <c r="O18" s="129">
        <f t="shared" si="2"/>
        <v>0</v>
      </c>
      <c r="P18" s="128"/>
      <c r="Q18" s="128"/>
      <c r="R18" s="128"/>
      <c r="S18" s="26">
        <f t="shared" si="3"/>
        <v>0</v>
      </c>
      <c r="T18" s="25" t="str">
        <f t="shared" si="4"/>
        <v>OK</v>
      </c>
      <c r="U18" s="22"/>
      <c r="V18" s="24"/>
      <c r="W18" s="24"/>
      <c r="X18" s="24"/>
      <c r="Y18" s="24"/>
      <c r="Z18" s="24"/>
      <c r="AA18" s="24"/>
      <c r="AB18" s="22"/>
      <c r="AC18" s="22"/>
      <c r="AD18" s="22"/>
      <c r="AE18" s="22"/>
      <c r="AF18" s="153"/>
      <c r="AG18" s="153"/>
      <c r="AH18" s="153"/>
      <c r="AI18" s="153"/>
      <c r="AJ18" s="153"/>
      <c r="AK18" s="153"/>
      <c r="AL18" s="153"/>
      <c r="AM18" s="153"/>
      <c r="AN18" s="153"/>
      <c r="AO18" s="153"/>
      <c r="AP18" s="153"/>
      <c r="AQ18" s="153"/>
    </row>
    <row r="19" spans="1:43" ht="45.75" customHeight="1" x14ac:dyDescent="0.35">
      <c r="A19" s="44">
        <v>16</v>
      </c>
      <c r="B19" s="44">
        <v>16</v>
      </c>
      <c r="C19" s="45" t="s">
        <v>83</v>
      </c>
      <c r="D19" s="46" t="s">
        <v>98</v>
      </c>
      <c r="E19" s="45" t="s">
        <v>99</v>
      </c>
      <c r="F19" s="45" t="s">
        <v>20</v>
      </c>
      <c r="G19" s="45" t="s">
        <v>100</v>
      </c>
      <c r="H19" s="45" t="s">
        <v>5</v>
      </c>
      <c r="I19" s="45" t="s">
        <v>6</v>
      </c>
      <c r="J19" s="47">
        <v>4540.34</v>
      </c>
      <c r="K19" s="27">
        <f>1</f>
        <v>1</v>
      </c>
      <c r="L19" s="127">
        <f t="shared" si="0"/>
        <v>1</v>
      </c>
      <c r="M19" s="127">
        <f t="shared" si="1"/>
        <v>1</v>
      </c>
      <c r="N19" s="128"/>
      <c r="O19" s="129">
        <f t="shared" si="2"/>
        <v>0</v>
      </c>
      <c r="P19" s="128"/>
      <c r="Q19" s="128"/>
      <c r="R19" s="128"/>
      <c r="S19" s="26">
        <f t="shared" si="3"/>
        <v>0</v>
      </c>
      <c r="T19" s="25" t="str">
        <f t="shared" si="4"/>
        <v>OK</v>
      </c>
      <c r="U19" s="22"/>
      <c r="V19" s="24"/>
      <c r="W19" s="24"/>
      <c r="X19" s="24"/>
      <c r="Y19" s="24">
        <v>1</v>
      </c>
      <c r="Z19" s="24"/>
      <c r="AA19" s="24"/>
      <c r="AB19" s="22"/>
      <c r="AC19" s="22"/>
      <c r="AD19" s="22"/>
      <c r="AE19" s="22"/>
      <c r="AF19" s="153"/>
      <c r="AG19" s="153"/>
      <c r="AH19" s="153"/>
      <c r="AI19" s="153"/>
      <c r="AJ19" s="153"/>
      <c r="AK19" s="153"/>
      <c r="AL19" s="153"/>
      <c r="AM19" s="153"/>
      <c r="AN19" s="153"/>
      <c r="AO19" s="153"/>
      <c r="AP19" s="153"/>
      <c r="AQ19" s="153"/>
    </row>
    <row r="20" spans="1:43" ht="30.25" customHeight="1" x14ac:dyDescent="0.35">
      <c r="A20" s="37">
        <v>17</v>
      </c>
      <c r="B20" s="37">
        <v>17</v>
      </c>
      <c r="C20" s="35" t="s">
        <v>63</v>
      </c>
      <c r="D20" s="38" t="s">
        <v>101</v>
      </c>
      <c r="E20" s="39" t="s">
        <v>102</v>
      </c>
      <c r="F20" s="40" t="s">
        <v>20</v>
      </c>
      <c r="G20" s="40" t="s">
        <v>103</v>
      </c>
      <c r="H20" s="40" t="s">
        <v>5</v>
      </c>
      <c r="I20" s="40" t="s">
        <v>6</v>
      </c>
      <c r="J20" s="36">
        <v>7499</v>
      </c>
      <c r="K20" s="27">
        <f>0</f>
        <v>0</v>
      </c>
      <c r="L20" s="127">
        <f t="shared" si="0"/>
        <v>0</v>
      </c>
      <c r="M20" s="127">
        <f t="shared" si="1"/>
        <v>0</v>
      </c>
      <c r="N20" s="128"/>
      <c r="O20" s="129">
        <f t="shared" si="2"/>
        <v>0</v>
      </c>
      <c r="P20" s="128"/>
      <c r="Q20" s="128"/>
      <c r="R20" s="128"/>
      <c r="S20" s="26">
        <f t="shared" si="3"/>
        <v>0</v>
      </c>
      <c r="T20" s="25" t="str">
        <f t="shared" si="4"/>
        <v>OK</v>
      </c>
      <c r="U20" s="22"/>
      <c r="V20" s="24"/>
      <c r="W20" s="24"/>
      <c r="X20" s="24"/>
      <c r="Y20" s="24"/>
      <c r="Z20" s="24"/>
      <c r="AA20" s="24"/>
      <c r="AB20" s="22"/>
      <c r="AC20" s="22"/>
      <c r="AD20" s="22"/>
      <c r="AE20" s="22"/>
      <c r="AF20" s="153"/>
      <c r="AG20" s="153"/>
      <c r="AH20" s="153"/>
      <c r="AI20" s="153"/>
      <c r="AJ20" s="153"/>
      <c r="AK20" s="153"/>
      <c r="AL20" s="153"/>
      <c r="AM20" s="153"/>
      <c r="AN20" s="153"/>
      <c r="AO20" s="153"/>
      <c r="AP20" s="153"/>
      <c r="AQ20" s="153"/>
    </row>
    <row r="21" spans="1:43" ht="30.25" customHeight="1" x14ac:dyDescent="0.35">
      <c r="A21" s="44">
        <v>18</v>
      </c>
      <c r="B21" s="44">
        <v>18</v>
      </c>
      <c r="C21" s="45" t="s">
        <v>104</v>
      </c>
      <c r="D21" s="46" t="s">
        <v>105</v>
      </c>
      <c r="E21" s="48" t="s">
        <v>106</v>
      </c>
      <c r="F21" s="49" t="s">
        <v>20</v>
      </c>
      <c r="G21" s="44" t="s">
        <v>107</v>
      </c>
      <c r="H21" s="44" t="s">
        <v>5</v>
      </c>
      <c r="I21" s="44" t="s">
        <v>6</v>
      </c>
      <c r="J21" s="47">
        <v>9553.2000000000007</v>
      </c>
      <c r="K21" s="27">
        <f>0</f>
        <v>0</v>
      </c>
      <c r="L21" s="127">
        <f t="shared" si="0"/>
        <v>0</v>
      </c>
      <c r="M21" s="127">
        <f t="shared" si="1"/>
        <v>0</v>
      </c>
      <c r="N21" s="128"/>
      <c r="O21" s="129">
        <f t="shared" si="2"/>
        <v>0</v>
      </c>
      <c r="P21" s="128"/>
      <c r="Q21" s="128"/>
      <c r="R21" s="128"/>
      <c r="S21" s="26">
        <f t="shared" si="3"/>
        <v>0</v>
      </c>
      <c r="T21" s="25" t="str">
        <f t="shared" si="4"/>
        <v>OK</v>
      </c>
      <c r="U21" s="22"/>
      <c r="V21" s="24"/>
      <c r="W21" s="24"/>
      <c r="X21" s="24"/>
      <c r="Y21" s="24"/>
      <c r="Z21" s="24"/>
      <c r="AA21" s="24"/>
      <c r="AB21" s="22"/>
      <c r="AC21" s="22"/>
      <c r="AD21" s="22"/>
      <c r="AE21" s="22"/>
      <c r="AF21" s="153"/>
      <c r="AG21" s="153"/>
      <c r="AH21" s="153"/>
      <c r="AI21" s="153"/>
      <c r="AJ21" s="153"/>
      <c r="AK21" s="153"/>
      <c r="AL21" s="153"/>
      <c r="AM21" s="153"/>
      <c r="AN21" s="153"/>
      <c r="AO21" s="153"/>
      <c r="AP21" s="153"/>
      <c r="AQ21" s="153"/>
    </row>
    <row r="22" spans="1:43" ht="30.25" customHeight="1" x14ac:dyDescent="0.35">
      <c r="A22" s="37">
        <v>19</v>
      </c>
      <c r="B22" s="37">
        <v>19</v>
      </c>
      <c r="C22" s="35" t="s">
        <v>63</v>
      </c>
      <c r="D22" s="34" t="s">
        <v>108</v>
      </c>
      <c r="E22" s="41" t="s">
        <v>109</v>
      </c>
      <c r="F22" s="43" t="s">
        <v>20</v>
      </c>
      <c r="G22" s="37" t="s">
        <v>107</v>
      </c>
      <c r="H22" s="37" t="s">
        <v>5</v>
      </c>
      <c r="I22" s="37" t="s">
        <v>6</v>
      </c>
      <c r="J22" s="36">
        <v>8608</v>
      </c>
      <c r="K22" s="27">
        <f>11</f>
        <v>11</v>
      </c>
      <c r="L22" s="127">
        <f t="shared" si="0"/>
        <v>5</v>
      </c>
      <c r="M22" s="127">
        <f t="shared" si="1"/>
        <v>5</v>
      </c>
      <c r="N22" s="128"/>
      <c r="O22" s="129">
        <f t="shared" si="2"/>
        <v>2</v>
      </c>
      <c r="P22" s="128"/>
      <c r="Q22" s="128"/>
      <c r="R22" s="128"/>
      <c r="S22" s="26">
        <f t="shared" si="3"/>
        <v>6</v>
      </c>
      <c r="T22" s="25" t="str">
        <f t="shared" si="4"/>
        <v>OK</v>
      </c>
      <c r="U22" s="22"/>
      <c r="V22" s="22">
        <v>2</v>
      </c>
      <c r="W22" s="24"/>
      <c r="X22" s="28"/>
      <c r="Y22" s="24"/>
      <c r="Z22" s="24"/>
      <c r="AA22" s="22">
        <v>1</v>
      </c>
      <c r="AB22" s="22"/>
      <c r="AC22" s="22"/>
      <c r="AD22" s="22"/>
      <c r="AE22" s="22"/>
      <c r="AF22" s="153"/>
      <c r="AG22" s="153"/>
      <c r="AH22" s="153"/>
      <c r="AI22" s="153"/>
      <c r="AJ22" s="153">
        <v>2</v>
      </c>
      <c r="AK22" s="153"/>
      <c r="AL22" s="153"/>
      <c r="AM22" s="153"/>
      <c r="AN22" s="153"/>
      <c r="AO22" s="153"/>
      <c r="AP22" s="153"/>
      <c r="AQ22" s="153"/>
    </row>
    <row r="23" spans="1:43" ht="30.25" customHeight="1" x14ac:dyDescent="0.35">
      <c r="A23" s="44">
        <v>20</v>
      </c>
      <c r="B23" s="44">
        <v>20</v>
      </c>
      <c r="C23" s="45" t="s">
        <v>63</v>
      </c>
      <c r="D23" s="46" t="s">
        <v>110</v>
      </c>
      <c r="E23" s="48" t="s">
        <v>111</v>
      </c>
      <c r="F23" s="50" t="s">
        <v>20</v>
      </c>
      <c r="G23" s="44" t="s">
        <v>112</v>
      </c>
      <c r="H23" s="44" t="s">
        <v>5</v>
      </c>
      <c r="I23" s="44" t="s">
        <v>6</v>
      </c>
      <c r="J23" s="47">
        <v>10488</v>
      </c>
      <c r="K23" s="27">
        <f>0</f>
        <v>0</v>
      </c>
      <c r="L23" s="127">
        <f t="shared" si="0"/>
        <v>0</v>
      </c>
      <c r="M23" s="127">
        <f t="shared" si="1"/>
        <v>0</v>
      </c>
      <c r="N23" s="128"/>
      <c r="O23" s="129">
        <f t="shared" si="2"/>
        <v>0</v>
      </c>
      <c r="P23" s="128"/>
      <c r="Q23" s="128"/>
      <c r="R23" s="128"/>
      <c r="S23" s="26">
        <f t="shared" si="3"/>
        <v>0</v>
      </c>
      <c r="T23" s="25" t="str">
        <f t="shared" si="4"/>
        <v>OK</v>
      </c>
      <c r="U23" s="22"/>
      <c r="V23" s="24"/>
      <c r="W23" s="24"/>
      <c r="X23" s="28"/>
      <c r="Y23" s="24"/>
      <c r="Z23" s="24"/>
      <c r="AA23" s="24"/>
      <c r="AB23" s="22"/>
      <c r="AC23" s="22"/>
      <c r="AD23" s="22"/>
      <c r="AE23" s="22"/>
      <c r="AF23" s="153"/>
      <c r="AG23" s="153"/>
      <c r="AH23" s="153"/>
      <c r="AI23" s="153"/>
      <c r="AJ23" s="153"/>
      <c r="AK23" s="153"/>
      <c r="AL23" s="153"/>
      <c r="AM23" s="153"/>
      <c r="AN23" s="153"/>
      <c r="AO23" s="153"/>
      <c r="AP23" s="153"/>
      <c r="AQ23" s="153"/>
    </row>
    <row r="24" spans="1:43" ht="30.25" customHeight="1" x14ac:dyDescent="0.35">
      <c r="A24" s="37">
        <v>21</v>
      </c>
      <c r="B24" s="37">
        <v>21</v>
      </c>
      <c r="C24" s="35" t="s">
        <v>63</v>
      </c>
      <c r="D24" s="34" t="s">
        <v>113</v>
      </c>
      <c r="E24" s="41" t="s">
        <v>114</v>
      </c>
      <c r="F24" s="43" t="s">
        <v>20</v>
      </c>
      <c r="G24" s="37" t="s">
        <v>115</v>
      </c>
      <c r="H24" s="37" t="s">
        <v>5</v>
      </c>
      <c r="I24" s="37" t="s">
        <v>6</v>
      </c>
      <c r="J24" s="36">
        <v>10968</v>
      </c>
      <c r="K24" s="27">
        <f>2</f>
        <v>2</v>
      </c>
      <c r="L24" s="127">
        <f t="shared" si="0"/>
        <v>0</v>
      </c>
      <c r="M24" s="127">
        <f t="shared" si="1"/>
        <v>0</v>
      </c>
      <c r="N24" s="128"/>
      <c r="O24" s="129">
        <f t="shared" si="2"/>
        <v>0</v>
      </c>
      <c r="P24" s="128"/>
      <c r="Q24" s="128"/>
      <c r="R24" s="128"/>
      <c r="S24" s="26">
        <f t="shared" si="3"/>
        <v>2</v>
      </c>
      <c r="T24" s="25" t="str">
        <f t="shared" si="4"/>
        <v>OK</v>
      </c>
      <c r="U24" s="22"/>
      <c r="V24" s="24"/>
      <c r="W24" s="24"/>
      <c r="X24" s="28"/>
      <c r="Y24" s="24"/>
      <c r="Z24" s="24"/>
      <c r="AA24" s="24"/>
      <c r="AB24" s="22"/>
      <c r="AC24" s="22"/>
      <c r="AD24" s="22"/>
      <c r="AE24" s="22"/>
      <c r="AF24" s="153"/>
      <c r="AG24" s="153"/>
      <c r="AH24" s="153"/>
      <c r="AI24" s="153"/>
      <c r="AJ24" s="153"/>
      <c r="AK24" s="153"/>
      <c r="AL24" s="153"/>
      <c r="AM24" s="153"/>
      <c r="AN24" s="153"/>
      <c r="AO24" s="153"/>
      <c r="AP24" s="153"/>
      <c r="AQ24" s="153"/>
    </row>
    <row r="25" spans="1:43" ht="30.25" customHeight="1" x14ac:dyDescent="0.35">
      <c r="A25" s="44">
        <v>22</v>
      </c>
      <c r="B25" s="44">
        <v>22</v>
      </c>
      <c r="C25" s="45" t="s">
        <v>32</v>
      </c>
      <c r="D25" s="46" t="s">
        <v>116</v>
      </c>
      <c r="E25" s="48" t="s">
        <v>117</v>
      </c>
      <c r="F25" s="50" t="s">
        <v>20</v>
      </c>
      <c r="G25" s="44" t="s">
        <v>118</v>
      </c>
      <c r="H25" s="44" t="s">
        <v>5</v>
      </c>
      <c r="I25" s="44" t="s">
        <v>6</v>
      </c>
      <c r="J25" s="47">
        <v>13446</v>
      </c>
      <c r="K25" s="27">
        <f>0</f>
        <v>0</v>
      </c>
      <c r="L25" s="127">
        <f t="shared" si="0"/>
        <v>0</v>
      </c>
      <c r="M25" s="127">
        <f t="shared" si="1"/>
        <v>0</v>
      </c>
      <c r="N25" s="128">
        <f>4+7</f>
        <v>11</v>
      </c>
      <c r="O25" s="129">
        <f t="shared" si="2"/>
        <v>0</v>
      </c>
      <c r="P25" s="128"/>
      <c r="Q25" s="128"/>
      <c r="R25" s="128"/>
      <c r="S25" s="26">
        <f t="shared" si="3"/>
        <v>11</v>
      </c>
      <c r="T25" s="25" t="str">
        <f t="shared" si="4"/>
        <v>OK</v>
      </c>
      <c r="U25" s="22"/>
      <c r="V25" s="24"/>
      <c r="W25" s="24"/>
      <c r="X25" s="28"/>
      <c r="Y25" s="24"/>
      <c r="Z25" s="24"/>
      <c r="AA25" s="24"/>
      <c r="AB25" s="22"/>
      <c r="AC25" s="22"/>
      <c r="AD25" s="22"/>
      <c r="AE25" s="22"/>
      <c r="AF25" s="153"/>
      <c r="AG25" s="153"/>
      <c r="AH25" s="153"/>
      <c r="AI25" s="153"/>
      <c r="AJ25" s="153"/>
      <c r="AK25" s="153"/>
      <c r="AL25" s="153"/>
      <c r="AM25" s="153"/>
      <c r="AN25" s="153"/>
      <c r="AO25" s="153"/>
      <c r="AP25" s="153"/>
      <c r="AQ25" s="153"/>
    </row>
    <row r="26" spans="1:43" ht="46.5" customHeight="1" x14ac:dyDescent="0.35">
      <c r="A26" s="37">
        <v>23</v>
      </c>
      <c r="B26" s="37">
        <v>23</v>
      </c>
      <c r="C26" s="35" t="s">
        <v>119</v>
      </c>
      <c r="D26" s="34" t="s">
        <v>120</v>
      </c>
      <c r="E26" s="41" t="s">
        <v>121</v>
      </c>
      <c r="F26" s="43" t="s">
        <v>20</v>
      </c>
      <c r="G26" s="37" t="s">
        <v>115</v>
      </c>
      <c r="H26" s="37" t="s">
        <v>5</v>
      </c>
      <c r="I26" s="37" t="s">
        <v>6</v>
      </c>
      <c r="J26" s="36">
        <v>11764.7</v>
      </c>
      <c r="K26" s="27">
        <f>2</f>
        <v>2</v>
      </c>
      <c r="L26" s="127">
        <f t="shared" si="0"/>
        <v>1</v>
      </c>
      <c r="M26" s="127">
        <f t="shared" si="1"/>
        <v>1</v>
      </c>
      <c r="N26" s="128"/>
      <c r="O26" s="129">
        <f t="shared" si="2"/>
        <v>0</v>
      </c>
      <c r="P26" s="128"/>
      <c r="Q26" s="128"/>
      <c r="R26" s="128"/>
      <c r="S26" s="26">
        <f t="shared" si="3"/>
        <v>1</v>
      </c>
      <c r="T26" s="25" t="str">
        <f t="shared" si="4"/>
        <v>OK</v>
      </c>
      <c r="U26" s="22">
        <v>1</v>
      </c>
      <c r="V26" s="24"/>
      <c r="W26" s="24"/>
      <c r="X26" s="28"/>
      <c r="Y26" s="24"/>
      <c r="Z26" s="24"/>
      <c r="AA26" s="24"/>
      <c r="AB26" s="22"/>
      <c r="AC26" s="22"/>
      <c r="AD26" s="22"/>
      <c r="AE26" s="22"/>
      <c r="AF26" s="153"/>
      <c r="AG26" s="153"/>
      <c r="AH26" s="153"/>
      <c r="AI26" s="153"/>
      <c r="AJ26" s="153"/>
      <c r="AK26" s="153"/>
      <c r="AL26" s="153"/>
      <c r="AM26" s="153"/>
      <c r="AN26" s="153"/>
      <c r="AO26" s="153"/>
      <c r="AP26" s="153"/>
      <c r="AQ26" s="153"/>
    </row>
    <row r="27" spans="1:43" ht="30.25" customHeight="1" x14ac:dyDescent="0.35">
      <c r="A27" s="44">
        <v>24</v>
      </c>
      <c r="B27" s="44">
        <v>24</v>
      </c>
      <c r="C27" s="45" t="s">
        <v>32</v>
      </c>
      <c r="D27" s="46" t="s">
        <v>122</v>
      </c>
      <c r="E27" s="48" t="s">
        <v>123</v>
      </c>
      <c r="F27" s="50" t="s">
        <v>20</v>
      </c>
      <c r="G27" s="44" t="s">
        <v>124</v>
      </c>
      <c r="H27" s="44" t="s">
        <v>60</v>
      </c>
      <c r="I27" s="44" t="s">
        <v>6</v>
      </c>
      <c r="J27" s="47">
        <v>13333.33</v>
      </c>
      <c r="K27" s="27">
        <f>0</f>
        <v>0</v>
      </c>
      <c r="L27" s="127">
        <f t="shared" si="0"/>
        <v>0</v>
      </c>
      <c r="M27" s="127">
        <f t="shared" si="1"/>
        <v>0</v>
      </c>
      <c r="N27" s="128"/>
      <c r="O27" s="129">
        <f t="shared" si="2"/>
        <v>0</v>
      </c>
      <c r="P27" s="128"/>
      <c r="Q27" s="128"/>
      <c r="R27" s="128"/>
      <c r="S27" s="26">
        <f t="shared" si="3"/>
        <v>0</v>
      </c>
      <c r="T27" s="25" t="str">
        <f t="shared" si="4"/>
        <v>OK</v>
      </c>
      <c r="U27" s="22"/>
      <c r="V27" s="24"/>
      <c r="W27" s="24"/>
      <c r="X27" s="28"/>
      <c r="Y27" s="24"/>
      <c r="Z27" s="24"/>
      <c r="AA27" s="24"/>
      <c r="AB27" s="22"/>
      <c r="AC27" s="22"/>
      <c r="AD27" s="22"/>
      <c r="AE27" s="22"/>
      <c r="AF27" s="153"/>
      <c r="AG27" s="153"/>
      <c r="AH27" s="153"/>
      <c r="AI27" s="153"/>
      <c r="AJ27" s="153"/>
      <c r="AK27" s="153"/>
      <c r="AL27" s="153"/>
      <c r="AM27" s="153"/>
      <c r="AN27" s="153"/>
      <c r="AO27" s="153"/>
      <c r="AP27" s="153"/>
      <c r="AQ27" s="153"/>
    </row>
    <row r="28" spans="1:43" ht="30.25" customHeight="1" x14ac:dyDescent="0.35">
      <c r="A28" s="37">
        <v>25</v>
      </c>
      <c r="B28" s="37">
        <v>25</v>
      </c>
      <c r="C28" s="35" t="s">
        <v>125</v>
      </c>
      <c r="D28" s="34" t="s">
        <v>126</v>
      </c>
      <c r="E28" s="41" t="s">
        <v>127</v>
      </c>
      <c r="F28" s="43" t="s">
        <v>24</v>
      </c>
      <c r="G28" s="37" t="s">
        <v>25</v>
      </c>
      <c r="H28" s="37" t="s">
        <v>5</v>
      </c>
      <c r="I28" s="37" t="s">
        <v>26</v>
      </c>
      <c r="J28" s="36">
        <v>1320</v>
      </c>
      <c r="K28" s="27">
        <f>10</f>
        <v>10</v>
      </c>
      <c r="L28" s="127">
        <f t="shared" si="0"/>
        <v>10</v>
      </c>
      <c r="M28" s="127">
        <f t="shared" si="1"/>
        <v>10</v>
      </c>
      <c r="N28" s="128"/>
      <c r="O28" s="129">
        <f t="shared" si="2"/>
        <v>2</v>
      </c>
      <c r="P28" s="128"/>
      <c r="Q28" s="128"/>
      <c r="R28" s="128"/>
      <c r="S28" s="26">
        <f t="shared" si="3"/>
        <v>0</v>
      </c>
      <c r="T28" s="25" t="str">
        <f t="shared" si="4"/>
        <v>OK</v>
      </c>
      <c r="U28" s="22"/>
      <c r="V28" s="24"/>
      <c r="W28" s="24"/>
      <c r="X28" s="28"/>
      <c r="Y28" s="24"/>
      <c r="Z28" s="24"/>
      <c r="AA28" s="24"/>
      <c r="AB28" s="22"/>
      <c r="AC28" s="22">
        <v>5</v>
      </c>
      <c r="AD28" s="22"/>
      <c r="AE28" s="22"/>
      <c r="AF28" s="153"/>
      <c r="AG28" s="153"/>
      <c r="AH28" s="153"/>
      <c r="AI28" s="153">
        <v>5</v>
      </c>
      <c r="AJ28" s="153"/>
      <c r="AK28" s="153"/>
      <c r="AL28" s="153"/>
      <c r="AM28" s="153"/>
      <c r="AN28" s="153"/>
      <c r="AO28" s="153"/>
      <c r="AP28" s="153"/>
      <c r="AQ28" s="153"/>
    </row>
    <row r="29" spans="1:43" ht="30.25" customHeight="1" x14ac:dyDescent="0.35">
      <c r="A29" s="44">
        <v>26</v>
      </c>
      <c r="B29" s="44">
        <v>26</v>
      </c>
      <c r="C29" s="45" t="s">
        <v>119</v>
      </c>
      <c r="D29" s="46" t="s">
        <v>14</v>
      </c>
      <c r="E29" s="48" t="s">
        <v>128</v>
      </c>
      <c r="F29" s="50" t="s">
        <v>23</v>
      </c>
      <c r="G29" s="44" t="s">
        <v>129</v>
      </c>
      <c r="H29" s="44" t="s">
        <v>5</v>
      </c>
      <c r="I29" s="44" t="s">
        <v>6</v>
      </c>
      <c r="J29" s="47">
        <v>650</v>
      </c>
      <c r="K29" s="27">
        <f>2</f>
        <v>2</v>
      </c>
      <c r="L29" s="127">
        <f t="shared" si="0"/>
        <v>0</v>
      </c>
      <c r="M29" s="127">
        <f t="shared" si="1"/>
        <v>0</v>
      </c>
      <c r="N29" s="128"/>
      <c r="O29" s="129">
        <f t="shared" si="2"/>
        <v>0</v>
      </c>
      <c r="P29" s="128"/>
      <c r="Q29" s="128"/>
      <c r="R29" s="128"/>
      <c r="S29" s="26">
        <f t="shared" si="3"/>
        <v>2</v>
      </c>
      <c r="T29" s="25" t="str">
        <f t="shared" si="4"/>
        <v>OK</v>
      </c>
      <c r="U29" s="22"/>
      <c r="V29" s="24"/>
      <c r="W29" s="24"/>
      <c r="X29" s="24"/>
      <c r="Y29" s="24"/>
      <c r="Z29" s="24"/>
      <c r="AA29" s="24"/>
      <c r="AB29" s="22"/>
      <c r="AC29" s="22"/>
      <c r="AD29" s="22"/>
      <c r="AE29" s="22"/>
      <c r="AF29" s="153"/>
      <c r="AG29" s="153"/>
      <c r="AH29" s="153"/>
      <c r="AI29" s="153"/>
      <c r="AJ29" s="153"/>
      <c r="AK29" s="153"/>
      <c r="AL29" s="153"/>
      <c r="AM29" s="153"/>
      <c r="AN29" s="153"/>
      <c r="AO29" s="153"/>
      <c r="AP29" s="153"/>
      <c r="AQ29" s="153"/>
    </row>
    <row r="30" spans="1:43" ht="30.25" customHeight="1" x14ac:dyDescent="0.35">
      <c r="A30" s="37">
        <v>27</v>
      </c>
      <c r="B30" s="37">
        <v>27</v>
      </c>
      <c r="C30" s="35" t="s">
        <v>130</v>
      </c>
      <c r="D30" s="34" t="s">
        <v>131</v>
      </c>
      <c r="E30" s="41" t="s">
        <v>132</v>
      </c>
      <c r="F30" s="43" t="s">
        <v>28</v>
      </c>
      <c r="G30" s="37" t="s">
        <v>29</v>
      </c>
      <c r="H30" s="37" t="s">
        <v>8</v>
      </c>
      <c r="I30" s="37" t="s">
        <v>26</v>
      </c>
      <c r="J30" s="36">
        <v>39.78</v>
      </c>
      <c r="K30" s="27">
        <f>10</f>
        <v>10</v>
      </c>
      <c r="L30" s="127">
        <f t="shared" si="0"/>
        <v>0</v>
      </c>
      <c r="M30" s="127">
        <f t="shared" si="1"/>
        <v>0</v>
      </c>
      <c r="N30" s="128"/>
      <c r="O30" s="129">
        <f t="shared" si="2"/>
        <v>2</v>
      </c>
      <c r="P30" s="128"/>
      <c r="Q30" s="128"/>
      <c r="R30" s="128"/>
      <c r="S30" s="26">
        <f t="shared" si="3"/>
        <v>10</v>
      </c>
      <c r="T30" s="25" t="str">
        <f t="shared" si="4"/>
        <v>OK</v>
      </c>
      <c r="U30" s="22"/>
      <c r="V30" s="24"/>
      <c r="W30" s="24"/>
      <c r="X30" s="24"/>
      <c r="Y30" s="24"/>
      <c r="Z30" s="24"/>
      <c r="AA30" s="24"/>
      <c r="AB30" s="22"/>
      <c r="AC30" s="22"/>
      <c r="AD30" s="22"/>
      <c r="AE30" s="22"/>
      <c r="AF30" s="153"/>
      <c r="AG30" s="153"/>
      <c r="AH30" s="153"/>
      <c r="AI30" s="153"/>
      <c r="AJ30" s="153"/>
      <c r="AK30" s="153"/>
      <c r="AL30" s="153"/>
      <c r="AM30" s="153"/>
      <c r="AN30" s="153"/>
      <c r="AO30" s="153"/>
      <c r="AP30" s="153"/>
      <c r="AQ30" s="153"/>
    </row>
    <row r="31" spans="1:43" ht="30.25" customHeight="1" x14ac:dyDescent="0.35">
      <c r="A31" s="44">
        <v>28</v>
      </c>
      <c r="B31" s="44">
        <v>28</v>
      </c>
      <c r="C31" s="45" t="s">
        <v>133</v>
      </c>
      <c r="D31" s="46" t="s">
        <v>134</v>
      </c>
      <c r="E31" s="48" t="s">
        <v>135</v>
      </c>
      <c r="F31" s="50" t="s">
        <v>136</v>
      </c>
      <c r="G31" s="44" t="s">
        <v>137</v>
      </c>
      <c r="H31" s="44" t="s">
        <v>5</v>
      </c>
      <c r="I31" s="44" t="s">
        <v>6</v>
      </c>
      <c r="J31" s="47">
        <v>2259.91</v>
      </c>
      <c r="K31" s="27">
        <f>0</f>
        <v>0</v>
      </c>
      <c r="L31" s="127">
        <f t="shared" si="0"/>
        <v>0</v>
      </c>
      <c r="M31" s="127">
        <f t="shared" si="1"/>
        <v>0</v>
      </c>
      <c r="N31" s="128"/>
      <c r="O31" s="129">
        <f t="shared" si="2"/>
        <v>0</v>
      </c>
      <c r="P31" s="128"/>
      <c r="Q31" s="128"/>
      <c r="R31" s="128"/>
      <c r="S31" s="26">
        <f t="shared" si="3"/>
        <v>0</v>
      </c>
      <c r="T31" s="25" t="str">
        <f t="shared" si="4"/>
        <v>OK</v>
      </c>
      <c r="U31" s="22"/>
      <c r="V31" s="24"/>
      <c r="W31" s="24"/>
      <c r="X31" s="24"/>
      <c r="Y31" s="24"/>
      <c r="Z31" s="24"/>
      <c r="AA31" s="24"/>
      <c r="AB31" s="22"/>
      <c r="AC31" s="22"/>
      <c r="AD31" s="22"/>
      <c r="AE31" s="22"/>
      <c r="AF31" s="153"/>
      <c r="AG31" s="153"/>
      <c r="AH31" s="153"/>
      <c r="AI31" s="153"/>
      <c r="AJ31" s="153"/>
      <c r="AK31" s="153"/>
      <c r="AL31" s="153"/>
      <c r="AM31" s="153"/>
      <c r="AN31" s="153"/>
      <c r="AO31" s="153"/>
      <c r="AP31" s="153"/>
      <c r="AQ31" s="153"/>
    </row>
    <row r="32" spans="1:43" ht="30.25" customHeight="1" x14ac:dyDescent="0.35">
      <c r="A32" s="37">
        <v>29</v>
      </c>
      <c r="B32" s="37">
        <v>29</v>
      </c>
      <c r="C32" s="35" t="s">
        <v>138</v>
      </c>
      <c r="D32" s="34" t="s">
        <v>139</v>
      </c>
      <c r="E32" s="41" t="s">
        <v>140</v>
      </c>
      <c r="F32" s="43" t="s">
        <v>136</v>
      </c>
      <c r="G32" s="37" t="s">
        <v>137</v>
      </c>
      <c r="H32" s="37" t="s">
        <v>5</v>
      </c>
      <c r="I32" s="37" t="s">
        <v>6</v>
      </c>
      <c r="J32" s="36">
        <v>3391.3</v>
      </c>
      <c r="K32" s="27">
        <f>0</f>
        <v>0</v>
      </c>
      <c r="L32" s="127">
        <f t="shared" si="0"/>
        <v>0</v>
      </c>
      <c r="M32" s="127">
        <f t="shared" si="1"/>
        <v>0</v>
      </c>
      <c r="N32" s="128"/>
      <c r="O32" s="129">
        <f t="shared" si="2"/>
        <v>0</v>
      </c>
      <c r="P32" s="128"/>
      <c r="Q32" s="128"/>
      <c r="R32" s="128"/>
      <c r="S32" s="26">
        <f t="shared" si="3"/>
        <v>0</v>
      </c>
      <c r="T32" s="25" t="str">
        <f t="shared" si="4"/>
        <v>OK</v>
      </c>
      <c r="U32" s="22"/>
      <c r="V32" s="24"/>
      <c r="W32" s="24"/>
      <c r="X32" s="24"/>
      <c r="Y32" s="24"/>
      <c r="Z32" s="24"/>
      <c r="AA32" s="24"/>
      <c r="AB32" s="22"/>
      <c r="AC32" s="22"/>
      <c r="AD32" s="22"/>
      <c r="AE32" s="22"/>
      <c r="AF32" s="153"/>
      <c r="AG32" s="153"/>
      <c r="AH32" s="153"/>
      <c r="AI32" s="153"/>
      <c r="AJ32" s="153"/>
      <c r="AK32" s="153"/>
      <c r="AL32" s="153"/>
      <c r="AM32" s="153"/>
      <c r="AN32" s="153"/>
      <c r="AO32" s="153"/>
      <c r="AP32" s="153"/>
      <c r="AQ32" s="153"/>
    </row>
    <row r="33" spans="1:43" ht="30.25" customHeight="1" x14ac:dyDescent="0.35">
      <c r="A33" s="44">
        <v>30</v>
      </c>
      <c r="B33" s="44">
        <v>30</v>
      </c>
      <c r="C33" s="45" t="s">
        <v>141</v>
      </c>
      <c r="D33" s="46" t="s">
        <v>142</v>
      </c>
      <c r="E33" s="48" t="s">
        <v>143</v>
      </c>
      <c r="F33" s="50" t="s">
        <v>136</v>
      </c>
      <c r="G33" s="44" t="s">
        <v>137</v>
      </c>
      <c r="H33" s="44" t="s">
        <v>5</v>
      </c>
      <c r="I33" s="44" t="s">
        <v>6</v>
      </c>
      <c r="J33" s="47">
        <v>9961.5300000000007</v>
      </c>
      <c r="K33" s="27">
        <f>0</f>
        <v>0</v>
      </c>
      <c r="L33" s="127">
        <f t="shared" si="0"/>
        <v>0</v>
      </c>
      <c r="M33" s="127">
        <f t="shared" si="1"/>
        <v>0</v>
      </c>
      <c r="N33" s="128"/>
      <c r="O33" s="129">
        <f t="shared" si="2"/>
        <v>0</v>
      </c>
      <c r="P33" s="128"/>
      <c r="Q33" s="128"/>
      <c r="R33" s="128"/>
      <c r="S33" s="26">
        <f t="shared" si="3"/>
        <v>0</v>
      </c>
      <c r="T33" s="25" t="str">
        <f t="shared" si="4"/>
        <v>OK</v>
      </c>
      <c r="U33" s="22"/>
      <c r="V33" s="24"/>
      <c r="W33" s="24"/>
      <c r="X33" s="24"/>
      <c r="Y33" s="24"/>
      <c r="Z33" s="24"/>
      <c r="AA33" s="24"/>
      <c r="AB33" s="22"/>
      <c r="AC33" s="22"/>
      <c r="AD33" s="22"/>
      <c r="AE33" s="22"/>
      <c r="AF33" s="153"/>
      <c r="AG33" s="153"/>
      <c r="AH33" s="153"/>
      <c r="AI33" s="153"/>
      <c r="AJ33" s="153"/>
      <c r="AK33" s="153"/>
      <c r="AL33" s="153"/>
      <c r="AM33" s="153"/>
      <c r="AN33" s="153"/>
      <c r="AO33" s="153"/>
      <c r="AP33" s="153"/>
      <c r="AQ33" s="153"/>
    </row>
    <row r="34" spans="1:43" ht="30.25" customHeight="1" x14ac:dyDescent="0.35">
      <c r="A34" s="37">
        <v>31</v>
      </c>
      <c r="B34" s="37">
        <v>31</v>
      </c>
      <c r="C34" s="35" t="s">
        <v>144</v>
      </c>
      <c r="D34" s="34" t="s">
        <v>145</v>
      </c>
      <c r="E34" s="41" t="s">
        <v>146</v>
      </c>
      <c r="F34" s="43" t="s">
        <v>20</v>
      </c>
      <c r="G34" s="37" t="s">
        <v>147</v>
      </c>
      <c r="H34" s="37" t="s">
        <v>60</v>
      </c>
      <c r="I34" s="37">
        <v>44905212</v>
      </c>
      <c r="J34" s="36">
        <v>630</v>
      </c>
      <c r="K34" s="27">
        <f>0</f>
        <v>0</v>
      </c>
      <c r="L34" s="127">
        <f t="shared" si="0"/>
        <v>0</v>
      </c>
      <c r="M34" s="127">
        <f t="shared" si="1"/>
        <v>0</v>
      </c>
      <c r="N34" s="128"/>
      <c r="O34" s="129">
        <f t="shared" si="2"/>
        <v>0</v>
      </c>
      <c r="P34" s="128"/>
      <c r="Q34" s="128"/>
      <c r="R34" s="128"/>
      <c r="S34" s="26">
        <f t="shared" si="3"/>
        <v>0</v>
      </c>
      <c r="T34" s="25" t="str">
        <f t="shared" si="4"/>
        <v>OK</v>
      </c>
      <c r="U34" s="22"/>
      <c r="V34" s="24"/>
      <c r="W34" s="24"/>
      <c r="X34" s="24"/>
      <c r="Y34" s="24"/>
      <c r="Z34" s="24"/>
      <c r="AA34" s="24"/>
      <c r="AB34" s="22"/>
      <c r="AC34" s="22"/>
      <c r="AD34" s="22"/>
      <c r="AE34" s="22"/>
      <c r="AF34" s="153"/>
      <c r="AG34" s="153"/>
      <c r="AH34" s="153"/>
      <c r="AI34" s="153"/>
      <c r="AJ34" s="153"/>
      <c r="AK34" s="153"/>
      <c r="AL34" s="153"/>
      <c r="AM34" s="153"/>
      <c r="AN34" s="153"/>
      <c r="AO34" s="153"/>
      <c r="AP34" s="153"/>
      <c r="AQ34" s="153"/>
    </row>
    <row r="35" spans="1:43" ht="30.25" customHeight="1" x14ac:dyDescent="0.35">
      <c r="A35" s="44">
        <v>32</v>
      </c>
      <c r="B35" s="44">
        <v>32</v>
      </c>
      <c r="C35" s="45" t="s">
        <v>144</v>
      </c>
      <c r="D35" s="46" t="s">
        <v>148</v>
      </c>
      <c r="E35" s="48" t="s">
        <v>149</v>
      </c>
      <c r="F35" s="50" t="s">
        <v>20</v>
      </c>
      <c r="G35" s="44" t="s">
        <v>147</v>
      </c>
      <c r="H35" s="44" t="s">
        <v>60</v>
      </c>
      <c r="I35" s="44">
        <v>44905212</v>
      </c>
      <c r="J35" s="47">
        <v>1550</v>
      </c>
      <c r="K35" s="27">
        <f>0</f>
        <v>0</v>
      </c>
      <c r="L35" s="127">
        <f t="shared" si="0"/>
        <v>0</v>
      </c>
      <c r="M35" s="127">
        <f t="shared" si="1"/>
        <v>0</v>
      </c>
      <c r="N35" s="128"/>
      <c r="O35" s="129">
        <f t="shared" si="2"/>
        <v>0</v>
      </c>
      <c r="P35" s="128"/>
      <c r="Q35" s="128"/>
      <c r="R35" s="128"/>
      <c r="S35" s="26">
        <f t="shared" si="3"/>
        <v>0</v>
      </c>
      <c r="T35" s="25" t="str">
        <f t="shared" si="4"/>
        <v>OK</v>
      </c>
      <c r="U35" s="22"/>
      <c r="V35" s="24"/>
      <c r="W35" s="24"/>
      <c r="X35" s="24"/>
      <c r="Y35" s="24"/>
      <c r="Z35" s="24"/>
      <c r="AA35" s="24"/>
      <c r="AB35" s="22"/>
      <c r="AC35" s="22"/>
      <c r="AD35" s="22"/>
      <c r="AE35" s="22"/>
      <c r="AF35" s="153"/>
      <c r="AG35" s="153"/>
      <c r="AH35" s="153"/>
      <c r="AI35" s="153"/>
      <c r="AJ35" s="153"/>
      <c r="AK35" s="153"/>
      <c r="AL35" s="153"/>
      <c r="AM35" s="153"/>
      <c r="AN35" s="153"/>
      <c r="AO35" s="153"/>
      <c r="AP35" s="153"/>
      <c r="AQ35" s="153"/>
    </row>
    <row r="36" spans="1:43" ht="30.25" customHeight="1" x14ac:dyDescent="0.35">
      <c r="A36" s="37">
        <v>33</v>
      </c>
      <c r="B36" s="37">
        <v>33</v>
      </c>
      <c r="C36" s="35" t="s">
        <v>150</v>
      </c>
      <c r="D36" s="34" t="s">
        <v>151</v>
      </c>
      <c r="E36" s="41" t="s">
        <v>152</v>
      </c>
      <c r="F36" s="43" t="s">
        <v>20</v>
      </c>
      <c r="G36" s="37" t="s">
        <v>147</v>
      </c>
      <c r="H36" s="37" t="s">
        <v>60</v>
      </c>
      <c r="I36" s="37">
        <v>44905212</v>
      </c>
      <c r="J36" s="36">
        <v>930</v>
      </c>
      <c r="K36" s="27">
        <f>0</f>
        <v>0</v>
      </c>
      <c r="L36" s="127">
        <f t="shared" si="0"/>
        <v>0</v>
      </c>
      <c r="M36" s="127">
        <f t="shared" si="1"/>
        <v>0</v>
      </c>
      <c r="N36" s="128"/>
      <c r="O36" s="129">
        <f t="shared" si="2"/>
        <v>0</v>
      </c>
      <c r="P36" s="128"/>
      <c r="Q36" s="128"/>
      <c r="R36" s="128"/>
      <c r="S36" s="26">
        <f t="shared" si="3"/>
        <v>0</v>
      </c>
      <c r="T36" s="25" t="str">
        <f t="shared" si="4"/>
        <v>OK</v>
      </c>
      <c r="U36" s="22"/>
      <c r="V36" s="24"/>
      <c r="W36" s="24"/>
      <c r="X36" s="24"/>
      <c r="Y36" s="24"/>
      <c r="Z36" s="24"/>
      <c r="AA36" s="24"/>
      <c r="AB36" s="22"/>
      <c r="AC36" s="22"/>
      <c r="AD36" s="22"/>
      <c r="AE36" s="22"/>
      <c r="AF36" s="153"/>
      <c r="AG36" s="153"/>
      <c r="AH36" s="153"/>
      <c r="AI36" s="153"/>
      <c r="AJ36" s="153"/>
      <c r="AK36" s="153"/>
      <c r="AL36" s="153"/>
      <c r="AM36" s="153"/>
      <c r="AN36" s="153"/>
      <c r="AO36" s="153"/>
      <c r="AP36" s="153"/>
      <c r="AQ36" s="153"/>
    </row>
    <row r="37" spans="1:43" ht="30.25" customHeight="1" x14ac:dyDescent="0.35">
      <c r="A37" s="44">
        <v>34</v>
      </c>
      <c r="B37" s="44">
        <v>34</v>
      </c>
      <c r="C37" s="45" t="s">
        <v>150</v>
      </c>
      <c r="D37" s="46" t="s">
        <v>153</v>
      </c>
      <c r="E37" s="48" t="s">
        <v>154</v>
      </c>
      <c r="F37" s="50" t="s">
        <v>20</v>
      </c>
      <c r="G37" s="44" t="s">
        <v>147</v>
      </c>
      <c r="H37" s="44" t="s">
        <v>60</v>
      </c>
      <c r="I37" s="44">
        <v>44905212</v>
      </c>
      <c r="J37" s="47">
        <v>2560</v>
      </c>
      <c r="K37" s="27">
        <f>0</f>
        <v>0</v>
      </c>
      <c r="L37" s="127">
        <f t="shared" si="0"/>
        <v>0</v>
      </c>
      <c r="M37" s="127">
        <f t="shared" si="1"/>
        <v>0</v>
      </c>
      <c r="N37" s="128"/>
      <c r="O37" s="129">
        <f t="shared" si="2"/>
        <v>0</v>
      </c>
      <c r="P37" s="128"/>
      <c r="Q37" s="128"/>
      <c r="R37" s="128"/>
      <c r="S37" s="26">
        <f t="shared" si="3"/>
        <v>0</v>
      </c>
      <c r="T37" s="25" t="str">
        <f t="shared" si="4"/>
        <v>OK</v>
      </c>
      <c r="U37" s="22"/>
      <c r="V37" s="24"/>
      <c r="W37" s="24"/>
      <c r="X37" s="24"/>
      <c r="Y37" s="24"/>
      <c r="Z37" s="24"/>
      <c r="AA37" s="24"/>
      <c r="AB37" s="22"/>
      <c r="AC37" s="22"/>
      <c r="AD37" s="22"/>
      <c r="AE37" s="22"/>
      <c r="AF37" s="153"/>
      <c r="AG37" s="153"/>
      <c r="AH37" s="153"/>
      <c r="AI37" s="153"/>
      <c r="AJ37" s="153"/>
      <c r="AK37" s="153"/>
      <c r="AL37" s="153"/>
      <c r="AM37" s="153"/>
      <c r="AN37" s="153"/>
      <c r="AO37" s="153"/>
      <c r="AP37" s="153"/>
      <c r="AQ37" s="153"/>
    </row>
    <row r="38" spans="1:43" ht="30.25" customHeight="1" x14ac:dyDescent="0.35">
      <c r="A38" s="198" t="s">
        <v>155</v>
      </c>
      <c r="B38" s="37">
        <v>35</v>
      </c>
      <c r="C38" s="195" t="s">
        <v>33</v>
      </c>
      <c r="D38" s="34" t="s">
        <v>27</v>
      </c>
      <c r="E38" s="41" t="s">
        <v>8</v>
      </c>
      <c r="F38" s="42" t="s">
        <v>28</v>
      </c>
      <c r="G38" s="37" t="s">
        <v>29</v>
      </c>
      <c r="H38" s="37" t="s">
        <v>8</v>
      </c>
      <c r="I38" s="37" t="s">
        <v>9</v>
      </c>
      <c r="J38" s="36">
        <v>150.13999999999999</v>
      </c>
      <c r="K38" s="27">
        <f>2</f>
        <v>2</v>
      </c>
      <c r="L38" s="127">
        <f t="shared" si="0"/>
        <v>0</v>
      </c>
      <c r="M38" s="127">
        <f t="shared" si="1"/>
        <v>0</v>
      </c>
      <c r="N38" s="128"/>
      <c r="O38" s="129">
        <f t="shared" si="2"/>
        <v>0</v>
      </c>
      <c r="P38" s="128"/>
      <c r="Q38" s="128"/>
      <c r="R38" s="128"/>
      <c r="S38" s="26">
        <f t="shared" si="3"/>
        <v>2</v>
      </c>
      <c r="T38" s="25" t="str">
        <f t="shared" si="4"/>
        <v>OK</v>
      </c>
      <c r="U38" s="22"/>
      <c r="V38" s="24"/>
      <c r="W38" s="24"/>
      <c r="X38" s="24"/>
      <c r="Y38" s="24"/>
      <c r="Z38" s="24"/>
      <c r="AA38" s="24"/>
      <c r="AB38" s="22"/>
      <c r="AC38" s="22"/>
      <c r="AD38" s="22"/>
      <c r="AE38" s="22"/>
      <c r="AF38" s="153"/>
      <c r="AG38" s="153"/>
      <c r="AH38" s="153"/>
      <c r="AI38" s="153"/>
      <c r="AJ38" s="153"/>
      <c r="AK38" s="153"/>
      <c r="AL38" s="153"/>
      <c r="AM38" s="153"/>
      <c r="AN38" s="153"/>
      <c r="AO38" s="153"/>
      <c r="AP38" s="153"/>
      <c r="AQ38" s="153"/>
    </row>
    <row r="39" spans="1:43" ht="30.25" customHeight="1" x14ac:dyDescent="0.35">
      <c r="A39" s="199"/>
      <c r="B39" s="84">
        <v>36</v>
      </c>
      <c r="C39" s="196"/>
      <c r="D39" s="34" t="s">
        <v>7</v>
      </c>
      <c r="E39" s="41" t="s">
        <v>8</v>
      </c>
      <c r="F39" s="43" t="s">
        <v>28</v>
      </c>
      <c r="G39" s="37" t="s">
        <v>29</v>
      </c>
      <c r="H39" s="37" t="s">
        <v>8</v>
      </c>
      <c r="I39" s="37" t="s">
        <v>9</v>
      </c>
      <c r="J39" s="36">
        <v>1076</v>
      </c>
      <c r="K39" s="27">
        <f>10</f>
        <v>10</v>
      </c>
      <c r="L39" s="127">
        <f t="shared" si="0"/>
        <v>14</v>
      </c>
      <c r="M39" s="127">
        <f t="shared" si="1"/>
        <v>14</v>
      </c>
      <c r="N39" s="128">
        <v>7</v>
      </c>
      <c r="O39" s="129">
        <f t="shared" si="2"/>
        <v>2</v>
      </c>
      <c r="P39" s="128"/>
      <c r="Q39" s="128"/>
      <c r="R39" s="128"/>
      <c r="S39" s="26">
        <f t="shared" si="3"/>
        <v>3</v>
      </c>
      <c r="T39" s="25" t="str">
        <f t="shared" si="4"/>
        <v>OK</v>
      </c>
      <c r="U39" s="22"/>
      <c r="V39" s="24"/>
      <c r="W39" s="24"/>
      <c r="X39" s="22">
        <v>7</v>
      </c>
      <c r="Y39" s="24"/>
      <c r="Z39" s="24">
        <v>1</v>
      </c>
      <c r="AA39" s="24"/>
      <c r="AB39" s="22">
        <v>2</v>
      </c>
      <c r="AC39" s="22"/>
      <c r="AD39" s="22"/>
      <c r="AE39" s="22"/>
      <c r="AF39" s="153"/>
      <c r="AG39" s="153"/>
      <c r="AH39" s="153"/>
      <c r="AI39" s="153"/>
      <c r="AJ39" s="153"/>
      <c r="AK39" s="153">
        <v>4</v>
      </c>
      <c r="AL39" s="153"/>
      <c r="AM39" s="153"/>
      <c r="AN39" s="153"/>
      <c r="AO39" s="153"/>
      <c r="AP39" s="153"/>
      <c r="AQ39" s="153"/>
    </row>
    <row r="40" spans="1:43" ht="30.25" customHeight="1" x14ac:dyDescent="0.35">
      <c r="A40" s="199"/>
      <c r="B40" s="84">
        <v>37</v>
      </c>
      <c r="C40" s="196"/>
      <c r="D40" s="34" t="s">
        <v>156</v>
      </c>
      <c r="E40" s="41" t="s">
        <v>8</v>
      </c>
      <c r="F40" s="43" t="s">
        <v>28</v>
      </c>
      <c r="G40" s="37" t="s">
        <v>29</v>
      </c>
      <c r="H40" s="37" t="s">
        <v>34</v>
      </c>
      <c r="I40" s="37" t="s">
        <v>9</v>
      </c>
      <c r="J40" s="36">
        <v>75</v>
      </c>
      <c r="K40" s="27">
        <f>500</f>
        <v>500</v>
      </c>
      <c r="L40" s="127">
        <f t="shared" si="0"/>
        <v>40</v>
      </c>
      <c r="M40" s="127">
        <f t="shared" si="1"/>
        <v>40</v>
      </c>
      <c r="N40" s="128">
        <v>-200</v>
      </c>
      <c r="O40" s="129">
        <f t="shared" si="2"/>
        <v>125</v>
      </c>
      <c r="P40" s="128"/>
      <c r="Q40" s="128"/>
      <c r="R40" s="128"/>
      <c r="S40" s="26">
        <f t="shared" si="3"/>
        <v>260</v>
      </c>
      <c r="T40" s="25" t="str">
        <f t="shared" si="4"/>
        <v>OK</v>
      </c>
      <c r="U40" s="22"/>
      <c r="V40" s="24"/>
      <c r="W40" s="24"/>
      <c r="X40" s="22">
        <v>13</v>
      </c>
      <c r="Y40" s="24"/>
      <c r="Z40" s="24">
        <v>4</v>
      </c>
      <c r="AA40" s="24"/>
      <c r="AB40" s="22"/>
      <c r="AC40" s="22"/>
      <c r="AD40" s="22"/>
      <c r="AE40" s="22"/>
      <c r="AF40" s="153">
        <v>5</v>
      </c>
      <c r="AG40" s="153"/>
      <c r="AH40" s="153">
        <v>4</v>
      </c>
      <c r="AI40" s="153"/>
      <c r="AJ40" s="153"/>
      <c r="AK40" s="153">
        <v>14</v>
      </c>
      <c r="AL40" s="153"/>
      <c r="AM40" s="153"/>
      <c r="AN40" s="153"/>
      <c r="AO40" s="153"/>
      <c r="AP40" s="153"/>
      <c r="AQ40" s="153"/>
    </row>
    <row r="41" spans="1:43" ht="30.25" customHeight="1" x14ac:dyDescent="0.35">
      <c r="A41" s="199"/>
      <c r="B41" s="84">
        <v>38</v>
      </c>
      <c r="C41" s="196"/>
      <c r="D41" s="34" t="s">
        <v>11</v>
      </c>
      <c r="E41" s="41" t="s">
        <v>8</v>
      </c>
      <c r="F41" s="43" t="s">
        <v>28</v>
      </c>
      <c r="G41" s="37" t="s">
        <v>29</v>
      </c>
      <c r="H41" s="37" t="s">
        <v>8</v>
      </c>
      <c r="I41" s="37" t="s">
        <v>9</v>
      </c>
      <c r="J41" s="36">
        <v>1400</v>
      </c>
      <c r="K41" s="27">
        <f>20</f>
        <v>20</v>
      </c>
      <c r="L41" s="127">
        <f t="shared" si="0"/>
        <v>1</v>
      </c>
      <c r="M41" s="127">
        <f t="shared" si="1"/>
        <v>1</v>
      </c>
      <c r="N41" s="128"/>
      <c r="O41" s="129">
        <f t="shared" si="2"/>
        <v>5</v>
      </c>
      <c r="P41" s="128"/>
      <c r="Q41" s="128"/>
      <c r="R41" s="128"/>
      <c r="S41" s="26">
        <f t="shared" si="3"/>
        <v>19</v>
      </c>
      <c r="T41" s="25" t="str">
        <f t="shared" si="4"/>
        <v>OK</v>
      </c>
      <c r="U41" s="22"/>
      <c r="V41" s="24"/>
      <c r="W41" s="24"/>
      <c r="X41" s="22">
        <v>1</v>
      </c>
      <c r="Y41" s="24"/>
      <c r="Z41" s="24"/>
      <c r="AA41" s="24"/>
      <c r="AB41" s="22"/>
      <c r="AC41" s="22"/>
      <c r="AD41" s="22"/>
      <c r="AE41" s="22"/>
      <c r="AF41" s="153"/>
      <c r="AG41" s="153"/>
      <c r="AH41" s="153"/>
      <c r="AI41" s="153"/>
      <c r="AJ41" s="153"/>
      <c r="AK41" s="153"/>
      <c r="AL41" s="153"/>
      <c r="AM41" s="153"/>
      <c r="AN41" s="153"/>
      <c r="AO41" s="153"/>
      <c r="AP41" s="153"/>
      <c r="AQ41" s="153"/>
    </row>
    <row r="42" spans="1:43" ht="30.25" customHeight="1" x14ac:dyDescent="0.35">
      <c r="A42" s="199"/>
      <c r="B42" s="84">
        <v>39</v>
      </c>
      <c r="C42" s="196"/>
      <c r="D42" s="34" t="s">
        <v>12</v>
      </c>
      <c r="E42" s="41" t="s">
        <v>8</v>
      </c>
      <c r="F42" s="43" t="s">
        <v>28</v>
      </c>
      <c r="G42" s="37" t="s">
        <v>29</v>
      </c>
      <c r="H42" s="37" t="s">
        <v>34</v>
      </c>
      <c r="I42" s="37" t="s">
        <v>9</v>
      </c>
      <c r="J42" s="36">
        <v>75.5</v>
      </c>
      <c r="K42" s="27">
        <f>500</f>
        <v>500</v>
      </c>
      <c r="L42" s="127">
        <f t="shared" si="0"/>
        <v>9</v>
      </c>
      <c r="M42" s="127">
        <f t="shared" si="1"/>
        <v>9</v>
      </c>
      <c r="N42" s="128">
        <v>-100</v>
      </c>
      <c r="O42" s="129">
        <f t="shared" si="2"/>
        <v>125</v>
      </c>
      <c r="P42" s="128"/>
      <c r="Q42" s="128"/>
      <c r="R42" s="128"/>
      <c r="S42" s="26">
        <f t="shared" si="3"/>
        <v>391</v>
      </c>
      <c r="T42" s="25" t="str">
        <f t="shared" si="4"/>
        <v>OK</v>
      </c>
      <c r="U42" s="22"/>
      <c r="V42" s="24"/>
      <c r="W42" s="24"/>
      <c r="X42" s="22">
        <v>2</v>
      </c>
      <c r="Y42" s="24"/>
      <c r="Z42" s="24"/>
      <c r="AA42" s="24"/>
      <c r="AB42" s="22"/>
      <c r="AC42" s="22"/>
      <c r="AD42" s="22"/>
      <c r="AE42" s="22"/>
      <c r="AF42" s="153"/>
      <c r="AG42" s="153"/>
      <c r="AH42" s="153"/>
      <c r="AI42" s="153"/>
      <c r="AJ42" s="153"/>
      <c r="AK42" s="153">
        <v>7</v>
      </c>
      <c r="AL42" s="153"/>
      <c r="AM42" s="153"/>
      <c r="AN42" s="153"/>
      <c r="AO42" s="153"/>
      <c r="AP42" s="153"/>
      <c r="AQ42" s="153"/>
    </row>
    <row r="43" spans="1:43" ht="30.25" customHeight="1" x14ac:dyDescent="0.35">
      <c r="A43" s="199"/>
      <c r="B43" s="84">
        <v>40</v>
      </c>
      <c r="C43" s="196"/>
      <c r="D43" s="34" t="s">
        <v>10</v>
      </c>
      <c r="E43" s="41" t="s">
        <v>8</v>
      </c>
      <c r="F43" s="43" t="s">
        <v>28</v>
      </c>
      <c r="G43" s="37" t="s">
        <v>29</v>
      </c>
      <c r="H43" s="37" t="s">
        <v>8</v>
      </c>
      <c r="I43" s="37" t="s">
        <v>9</v>
      </c>
      <c r="J43" s="36">
        <v>1600</v>
      </c>
      <c r="K43" s="27">
        <f>20</f>
        <v>20</v>
      </c>
      <c r="L43" s="127">
        <f t="shared" si="0"/>
        <v>13</v>
      </c>
      <c r="M43" s="127">
        <f t="shared" si="1"/>
        <v>13</v>
      </c>
      <c r="N43" s="128"/>
      <c r="O43" s="129">
        <f t="shared" si="2"/>
        <v>5</v>
      </c>
      <c r="P43" s="128"/>
      <c r="Q43" s="128"/>
      <c r="R43" s="128"/>
      <c r="S43" s="26">
        <f t="shared" si="3"/>
        <v>7</v>
      </c>
      <c r="T43" s="25" t="str">
        <f t="shared" si="4"/>
        <v>OK</v>
      </c>
      <c r="U43" s="22"/>
      <c r="V43" s="24"/>
      <c r="W43" s="24"/>
      <c r="X43" s="22">
        <v>2</v>
      </c>
      <c r="Y43" s="24"/>
      <c r="Z43" s="24">
        <v>2</v>
      </c>
      <c r="AA43" s="24"/>
      <c r="AB43" s="22"/>
      <c r="AC43" s="22"/>
      <c r="AD43" s="22">
        <v>1</v>
      </c>
      <c r="AE43" s="22">
        <v>3</v>
      </c>
      <c r="AF43" s="153">
        <v>2</v>
      </c>
      <c r="AG43" s="153">
        <v>1</v>
      </c>
      <c r="AH43" s="153"/>
      <c r="AI43" s="153"/>
      <c r="AJ43" s="153"/>
      <c r="AK43" s="153">
        <v>2</v>
      </c>
      <c r="AL43" s="153"/>
      <c r="AM43" s="153"/>
      <c r="AN43" s="153"/>
      <c r="AO43" s="153"/>
      <c r="AP43" s="153"/>
      <c r="AQ43" s="153"/>
    </row>
    <row r="44" spans="1:43" ht="30.25" customHeight="1" x14ac:dyDescent="0.35">
      <c r="A44" s="199"/>
      <c r="B44" s="84">
        <v>41</v>
      </c>
      <c r="C44" s="196"/>
      <c r="D44" s="34" t="s">
        <v>13</v>
      </c>
      <c r="E44" s="41" t="s">
        <v>8</v>
      </c>
      <c r="F44" s="43" t="s">
        <v>28</v>
      </c>
      <c r="G44" s="37" t="s">
        <v>29</v>
      </c>
      <c r="H44" s="37" t="s">
        <v>34</v>
      </c>
      <c r="I44" s="37" t="s">
        <v>9</v>
      </c>
      <c r="J44" s="36">
        <v>75</v>
      </c>
      <c r="K44" s="27">
        <f>500-56</f>
        <v>444</v>
      </c>
      <c r="L44" s="127">
        <f t="shared" si="0"/>
        <v>4</v>
      </c>
      <c r="M44" s="127">
        <f t="shared" si="1"/>
        <v>4</v>
      </c>
      <c r="N44" s="128">
        <v>-10</v>
      </c>
      <c r="O44" s="129">
        <f t="shared" si="2"/>
        <v>111</v>
      </c>
      <c r="P44" s="128"/>
      <c r="Q44" s="128"/>
      <c r="R44" s="128"/>
      <c r="S44" s="26">
        <f t="shared" si="3"/>
        <v>430</v>
      </c>
      <c r="T44" s="25" t="str">
        <f t="shared" si="4"/>
        <v>OK</v>
      </c>
      <c r="U44" s="22"/>
      <c r="V44" s="24"/>
      <c r="W44" s="24"/>
      <c r="X44" s="22">
        <v>4</v>
      </c>
      <c r="Y44" s="24"/>
      <c r="Z44" s="24"/>
      <c r="AA44" s="24"/>
      <c r="AB44" s="22"/>
      <c r="AC44" s="22"/>
      <c r="AD44" s="22"/>
      <c r="AE44" s="22"/>
      <c r="AF44" s="153"/>
      <c r="AG44" s="153"/>
      <c r="AH44" s="153"/>
      <c r="AI44" s="153"/>
      <c r="AJ44" s="153"/>
      <c r="AK44" s="153"/>
      <c r="AL44" s="153"/>
      <c r="AM44" s="153"/>
      <c r="AN44" s="153"/>
      <c r="AO44" s="153"/>
      <c r="AP44" s="153"/>
      <c r="AQ44" s="153"/>
    </row>
    <row r="45" spans="1:43" ht="30.25" customHeight="1" x14ac:dyDescent="0.35">
      <c r="A45" s="199"/>
      <c r="B45" s="84">
        <v>42</v>
      </c>
      <c r="C45" s="196"/>
      <c r="D45" s="34" t="s">
        <v>157</v>
      </c>
      <c r="E45" s="41" t="s">
        <v>8</v>
      </c>
      <c r="F45" s="43" t="s">
        <v>28</v>
      </c>
      <c r="G45" s="37" t="s">
        <v>29</v>
      </c>
      <c r="H45" s="37" t="s">
        <v>8</v>
      </c>
      <c r="I45" s="37" t="s">
        <v>9</v>
      </c>
      <c r="J45" s="36">
        <v>350</v>
      </c>
      <c r="K45" s="27">
        <f>20</f>
        <v>20</v>
      </c>
      <c r="L45" s="127">
        <f t="shared" si="0"/>
        <v>19</v>
      </c>
      <c r="M45" s="127">
        <f t="shared" si="1"/>
        <v>19</v>
      </c>
      <c r="N45" s="128"/>
      <c r="O45" s="129">
        <f t="shared" si="2"/>
        <v>5</v>
      </c>
      <c r="P45" s="128"/>
      <c r="Q45" s="128"/>
      <c r="R45" s="128"/>
      <c r="S45" s="26">
        <f t="shared" si="3"/>
        <v>1</v>
      </c>
      <c r="T45" s="25" t="str">
        <f t="shared" si="4"/>
        <v>OK</v>
      </c>
      <c r="U45" s="22"/>
      <c r="V45" s="24"/>
      <c r="W45" s="24"/>
      <c r="X45" s="22">
        <v>10</v>
      </c>
      <c r="Y45" s="24"/>
      <c r="Z45" s="24">
        <v>3</v>
      </c>
      <c r="AA45" s="24"/>
      <c r="AB45" s="22">
        <v>2</v>
      </c>
      <c r="AC45" s="22"/>
      <c r="AD45" s="22">
        <v>1</v>
      </c>
      <c r="AE45" s="22">
        <v>2</v>
      </c>
      <c r="AF45" s="153"/>
      <c r="AG45" s="153">
        <v>1</v>
      </c>
      <c r="AH45" s="153"/>
      <c r="AI45" s="153"/>
      <c r="AJ45" s="153"/>
      <c r="AK45" s="153"/>
      <c r="AL45" s="153"/>
      <c r="AM45" s="153"/>
      <c r="AN45" s="153"/>
      <c r="AO45" s="153"/>
      <c r="AP45" s="153"/>
      <c r="AQ45" s="153"/>
    </row>
    <row r="46" spans="1:43" ht="30.25" customHeight="1" x14ac:dyDescent="0.35">
      <c r="A46" s="199"/>
      <c r="B46" s="37">
        <v>43</v>
      </c>
      <c r="C46" s="196"/>
      <c r="D46" s="34" t="s">
        <v>30</v>
      </c>
      <c r="E46" s="41" t="s">
        <v>8</v>
      </c>
      <c r="F46" s="43" t="s">
        <v>28</v>
      </c>
      <c r="G46" s="37" t="s">
        <v>29</v>
      </c>
      <c r="H46" s="37" t="s">
        <v>8</v>
      </c>
      <c r="I46" s="37" t="s">
        <v>9</v>
      </c>
      <c r="J46" s="36">
        <v>100.25</v>
      </c>
      <c r="K46" s="27">
        <f>20</f>
        <v>20</v>
      </c>
      <c r="L46" s="127">
        <f t="shared" si="0"/>
        <v>5</v>
      </c>
      <c r="M46" s="127">
        <f t="shared" si="1"/>
        <v>5</v>
      </c>
      <c r="N46" s="128">
        <v>-3</v>
      </c>
      <c r="O46" s="129">
        <f t="shared" si="2"/>
        <v>5</v>
      </c>
      <c r="P46" s="128"/>
      <c r="Q46" s="128"/>
      <c r="R46" s="128"/>
      <c r="S46" s="26">
        <f t="shared" si="3"/>
        <v>12</v>
      </c>
      <c r="T46" s="25" t="str">
        <f t="shared" ref="T46:T81" si="5">IF(S46&lt;0,"ATENÇÃO","OK")</f>
        <v>OK</v>
      </c>
      <c r="U46" s="22"/>
      <c r="V46" s="24"/>
      <c r="W46" s="24"/>
      <c r="X46" s="24"/>
      <c r="Y46" s="24"/>
      <c r="Z46" s="24"/>
      <c r="AA46" s="24"/>
      <c r="AB46" s="22"/>
      <c r="AC46" s="22"/>
      <c r="AD46" s="22"/>
      <c r="AE46" s="22"/>
      <c r="AF46" s="153"/>
      <c r="AG46" s="153"/>
      <c r="AH46" s="153">
        <v>1</v>
      </c>
      <c r="AI46" s="153"/>
      <c r="AJ46" s="153"/>
      <c r="AK46" s="153">
        <v>4</v>
      </c>
      <c r="AL46" s="153"/>
      <c r="AM46" s="153"/>
      <c r="AN46" s="153"/>
      <c r="AO46" s="153"/>
      <c r="AP46" s="153"/>
      <c r="AQ46" s="153"/>
    </row>
    <row r="47" spans="1:43" ht="30.25" customHeight="1" x14ac:dyDescent="0.35">
      <c r="A47" s="199"/>
      <c r="B47" s="37">
        <v>44</v>
      </c>
      <c r="C47" s="196"/>
      <c r="D47" s="34" t="s">
        <v>158</v>
      </c>
      <c r="E47" s="41" t="s">
        <v>8</v>
      </c>
      <c r="F47" s="42" t="s">
        <v>28</v>
      </c>
      <c r="G47" s="37" t="s">
        <v>159</v>
      </c>
      <c r="H47" s="37" t="s">
        <v>8</v>
      </c>
      <c r="I47" s="37" t="s">
        <v>9</v>
      </c>
      <c r="J47" s="36">
        <v>1424</v>
      </c>
      <c r="K47" s="27">
        <f>0</f>
        <v>0</v>
      </c>
      <c r="L47" s="127">
        <f t="shared" si="0"/>
        <v>0</v>
      </c>
      <c r="M47" s="127">
        <f t="shared" si="1"/>
        <v>0</v>
      </c>
      <c r="N47" s="128"/>
      <c r="O47" s="129">
        <f t="shared" si="2"/>
        <v>0</v>
      </c>
      <c r="P47" s="128"/>
      <c r="Q47" s="128"/>
      <c r="R47" s="128"/>
      <c r="S47" s="26">
        <f t="shared" si="3"/>
        <v>0</v>
      </c>
      <c r="T47" s="25" t="str">
        <f t="shared" si="5"/>
        <v>OK</v>
      </c>
      <c r="U47" s="22"/>
      <c r="V47" s="24"/>
      <c r="W47" s="24"/>
      <c r="X47" s="24"/>
      <c r="Y47" s="24"/>
      <c r="Z47" s="24"/>
      <c r="AA47" s="24"/>
      <c r="AB47" s="22"/>
      <c r="AC47" s="22"/>
      <c r="AD47" s="22"/>
      <c r="AE47" s="22"/>
      <c r="AF47" s="153"/>
      <c r="AG47" s="153"/>
      <c r="AH47" s="153"/>
      <c r="AI47" s="153"/>
      <c r="AJ47" s="153"/>
      <c r="AK47" s="153"/>
      <c r="AL47" s="153"/>
      <c r="AM47" s="153"/>
      <c r="AN47" s="153"/>
      <c r="AO47" s="153"/>
      <c r="AP47" s="153"/>
      <c r="AQ47" s="153"/>
    </row>
    <row r="48" spans="1:43" ht="30.25" customHeight="1" x14ac:dyDescent="0.35">
      <c r="A48" s="200"/>
      <c r="B48" s="37">
        <v>45</v>
      </c>
      <c r="C48" s="197"/>
      <c r="D48" s="34" t="s">
        <v>160</v>
      </c>
      <c r="E48" s="41" t="s">
        <v>8</v>
      </c>
      <c r="F48" s="43" t="s">
        <v>28</v>
      </c>
      <c r="G48" s="37" t="s">
        <v>29</v>
      </c>
      <c r="H48" s="37" t="s">
        <v>8</v>
      </c>
      <c r="I48" s="37" t="s">
        <v>9</v>
      </c>
      <c r="J48" s="36">
        <v>2503.0100000000002</v>
      </c>
      <c r="K48" s="27">
        <f>0</f>
        <v>0</v>
      </c>
      <c r="L48" s="127">
        <f t="shared" si="0"/>
        <v>0</v>
      </c>
      <c r="M48" s="127">
        <f t="shared" si="1"/>
        <v>0</v>
      </c>
      <c r="N48" s="128"/>
      <c r="O48" s="129">
        <f t="shared" si="2"/>
        <v>0</v>
      </c>
      <c r="P48" s="128"/>
      <c r="Q48" s="128"/>
      <c r="R48" s="128"/>
      <c r="S48" s="26">
        <f t="shared" si="3"/>
        <v>0</v>
      </c>
      <c r="T48" s="25" t="str">
        <f t="shared" si="5"/>
        <v>OK</v>
      </c>
      <c r="U48" s="22"/>
      <c r="V48" s="24"/>
      <c r="W48" s="24"/>
      <c r="X48" s="24"/>
      <c r="Y48" s="24"/>
      <c r="Z48" s="24"/>
      <c r="AA48" s="24"/>
      <c r="AB48" s="22"/>
      <c r="AC48" s="22"/>
      <c r="AD48" s="22"/>
      <c r="AE48" s="22"/>
      <c r="AF48" s="153"/>
      <c r="AG48" s="153"/>
      <c r="AH48" s="153"/>
      <c r="AI48" s="153"/>
      <c r="AJ48" s="153"/>
      <c r="AK48" s="153"/>
      <c r="AL48" s="153"/>
      <c r="AM48" s="153"/>
      <c r="AN48" s="153"/>
      <c r="AO48" s="153"/>
      <c r="AP48" s="153"/>
      <c r="AQ48" s="153"/>
    </row>
    <row r="49" spans="1:43" ht="30.25" customHeight="1" x14ac:dyDescent="0.35">
      <c r="A49" s="208" t="s">
        <v>161</v>
      </c>
      <c r="B49" s="44">
        <v>46</v>
      </c>
      <c r="C49" s="205" t="s">
        <v>33</v>
      </c>
      <c r="D49" s="46" t="s">
        <v>27</v>
      </c>
      <c r="E49" s="48" t="s">
        <v>8</v>
      </c>
      <c r="F49" s="50" t="s">
        <v>28</v>
      </c>
      <c r="G49" s="44" t="s">
        <v>29</v>
      </c>
      <c r="H49" s="44" t="s">
        <v>8</v>
      </c>
      <c r="I49" s="44" t="s">
        <v>9</v>
      </c>
      <c r="J49" s="47">
        <v>80</v>
      </c>
      <c r="K49" s="27">
        <f>0</f>
        <v>0</v>
      </c>
      <c r="L49" s="127">
        <f t="shared" si="0"/>
        <v>0</v>
      </c>
      <c r="M49" s="127">
        <f t="shared" si="1"/>
        <v>0</v>
      </c>
      <c r="N49" s="128"/>
      <c r="O49" s="129">
        <f t="shared" si="2"/>
        <v>0</v>
      </c>
      <c r="P49" s="128"/>
      <c r="Q49" s="128"/>
      <c r="R49" s="128"/>
      <c r="S49" s="26">
        <f t="shared" si="3"/>
        <v>0</v>
      </c>
      <c r="T49" s="25" t="str">
        <f t="shared" si="5"/>
        <v>OK</v>
      </c>
      <c r="U49" s="22"/>
      <c r="V49" s="24"/>
      <c r="W49" s="24"/>
      <c r="X49" s="24"/>
      <c r="Y49" s="24"/>
      <c r="Z49" s="24"/>
      <c r="AA49" s="24"/>
      <c r="AB49" s="22"/>
      <c r="AC49" s="22"/>
      <c r="AD49" s="22"/>
      <c r="AE49" s="22"/>
      <c r="AF49" s="153"/>
      <c r="AG49" s="153"/>
      <c r="AH49" s="153"/>
      <c r="AI49" s="153"/>
      <c r="AJ49" s="153"/>
      <c r="AK49" s="153"/>
      <c r="AL49" s="153"/>
      <c r="AM49" s="153"/>
      <c r="AN49" s="153"/>
      <c r="AO49" s="153"/>
      <c r="AP49" s="153"/>
      <c r="AQ49" s="153"/>
    </row>
    <row r="50" spans="1:43" ht="30.25" customHeight="1" x14ac:dyDescent="0.35">
      <c r="A50" s="209"/>
      <c r="B50" s="44">
        <v>47</v>
      </c>
      <c r="C50" s="206"/>
      <c r="D50" s="46" t="s">
        <v>7</v>
      </c>
      <c r="E50" s="48" t="s">
        <v>8</v>
      </c>
      <c r="F50" s="50" t="s">
        <v>28</v>
      </c>
      <c r="G50" s="44" t="s">
        <v>29</v>
      </c>
      <c r="H50" s="44" t="s">
        <v>8</v>
      </c>
      <c r="I50" s="44" t="s">
        <v>9</v>
      </c>
      <c r="J50" s="47">
        <v>550</v>
      </c>
      <c r="K50" s="27">
        <f>0</f>
        <v>0</v>
      </c>
      <c r="L50" s="127">
        <f t="shared" si="0"/>
        <v>0</v>
      </c>
      <c r="M50" s="127">
        <f t="shared" si="1"/>
        <v>0</v>
      </c>
      <c r="N50" s="128"/>
      <c r="O50" s="129">
        <f t="shared" si="2"/>
        <v>0</v>
      </c>
      <c r="P50" s="128"/>
      <c r="Q50" s="128"/>
      <c r="R50" s="128"/>
      <c r="S50" s="26">
        <f t="shared" si="3"/>
        <v>0</v>
      </c>
      <c r="T50" s="25" t="str">
        <f t="shared" si="5"/>
        <v>OK</v>
      </c>
      <c r="U50" s="22"/>
      <c r="V50" s="24"/>
      <c r="W50" s="24"/>
      <c r="X50" s="24"/>
      <c r="Y50" s="24"/>
      <c r="Z50" s="24"/>
      <c r="AA50" s="24"/>
      <c r="AB50" s="22"/>
      <c r="AC50" s="22"/>
      <c r="AD50" s="22"/>
      <c r="AE50" s="22"/>
      <c r="AF50" s="153"/>
      <c r="AG50" s="153"/>
      <c r="AH50" s="153"/>
      <c r="AI50" s="153"/>
      <c r="AJ50" s="153"/>
      <c r="AK50" s="153"/>
      <c r="AL50" s="153"/>
      <c r="AM50" s="153"/>
      <c r="AN50" s="153"/>
      <c r="AO50" s="153"/>
      <c r="AP50" s="153"/>
      <c r="AQ50" s="153"/>
    </row>
    <row r="51" spans="1:43" ht="30.25" customHeight="1" x14ac:dyDescent="0.35">
      <c r="A51" s="209"/>
      <c r="B51" s="44">
        <v>48</v>
      </c>
      <c r="C51" s="206"/>
      <c r="D51" s="46" t="s">
        <v>10</v>
      </c>
      <c r="E51" s="48" t="s">
        <v>8</v>
      </c>
      <c r="F51" s="50" t="s">
        <v>28</v>
      </c>
      <c r="G51" s="44" t="s">
        <v>29</v>
      </c>
      <c r="H51" s="44" t="s">
        <v>8</v>
      </c>
      <c r="I51" s="44" t="s">
        <v>9</v>
      </c>
      <c r="J51" s="47">
        <v>850</v>
      </c>
      <c r="K51" s="27">
        <f>0</f>
        <v>0</v>
      </c>
      <c r="L51" s="127">
        <f t="shared" si="0"/>
        <v>0</v>
      </c>
      <c r="M51" s="127">
        <f t="shared" si="1"/>
        <v>0</v>
      </c>
      <c r="N51" s="128"/>
      <c r="O51" s="129">
        <f t="shared" si="2"/>
        <v>0</v>
      </c>
      <c r="P51" s="128"/>
      <c r="Q51" s="128"/>
      <c r="R51" s="128"/>
      <c r="S51" s="26">
        <f t="shared" si="3"/>
        <v>0</v>
      </c>
      <c r="T51" s="25" t="str">
        <f t="shared" si="5"/>
        <v>OK</v>
      </c>
      <c r="U51" s="22"/>
      <c r="V51" s="24"/>
      <c r="W51" s="24"/>
      <c r="X51" s="24"/>
      <c r="Y51" s="24"/>
      <c r="Z51" s="24"/>
      <c r="AA51" s="24"/>
      <c r="AB51" s="22"/>
      <c r="AC51" s="22"/>
      <c r="AD51" s="22"/>
      <c r="AE51" s="22"/>
      <c r="AF51" s="153"/>
      <c r="AG51" s="153"/>
      <c r="AH51" s="153"/>
      <c r="AI51" s="153"/>
      <c r="AJ51" s="153"/>
      <c r="AK51" s="153"/>
      <c r="AL51" s="153"/>
      <c r="AM51" s="153"/>
      <c r="AN51" s="153"/>
      <c r="AO51" s="153"/>
      <c r="AP51" s="153"/>
      <c r="AQ51" s="153"/>
    </row>
    <row r="52" spans="1:43" ht="30.25" customHeight="1" x14ac:dyDescent="0.35">
      <c r="A52" s="209"/>
      <c r="B52" s="44">
        <v>49</v>
      </c>
      <c r="C52" s="206"/>
      <c r="D52" s="46" t="s">
        <v>11</v>
      </c>
      <c r="E52" s="48" t="s">
        <v>8</v>
      </c>
      <c r="F52" s="50" t="s">
        <v>28</v>
      </c>
      <c r="G52" s="44" t="s">
        <v>29</v>
      </c>
      <c r="H52" s="44" t="s">
        <v>8</v>
      </c>
      <c r="I52" s="44" t="s">
        <v>9</v>
      </c>
      <c r="J52" s="47">
        <v>800</v>
      </c>
      <c r="K52" s="27">
        <f>0</f>
        <v>0</v>
      </c>
      <c r="L52" s="127">
        <f t="shared" si="0"/>
        <v>0</v>
      </c>
      <c r="M52" s="127">
        <f t="shared" si="1"/>
        <v>0</v>
      </c>
      <c r="N52" s="128"/>
      <c r="O52" s="129">
        <f t="shared" si="2"/>
        <v>0</v>
      </c>
      <c r="P52" s="128"/>
      <c r="Q52" s="128"/>
      <c r="R52" s="128"/>
      <c r="S52" s="26">
        <f t="shared" si="3"/>
        <v>0</v>
      </c>
      <c r="T52" s="25" t="str">
        <f t="shared" si="5"/>
        <v>OK</v>
      </c>
      <c r="U52" s="22"/>
      <c r="V52" s="24"/>
      <c r="W52" s="24"/>
      <c r="X52" s="24"/>
      <c r="Y52" s="24"/>
      <c r="Z52" s="24"/>
      <c r="AA52" s="24"/>
      <c r="AB52" s="22"/>
      <c r="AC52" s="22"/>
      <c r="AD52" s="22"/>
      <c r="AE52" s="22"/>
      <c r="AF52" s="153"/>
      <c r="AG52" s="153"/>
      <c r="AH52" s="153"/>
      <c r="AI52" s="153"/>
      <c r="AJ52" s="153"/>
      <c r="AK52" s="153"/>
      <c r="AL52" s="153"/>
      <c r="AM52" s="153"/>
      <c r="AN52" s="153"/>
      <c r="AO52" s="153"/>
      <c r="AP52" s="153"/>
      <c r="AQ52" s="153"/>
    </row>
    <row r="53" spans="1:43" ht="30.25" customHeight="1" x14ac:dyDescent="0.35">
      <c r="A53" s="209"/>
      <c r="B53" s="44">
        <v>50</v>
      </c>
      <c r="C53" s="206"/>
      <c r="D53" s="46" t="s">
        <v>12</v>
      </c>
      <c r="E53" s="48" t="s">
        <v>8</v>
      </c>
      <c r="F53" s="50" t="s">
        <v>28</v>
      </c>
      <c r="G53" s="44" t="s">
        <v>29</v>
      </c>
      <c r="H53" s="44" t="s">
        <v>34</v>
      </c>
      <c r="I53" s="44" t="s">
        <v>9</v>
      </c>
      <c r="J53" s="47">
        <v>50</v>
      </c>
      <c r="K53" s="27">
        <f>0</f>
        <v>0</v>
      </c>
      <c r="L53" s="127">
        <f t="shared" si="0"/>
        <v>0</v>
      </c>
      <c r="M53" s="127">
        <f t="shared" si="1"/>
        <v>0</v>
      </c>
      <c r="N53" s="128"/>
      <c r="O53" s="129">
        <f t="shared" si="2"/>
        <v>0</v>
      </c>
      <c r="P53" s="128"/>
      <c r="Q53" s="128"/>
      <c r="R53" s="128"/>
      <c r="S53" s="26">
        <f t="shared" si="3"/>
        <v>0</v>
      </c>
      <c r="T53" s="25" t="str">
        <f t="shared" si="5"/>
        <v>OK</v>
      </c>
      <c r="U53" s="22"/>
      <c r="V53" s="24"/>
      <c r="W53" s="24"/>
      <c r="X53" s="24"/>
      <c r="Y53" s="24"/>
      <c r="Z53" s="24"/>
      <c r="AA53" s="24"/>
      <c r="AB53" s="22"/>
      <c r="AC53" s="22"/>
      <c r="AD53" s="22"/>
      <c r="AE53" s="22"/>
      <c r="AF53" s="153"/>
      <c r="AG53" s="153"/>
      <c r="AH53" s="153"/>
      <c r="AI53" s="153"/>
      <c r="AJ53" s="153"/>
      <c r="AK53" s="153"/>
      <c r="AL53" s="153"/>
      <c r="AM53" s="153"/>
      <c r="AN53" s="153"/>
      <c r="AO53" s="153"/>
      <c r="AP53" s="153"/>
      <c r="AQ53" s="153"/>
    </row>
    <row r="54" spans="1:43" ht="30.25" customHeight="1" x14ac:dyDescent="0.35">
      <c r="A54" s="209"/>
      <c r="B54" s="44">
        <v>51</v>
      </c>
      <c r="C54" s="206"/>
      <c r="D54" s="46" t="s">
        <v>156</v>
      </c>
      <c r="E54" s="48" t="s">
        <v>8</v>
      </c>
      <c r="F54" s="50" t="s">
        <v>28</v>
      </c>
      <c r="G54" s="44" t="s">
        <v>29</v>
      </c>
      <c r="H54" s="44" t="s">
        <v>34</v>
      </c>
      <c r="I54" s="44" t="s">
        <v>9</v>
      </c>
      <c r="J54" s="47">
        <v>50</v>
      </c>
      <c r="K54" s="27">
        <f>0</f>
        <v>0</v>
      </c>
      <c r="L54" s="127">
        <f t="shared" si="0"/>
        <v>0</v>
      </c>
      <c r="M54" s="127">
        <f t="shared" si="1"/>
        <v>0</v>
      </c>
      <c r="N54" s="128"/>
      <c r="O54" s="129">
        <f t="shared" si="2"/>
        <v>0</v>
      </c>
      <c r="P54" s="128"/>
      <c r="Q54" s="128"/>
      <c r="R54" s="128"/>
      <c r="S54" s="26">
        <f t="shared" si="3"/>
        <v>0</v>
      </c>
      <c r="T54" s="25" t="str">
        <f t="shared" si="5"/>
        <v>OK</v>
      </c>
      <c r="U54" s="22"/>
      <c r="V54" s="24"/>
      <c r="W54" s="24"/>
      <c r="X54" s="24"/>
      <c r="Y54" s="24"/>
      <c r="Z54" s="24"/>
      <c r="AA54" s="24"/>
      <c r="AB54" s="22"/>
      <c r="AC54" s="22"/>
      <c r="AD54" s="22"/>
      <c r="AE54" s="22"/>
      <c r="AF54" s="153"/>
      <c r="AG54" s="153"/>
      <c r="AH54" s="153"/>
      <c r="AI54" s="153"/>
      <c r="AJ54" s="153"/>
      <c r="AK54" s="153"/>
      <c r="AL54" s="153"/>
      <c r="AM54" s="153"/>
      <c r="AN54" s="153"/>
      <c r="AO54" s="153"/>
      <c r="AP54" s="153"/>
      <c r="AQ54" s="153"/>
    </row>
    <row r="55" spans="1:43" ht="30.25" customHeight="1" x14ac:dyDescent="0.35">
      <c r="A55" s="209"/>
      <c r="B55" s="44">
        <v>52</v>
      </c>
      <c r="C55" s="206"/>
      <c r="D55" s="46" t="s">
        <v>13</v>
      </c>
      <c r="E55" s="48" t="s">
        <v>8</v>
      </c>
      <c r="F55" s="50" t="s">
        <v>28</v>
      </c>
      <c r="G55" s="44" t="s">
        <v>29</v>
      </c>
      <c r="H55" s="44" t="s">
        <v>34</v>
      </c>
      <c r="I55" s="44" t="s">
        <v>9</v>
      </c>
      <c r="J55" s="47">
        <v>50</v>
      </c>
      <c r="K55" s="27">
        <f>0</f>
        <v>0</v>
      </c>
      <c r="L55" s="127">
        <f t="shared" si="0"/>
        <v>0</v>
      </c>
      <c r="M55" s="127">
        <f t="shared" si="1"/>
        <v>0</v>
      </c>
      <c r="N55" s="128"/>
      <c r="O55" s="129">
        <f t="shared" si="2"/>
        <v>0</v>
      </c>
      <c r="P55" s="128"/>
      <c r="Q55" s="128"/>
      <c r="R55" s="128"/>
      <c r="S55" s="26">
        <f t="shared" si="3"/>
        <v>0</v>
      </c>
      <c r="T55" s="25" t="str">
        <f t="shared" si="5"/>
        <v>OK</v>
      </c>
      <c r="U55" s="22"/>
      <c r="V55" s="24"/>
      <c r="W55" s="24"/>
      <c r="X55" s="24"/>
      <c r="Y55" s="24"/>
      <c r="Z55" s="24"/>
      <c r="AA55" s="24"/>
      <c r="AB55" s="22"/>
      <c r="AC55" s="22"/>
      <c r="AD55" s="22"/>
      <c r="AE55" s="22"/>
      <c r="AF55" s="153"/>
      <c r="AG55" s="153"/>
      <c r="AH55" s="153"/>
      <c r="AI55" s="153"/>
      <c r="AJ55" s="153"/>
      <c r="AK55" s="153"/>
      <c r="AL55" s="153"/>
      <c r="AM55" s="153"/>
      <c r="AN55" s="153"/>
      <c r="AO55" s="153"/>
      <c r="AP55" s="153"/>
      <c r="AQ55" s="153"/>
    </row>
    <row r="56" spans="1:43" ht="30.25" customHeight="1" x14ac:dyDescent="0.35">
      <c r="A56" s="209"/>
      <c r="B56" s="44">
        <v>53</v>
      </c>
      <c r="C56" s="206"/>
      <c r="D56" s="46" t="s">
        <v>157</v>
      </c>
      <c r="E56" s="48" t="s">
        <v>8</v>
      </c>
      <c r="F56" s="50" t="s">
        <v>28</v>
      </c>
      <c r="G56" s="44" t="s">
        <v>29</v>
      </c>
      <c r="H56" s="44" t="s">
        <v>8</v>
      </c>
      <c r="I56" s="44" t="s">
        <v>9</v>
      </c>
      <c r="J56" s="47">
        <v>50</v>
      </c>
      <c r="K56" s="27">
        <f>0</f>
        <v>0</v>
      </c>
      <c r="L56" s="127">
        <f t="shared" si="0"/>
        <v>0</v>
      </c>
      <c r="M56" s="127">
        <f t="shared" si="1"/>
        <v>0</v>
      </c>
      <c r="N56" s="128"/>
      <c r="O56" s="129">
        <f t="shared" si="2"/>
        <v>0</v>
      </c>
      <c r="P56" s="128"/>
      <c r="Q56" s="128"/>
      <c r="R56" s="128"/>
      <c r="S56" s="26">
        <f t="shared" si="3"/>
        <v>0</v>
      </c>
      <c r="T56" s="25" t="str">
        <f t="shared" si="5"/>
        <v>OK</v>
      </c>
      <c r="U56" s="22"/>
      <c r="V56" s="24"/>
      <c r="W56" s="24"/>
      <c r="X56" s="24"/>
      <c r="Y56" s="24"/>
      <c r="Z56" s="24"/>
      <c r="AA56" s="24"/>
      <c r="AB56" s="22"/>
      <c r="AC56" s="22"/>
      <c r="AD56" s="22"/>
      <c r="AE56" s="22"/>
      <c r="AF56" s="153"/>
      <c r="AG56" s="153"/>
      <c r="AH56" s="153"/>
      <c r="AI56" s="153"/>
      <c r="AJ56" s="153"/>
      <c r="AK56" s="153"/>
      <c r="AL56" s="153"/>
      <c r="AM56" s="153"/>
      <c r="AN56" s="153"/>
      <c r="AO56" s="153"/>
      <c r="AP56" s="153"/>
      <c r="AQ56" s="153"/>
    </row>
    <row r="57" spans="1:43" ht="30.25" customHeight="1" x14ac:dyDescent="0.35">
      <c r="A57" s="209"/>
      <c r="B57" s="44">
        <v>54</v>
      </c>
      <c r="C57" s="206"/>
      <c r="D57" s="46" t="s">
        <v>30</v>
      </c>
      <c r="E57" s="48" t="s">
        <v>8</v>
      </c>
      <c r="F57" s="50" t="s">
        <v>28</v>
      </c>
      <c r="G57" s="44" t="s">
        <v>29</v>
      </c>
      <c r="H57" s="44" t="s">
        <v>8</v>
      </c>
      <c r="I57" s="44" t="s">
        <v>9</v>
      </c>
      <c r="J57" s="47">
        <v>80</v>
      </c>
      <c r="K57" s="27">
        <f>0</f>
        <v>0</v>
      </c>
      <c r="L57" s="127">
        <f t="shared" si="0"/>
        <v>0</v>
      </c>
      <c r="M57" s="127">
        <f t="shared" si="1"/>
        <v>0</v>
      </c>
      <c r="N57" s="128"/>
      <c r="O57" s="129">
        <f t="shared" si="2"/>
        <v>0</v>
      </c>
      <c r="P57" s="128"/>
      <c r="Q57" s="128"/>
      <c r="R57" s="128"/>
      <c r="S57" s="26">
        <f t="shared" si="3"/>
        <v>0</v>
      </c>
      <c r="T57" s="25" t="str">
        <f t="shared" si="5"/>
        <v>OK</v>
      </c>
      <c r="U57" s="22"/>
      <c r="V57" s="24"/>
      <c r="W57" s="24"/>
      <c r="X57" s="24"/>
      <c r="Y57" s="24"/>
      <c r="Z57" s="24"/>
      <c r="AA57" s="24"/>
      <c r="AB57" s="22"/>
      <c r="AC57" s="22"/>
      <c r="AD57" s="22"/>
      <c r="AE57" s="22"/>
      <c r="AF57" s="153"/>
      <c r="AG57" s="153"/>
      <c r="AH57" s="153"/>
      <c r="AI57" s="153"/>
      <c r="AJ57" s="153"/>
      <c r="AK57" s="153"/>
      <c r="AL57" s="153"/>
      <c r="AM57" s="153"/>
      <c r="AN57" s="153"/>
      <c r="AO57" s="153"/>
      <c r="AP57" s="153"/>
      <c r="AQ57" s="153"/>
    </row>
    <row r="58" spans="1:43" ht="30.25" customHeight="1" x14ac:dyDescent="0.35">
      <c r="A58" s="209"/>
      <c r="B58" s="44">
        <v>55</v>
      </c>
      <c r="C58" s="206"/>
      <c r="D58" s="46" t="s">
        <v>162</v>
      </c>
      <c r="E58" s="48" t="s">
        <v>8</v>
      </c>
      <c r="F58" s="50" t="s">
        <v>28</v>
      </c>
      <c r="G58" s="44" t="s">
        <v>159</v>
      </c>
      <c r="H58" s="44" t="s">
        <v>8</v>
      </c>
      <c r="I58" s="44" t="s">
        <v>9</v>
      </c>
      <c r="J58" s="47">
        <v>1114</v>
      </c>
      <c r="K58" s="27">
        <f>0</f>
        <v>0</v>
      </c>
      <c r="L58" s="127">
        <f t="shared" si="0"/>
        <v>0</v>
      </c>
      <c r="M58" s="127">
        <f t="shared" si="1"/>
        <v>0</v>
      </c>
      <c r="N58" s="128"/>
      <c r="O58" s="129">
        <f t="shared" si="2"/>
        <v>0</v>
      </c>
      <c r="P58" s="128"/>
      <c r="Q58" s="128"/>
      <c r="R58" s="128"/>
      <c r="S58" s="26">
        <f t="shared" si="3"/>
        <v>0</v>
      </c>
      <c r="T58" s="25" t="str">
        <f t="shared" si="5"/>
        <v>OK</v>
      </c>
      <c r="U58" s="22"/>
      <c r="V58" s="24"/>
      <c r="W58" s="24"/>
      <c r="X58" s="24"/>
      <c r="Y58" s="24"/>
      <c r="Z58" s="24"/>
      <c r="AA58" s="24"/>
      <c r="AB58" s="22"/>
      <c r="AC58" s="22"/>
      <c r="AD58" s="22"/>
      <c r="AE58" s="22"/>
      <c r="AF58" s="153"/>
      <c r="AG58" s="153"/>
      <c r="AH58" s="153"/>
      <c r="AI58" s="153"/>
      <c r="AJ58" s="153"/>
      <c r="AK58" s="153"/>
      <c r="AL58" s="153"/>
      <c r="AM58" s="153"/>
      <c r="AN58" s="153"/>
      <c r="AO58" s="153"/>
      <c r="AP58" s="153"/>
      <c r="AQ58" s="153"/>
    </row>
    <row r="59" spans="1:43" ht="30.25" customHeight="1" x14ac:dyDescent="0.35">
      <c r="A59" s="210"/>
      <c r="B59" s="44">
        <v>56</v>
      </c>
      <c r="C59" s="207"/>
      <c r="D59" s="46" t="s">
        <v>160</v>
      </c>
      <c r="E59" s="48" t="s">
        <v>8</v>
      </c>
      <c r="F59" s="50" t="s">
        <v>28</v>
      </c>
      <c r="G59" s="44" t="s">
        <v>29</v>
      </c>
      <c r="H59" s="44" t="s">
        <v>8</v>
      </c>
      <c r="I59" s="44" t="s">
        <v>9</v>
      </c>
      <c r="J59" s="47">
        <v>2000</v>
      </c>
      <c r="K59" s="27">
        <f>0</f>
        <v>0</v>
      </c>
      <c r="L59" s="127">
        <f t="shared" si="0"/>
        <v>0</v>
      </c>
      <c r="M59" s="127">
        <f t="shared" si="1"/>
        <v>0</v>
      </c>
      <c r="N59" s="128"/>
      <c r="O59" s="129">
        <f t="shared" si="2"/>
        <v>0</v>
      </c>
      <c r="P59" s="128"/>
      <c r="Q59" s="128"/>
      <c r="R59" s="128"/>
      <c r="S59" s="26">
        <f t="shared" si="3"/>
        <v>0</v>
      </c>
      <c r="T59" s="25" t="str">
        <f t="shared" si="5"/>
        <v>OK</v>
      </c>
      <c r="U59" s="22"/>
      <c r="V59" s="24"/>
      <c r="W59" s="24"/>
      <c r="X59" s="24"/>
      <c r="Y59" s="24"/>
      <c r="Z59" s="24"/>
      <c r="AA59" s="24"/>
      <c r="AB59" s="22"/>
      <c r="AC59" s="22"/>
      <c r="AD59" s="22"/>
      <c r="AE59" s="22"/>
      <c r="AF59" s="153"/>
      <c r="AG59" s="153"/>
      <c r="AH59" s="153"/>
      <c r="AI59" s="153"/>
      <c r="AJ59" s="153"/>
      <c r="AK59" s="153"/>
      <c r="AL59" s="153"/>
      <c r="AM59" s="153"/>
      <c r="AN59" s="153"/>
      <c r="AO59" s="153"/>
      <c r="AP59" s="153"/>
      <c r="AQ59" s="153"/>
    </row>
    <row r="60" spans="1:43" ht="30.25" customHeight="1" x14ac:dyDescent="0.35">
      <c r="A60" s="198" t="s">
        <v>163</v>
      </c>
      <c r="B60" s="37">
        <v>57</v>
      </c>
      <c r="C60" s="195" t="s">
        <v>33</v>
      </c>
      <c r="D60" s="34" t="s">
        <v>27</v>
      </c>
      <c r="E60" s="41" t="s">
        <v>8</v>
      </c>
      <c r="F60" s="43" t="s">
        <v>28</v>
      </c>
      <c r="G60" s="37" t="s">
        <v>29</v>
      </c>
      <c r="H60" s="37" t="s">
        <v>8</v>
      </c>
      <c r="I60" s="37" t="s">
        <v>9</v>
      </c>
      <c r="J60" s="36">
        <v>250.5</v>
      </c>
      <c r="K60" s="27">
        <f>0</f>
        <v>0</v>
      </c>
      <c r="L60" s="127">
        <f t="shared" si="0"/>
        <v>0</v>
      </c>
      <c r="M60" s="127">
        <f t="shared" si="1"/>
        <v>0</v>
      </c>
      <c r="N60" s="128"/>
      <c r="O60" s="129">
        <f t="shared" si="2"/>
        <v>0</v>
      </c>
      <c r="P60" s="128"/>
      <c r="Q60" s="128"/>
      <c r="R60" s="128"/>
      <c r="S60" s="26">
        <f t="shared" si="3"/>
        <v>0</v>
      </c>
      <c r="T60" s="25" t="str">
        <f t="shared" si="5"/>
        <v>OK</v>
      </c>
      <c r="U60" s="22"/>
      <c r="V60" s="24"/>
      <c r="W60" s="24"/>
      <c r="X60" s="24"/>
      <c r="Y60" s="24"/>
      <c r="Z60" s="24"/>
      <c r="AA60" s="24"/>
      <c r="AB60" s="22"/>
      <c r="AC60" s="22"/>
      <c r="AD60" s="22"/>
      <c r="AE60" s="22"/>
      <c r="AF60" s="153"/>
      <c r="AG60" s="153"/>
      <c r="AH60" s="153"/>
      <c r="AI60" s="153"/>
      <c r="AJ60" s="153"/>
      <c r="AK60" s="153"/>
      <c r="AL60" s="153"/>
      <c r="AM60" s="153"/>
      <c r="AN60" s="153"/>
      <c r="AO60" s="153"/>
      <c r="AP60" s="153"/>
      <c r="AQ60" s="153"/>
    </row>
    <row r="61" spans="1:43" ht="30.25" customHeight="1" x14ac:dyDescent="0.35">
      <c r="A61" s="199"/>
      <c r="B61" s="37">
        <v>58</v>
      </c>
      <c r="C61" s="196"/>
      <c r="D61" s="34" t="s">
        <v>7</v>
      </c>
      <c r="E61" s="41" t="s">
        <v>8</v>
      </c>
      <c r="F61" s="43" t="s">
        <v>28</v>
      </c>
      <c r="G61" s="37" t="s">
        <v>29</v>
      </c>
      <c r="H61" s="37" t="s">
        <v>8</v>
      </c>
      <c r="I61" s="37" t="s">
        <v>9</v>
      </c>
      <c r="J61" s="36">
        <v>1000</v>
      </c>
      <c r="K61" s="27">
        <f>0</f>
        <v>0</v>
      </c>
      <c r="L61" s="127">
        <f t="shared" si="0"/>
        <v>0</v>
      </c>
      <c r="M61" s="127">
        <f t="shared" si="1"/>
        <v>0</v>
      </c>
      <c r="N61" s="128"/>
      <c r="O61" s="129">
        <f t="shared" si="2"/>
        <v>0</v>
      </c>
      <c r="P61" s="128"/>
      <c r="Q61" s="128"/>
      <c r="R61" s="128"/>
      <c r="S61" s="26">
        <f t="shared" si="3"/>
        <v>0</v>
      </c>
      <c r="T61" s="25" t="str">
        <f t="shared" si="5"/>
        <v>OK</v>
      </c>
      <c r="U61" s="22"/>
      <c r="V61" s="24"/>
      <c r="W61" s="24"/>
      <c r="X61" s="24"/>
      <c r="Y61" s="24"/>
      <c r="Z61" s="24"/>
      <c r="AA61" s="24"/>
      <c r="AB61" s="22"/>
      <c r="AC61" s="22"/>
      <c r="AD61" s="22"/>
      <c r="AE61" s="22"/>
      <c r="AF61" s="153"/>
      <c r="AG61" s="153"/>
      <c r="AH61" s="153"/>
      <c r="AI61" s="153"/>
      <c r="AJ61" s="153"/>
      <c r="AK61" s="153"/>
      <c r="AL61" s="153"/>
      <c r="AM61" s="153"/>
      <c r="AN61" s="153"/>
      <c r="AO61" s="153"/>
      <c r="AP61" s="153"/>
      <c r="AQ61" s="153"/>
    </row>
    <row r="62" spans="1:43" ht="30.25" customHeight="1" x14ac:dyDescent="0.35">
      <c r="A62" s="199"/>
      <c r="B62" s="37">
        <v>59</v>
      </c>
      <c r="C62" s="196"/>
      <c r="D62" s="34" t="s">
        <v>10</v>
      </c>
      <c r="E62" s="41" t="s">
        <v>8</v>
      </c>
      <c r="F62" s="43" t="s">
        <v>28</v>
      </c>
      <c r="G62" s="37" t="s">
        <v>29</v>
      </c>
      <c r="H62" s="37" t="s">
        <v>8</v>
      </c>
      <c r="I62" s="37" t="s">
        <v>9</v>
      </c>
      <c r="J62" s="36">
        <v>1500</v>
      </c>
      <c r="K62" s="27">
        <f>0</f>
        <v>0</v>
      </c>
      <c r="L62" s="127">
        <f t="shared" si="0"/>
        <v>0</v>
      </c>
      <c r="M62" s="127">
        <f t="shared" si="1"/>
        <v>0</v>
      </c>
      <c r="N62" s="128"/>
      <c r="O62" s="129">
        <f t="shared" si="2"/>
        <v>0</v>
      </c>
      <c r="P62" s="128"/>
      <c r="Q62" s="128"/>
      <c r="R62" s="128"/>
      <c r="S62" s="26">
        <f t="shared" si="3"/>
        <v>0</v>
      </c>
      <c r="T62" s="25" t="str">
        <f t="shared" si="5"/>
        <v>OK</v>
      </c>
      <c r="U62" s="22"/>
      <c r="V62" s="24"/>
      <c r="W62" s="24"/>
      <c r="X62" s="24"/>
      <c r="Y62" s="24"/>
      <c r="Z62" s="24"/>
      <c r="AA62" s="24"/>
      <c r="AB62" s="22"/>
      <c r="AC62" s="22"/>
      <c r="AD62" s="22"/>
      <c r="AE62" s="22"/>
      <c r="AF62" s="153"/>
      <c r="AG62" s="153"/>
      <c r="AH62" s="153"/>
      <c r="AI62" s="153"/>
      <c r="AJ62" s="153"/>
      <c r="AK62" s="153"/>
      <c r="AL62" s="153"/>
      <c r="AM62" s="153"/>
      <c r="AN62" s="153"/>
      <c r="AO62" s="153"/>
      <c r="AP62" s="153"/>
      <c r="AQ62" s="153"/>
    </row>
    <row r="63" spans="1:43" ht="30.25" customHeight="1" x14ac:dyDescent="0.35">
      <c r="A63" s="199"/>
      <c r="B63" s="37">
        <v>60</v>
      </c>
      <c r="C63" s="196"/>
      <c r="D63" s="34" t="s">
        <v>11</v>
      </c>
      <c r="E63" s="41" t="s">
        <v>8</v>
      </c>
      <c r="F63" s="43" t="s">
        <v>28</v>
      </c>
      <c r="G63" s="37" t="s">
        <v>29</v>
      </c>
      <c r="H63" s="37" t="s">
        <v>8</v>
      </c>
      <c r="I63" s="37" t="s">
        <v>9</v>
      </c>
      <c r="J63" s="36">
        <v>1731</v>
      </c>
      <c r="K63" s="27">
        <f>0</f>
        <v>0</v>
      </c>
      <c r="L63" s="127">
        <f t="shared" si="0"/>
        <v>0</v>
      </c>
      <c r="M63" s="127">
        <f t="shared" si="1"/>
        <v>0</v>
      </c>
      <c r="N63" s="128"/>
      <c r="O63" s="129">
        <f t="shared" si="2"/>
        <v>0</v>
      </c>
      <c r="P63" s="128"/>
      <c r="Q63" s="128"/>
      <c r="R63" s="128"/>
      <c r="S63" s="26">
        <f t="shared" si="3"/>
        <v>0</v>
      </c>
      <c r="T63" s="25" t="str">
        <f t="shared" si="5"/>
        <v>OK</v>
      </c>
      <c r="U63" s="22"/>
      <c r="V63" s="24"/>
      <c r="W63" s="24"/>
      <c r="X63" s="24"/>
      <c r="Y63" s="24"/>
      <c r="Z63" s="24"/>
      <c r="AA63" s="24"/>
      <c r="AB63" s="22"/>
      <c r="AC63" s="22"/>
      <c r="AD63" s="22"/>
      <c r="AE63" s="22"/>
      <c r="AF63" s="153"/>
      <c r="AG63" s="153"/>
      <c r="AH63" s="153"/>
      <c r="AI63" s="153"/>
      <c r="AJ63" s="153"/>
      <c r="AK63" s="153"/>
      <c r="AL63" s="153"/>
      <c r="AM63" s="153"/>
      <c r="AN63" s="153"/>
      <c r="AO63" s="153"/>
      <c r="AP63" s="153"/>
      <c r="AQ63" s="153"/>
    </row>
    <row r="64" spans="1:43" ht="30.25" customHeight="1" x14ac:dyDescent="0.35">
      <c r="A64" s="199"/>
      <c r="B64" s="37">
        <v>61</v>
      </c>
      <c r="C64" s="196"/>
      <c r="D64" s="34" t="s">
        <v>12</v>
      </c>
      <c r="E64" s="41" t="s">
        <v>8</v>
      </c>
      <c r="F64" s="43" t="s">
        <v>28</v>
      </c>
      <c r="G64" s="37" t="s">
        <v>29</v>
      </c>
      <c r="H64" s="37" t="s">
        <v>34</v>
      </c>
      <c r="I64" s="37" t="s">
        <v>9</v>
      </c>
      <c r="J64" s="36">
        <v>160</v>
      </c>
      <c r="K64" s="27">
        <f>0</f>
        <v>0</v>
      </c>
      <c r="L64" s="127">
        <f t="shared" si="0"/>
        <v>0</v>
      </c>
      <c r="M64" s="127">
        <f t="shared" si="1"/>
        <v>0</v>
      </c>
      <c r="N64" s="128"/>
      <c r="O64" s="129">
        <f t="shared" si="2"/>
        <v>0</v>
      </c>
      <c r="P64" s="128"/>
      <c r="Q64" s="128"/>
      <c r="R64" s="128"/>
      <c r="S64" s="26">
        <f t="shared" si="3"/>
        <v>0</v>
      </c>
      <c r="T64" s="25" t="str">
        <f t="shared" si="5"/>
        <v>OK</v>
      </c>
      <c r="U64" s="22"/>
      <c r="V64" s="24"/>
      <c r="W64" s="24"/>
      <c r="X64" s="24"/>
      <c r="Y64" s="24"/>
      <c r="Z64" s="24"/>
      <c r="AA64" s="24"/>
      <c r="AB64" s="22"/>
      <c r="AC64" s="22"/>
      <c r="AD64" s="22"/>
      <c r="AE64" s="22"/>
      <c r="AF64" s="153"/>
      <c r="AG64" s="153"/>
      <c r="AH64" s="153"/>
      <c r="AI64" s="153"/>
      <c r="AJ64" s="153"/>
      <c r="AK64" s="153"/>
      <c r="AL64" s="153"/>
      <c r="AM64" s="153"/>
      <c r="AN64" s="153"/>
      <c r="AO64" s="153"/>
      <c r="AP64" s="153"/>
      <c r="AQ64" s="153"/>
    </row>
    <row r="65" spans="1:43" ht="30.25" customHeight="1" x14ac:dyDescent="0.35">
      <c r="A65" s="199"/>
      <c r="B65" s="37">
        <v>62</v>
      </c>
      <c r="C65" s="196"/>
      <c r="D65" s="34" t="s">
        <v>156</v>
      </c>
      <c r="E65" s="41" t="s">
        <v>8</v>
      </c>
      <c r="F65" s="43" t="s">
        <v>28</v>
      </c>
      <c r="G65" s="37" t="s">
        <v>29</v>
      </c>
      <c r="H65" s="37" t="s">
        <v>34</v>
      </c>
      <c r="I65" s="37" t="s">
        <v>9</v>
      </c>
      <c r="J65" s="36">
        <v>135</v>
      </c>
      <c r="K65" s="27">
        <f>0</f>
        <v>0</v>
      </c>
      <c r="L65" s="127">
        <f t="shared" si="0"/>
        <v>0</v>
      </c>
      <c r="M65" s="127">
        <f t="shared" si="1"/>
        <v>0</v>
      </c>
      <c r="N65" s="128"/>
      <c r="O65" s="129">
        <f t="shared" si="2"/>
        <v>0</v>
      </c>
      <c r="P65" s="128"/>
      <c r="Q65" s="128"/>
      <c r="R65" s="128"/>
      <c r="S65" s="26">
        <f t="shared" si="3"/>
        <v>0</v>
      </c>
      <c r="T65" s="25" t="str">
        <f t="shared" si="5"/>
        <v>OK</v>
      </c>
      <c r="U65" s="22"/>
      <c r="V65" s="24"/>
      <c r="W65" s="24"/>
      <c r="X65" s="24"/>
      <c r="Y65" s="24"/>
      <c r="Z65" s="24"/>
      <c r="AA65" s="24"/>
      <c r="AB65" s="22"/>
      <c r="AC65" s="22"/>
      <c r="AD65" s="22"/>
      <c r="AE65" s="22"/>
      <c r="AF65" s="153"/>
      <c r="AG65" s="153"/>
      <c r="AH65" s="153"/>
      <c r="AI65" s="153"/>
      <c r="AJ65" s="153"/>
      <c r="AK65" s="153"/>
      <c r="AL65" s="153"/>
      <c r="AM65" s="153"/>
      <c r="AN65" s="153"/>
      <c r="AO65" s="153"/>
      <c r="AP65" s="153"/>
      <c r="AQ65" s="153"/>
    </row>
    <row r="66" spans="1:43" ht="30.25" customHeight="1" x14ac:dyDescent="0.35">
      <c r="A66" s="199"/>
      <c r="B66" s="37">
        <v>63</v>
      </c>
      <c r="C66" s="196"/>
      <c r="D66" s="34" t="s">
        <v>13</v>
      </c>
      <c r="E66" s="41" t="s">
        <v>8</v>
      </c>
      <c r="F66" s="43" t="s">
        <v>28</v>
      </c>
      <c r="G66" s="37" t="s">
        <v>29</v>
      </c>
      <c r="H66" s="37" t="s">
        <v>34</v>
      </c>
      <c r="I66" s="37" t="s">
        <v>9</v>
      </c>
      <c r="J66" s="36">
        <v>135</v>
      </c>
      <c r="K66" s="27">
        <f>0</f>
        <v>0</v>
      </c>
      <c r="L66" s="127">
        <f t="shared" si="0"/>
        <v>0</v>
      </c>
      <c r="M66" s="127">
        <f t="shared" si="1"/>
        <v>0</v>
      </c>
      <c r="N66" s="128"/>
      <c r="O66" s="129">
        <f t="shared" si="2"/>
        <v>0</v>
      </c>
      <c r="P66" s="128"/>
      <c r="Q66" s="128"/>
      <c r="R66" s="128"/>
      <c r="S66" s="26">
        <f t="shared" si="3"/>
        <v>0</v>
      </c>
      <c r="T66" s="25" t="str">
        <f t="shared" si="5"/>
        <v>OK</v>
      </c>
      <c r="U66" s="22"/>
      <c r="V66" s="24"/>
      <c r="W66" s="24"/>
      <c r="X66" s="24"/>
      <c r="Y66" s="24"/>
      <c r="Z66" s="24"/>
      <c r="AA66" s="24"/>
      <c r="AB66" s="22"/>
      <c r="AC66" s="22"/>
      <c r="AD66" s="22"/>
      <c r="AE66" s="22"/>
      <c r="AF66" s="153"/>
      <c r="AG66" s="153"/>
      <c r="AH66" s="153"/>
      <c r="AI66" s="153"/>
      <c r="AJ66" s="153"/>
      <c r="AK66" s="153"/>
      <c r="AL66" s="153"/>
      <c r="AM66" s="153"/>
      <c r="AN66" s="153"/>
      <c r="AO66" s="153"/>
      <c r="AP66" s="153"/>
      <c r="AQ66" s="153"/>
    </row>
    <row r="67" spans="1:43" ht="30.25" customHeight="1" x14ac:dyDescent="0.35">
      <c r="A67" s="199"/>
      <c r="B67" s="37">
        <v>64</v>
      </c>
      <c r="C67" s="196"/>
      <c r="D67" s="34" t="s">
        <v>157</v>
      </c>
      <c r="E67" s="41" t="s">
        <v>8</v>
      </c>
      <c r="F67" s="43" t="s">
        <v>28</v>
      </c>
      <c r="G67" s="37" t="s">
        <v>29</v>
      </c>
      <c r="H67" s="37" t="s">
        <v>8</v>
      </c>
      <c r="I67" s="37" t="s">
        <v>9</v>
      </c>
      <c r="J67" s="36">
        <v>365</v>
      </c>
      <c r="K67" s="27">
        <f>0</f>
        <v>0</v>
      </c>
      <c r="L67" s="127">
        <f t="shared" si="0"/>
        <v>0</v>
      </c>
      <c r="M67" s="127">
        <f t="shared" si="1"/>
        <v>0</v>
      </c>
      <c r="N67" s="128"/>
      <c r="O67" s="129">
        <f t="shared" si="2"/>
        <v>0</v>
      </c>
      <c r="P67" s="128"/>
      <c r="Q67" s="128"/>
      <c r="R67" s="128"/>
      <c r="S67" s="26">
        <f t="shared" si="3"/>
        <v>0</v>
      </c>
      <c r="T67" s="25" t="str">
        <f t="shared" si="5"/>
        <v>OK</v>
      </c>
      <c r="U67" s="22"/>
      <c r="V67" s="24"/>
      <c r="W67" s="24"/>
      <c r="X67" s="24"/>
      <c r="Y67" s="24"/>
      <c r="Z67" s="24"/>
      <c r="AA67" s="24"/>
      <c r="AB67" s="22"/>
      <c r="AC67" s="22"/>
      <c r="AD67" s="22"/>
      <c r="AE67" s="22"/>
      <c r="AF67" s="153"/>
      <c r="AG67" s="153"/>
      <c r="AH67" s="153"/>
      <c r="AI67" s="153"/>
      <c r="AJ67" s="153"/>
      <c r="AK67" s="153"/>
      <c r="AL67" s="153"/>
      <c r="AM67" s="153"/>
      <c r="AN67" s="153"/>
      <c r="AO67" s="153"/>
      <c r="AP67" s="153"/>
      <c r="AQ67" s="153"/>
    </row>
    <row r="68" spans="1:43" ht="30.25" customHeight="1" x14ac:dyDescent="0.35">
      <c r="A68" s="200"/>
      <c r="B68" s="37">
        <v>65</v>
      </c>
      <c r="C68" s="197"/>
      <c r="D68" s="34" t="s">
        <v>30</v>
      </c>
      <c r="E68" s="41" t="s">
        <v>8</v>
      </c>
      <c r="F68" s="43" t="s">
        <v>28</v>
      </c>
      <c r="G68" s="37" t="s">
        <v>29</v>
      </c>
      <c r="H68" s="37" t="s">
        <v>8</v>
      </c>
      <c r="I68" s="37" t="s">
        <v>9</v>
      </c>
      <c r="J68" s="36">
        <v>100</v>
      </c>
      <c r="K68" s="27">
        <f>0</f>
        <v>0</v>
      </c>
      <c r="L68" s="127">
        <f t="shared" si="0"/>
        <v>0</v>
      </c>
      <c r="M68" s="127">
        <f t="shared" si="1"/>
        <v>0</v>
      </c>
      <c r="N68" s="128"/>
      <c r="O68" s="129">
        <f t="shared" si="2"/>
        <v>0</v>
      </c>
      <c r="P68" s="128"/>
      <c r="Q68" s="128"/>
      <c r="R68" s="128"/>
      <c r="S68" s="26">
        <f t="shared" si="3"/>
        <v>0</v>
      </c>
      <c r="T68" s="25" t="str">
        <f t="shared" si="5"/>
        <v>OK</v>
      </c>
      <c r="U68" s="22"/>
      <c r="V68" s="24"/>
      <c r="W68" s="24"/>
      <c r="X68" s="24"/>
      <c r="Y68" s="24"/>
      <c r="Z68" s="24"/>
      <c r="AA68" s="24"/>
      <c r="AB68" s="22"/>
      <c r="AC68" s="22"/>
      <c r="AD68" s="22"/>
      <c r="AE68" s="22"/>
      <c r="AF68" s="153"/>
      <c r="AG68" s="153"/>
      <c r="AH68" s="153"/>
      <c r="AI68" s="153"/>
      <c r="AJ68" s="153"/>
      <c r="AK68" s="153"/>
      <c r="AL68" s="153"/>
      <c r="AM68" s="153"/>
      <c r="AN68" s="153"/>
      <c r="AO68" s="153"/>
      <c r="AP68" s="153"/>
      <c r="AQ68" s="153"/>
    </row>
    <row r="69" spans="1:43" ht="30.25" customHeight="1" x14ac:dyDescent="0.35">
      <c r="A69" s="208" t="s">
        <v>164</v>
      </c>
      <c r="B69" s="44">
        <v>66</v>
      </c>
      <c r="C69" s="205" t="s">
        <v>92</v>
      </c>
      <c r="D69" s="46" t="s">
        <v>27</v>
      </c>
      <c r="E69" s="48" t="s">
        <v>8</v>
      </c>
      <c r="F69" s="50" t="s">
        <v>28</v>
      </c>
      <c r="G69" s="44" t="s">
        <v>29</v>
      </c>
      <c r="H69" s="44" t="s">
        <v>8</v>
      </c>
      <c r="I69" s="44" t="s">
        <v>9</v>
      </c>
      <c r="J69" s="47">
        <v>140</v>
      </c>
      <c r="K69" s="27">
        <f>0</f>
        <v>0</v>
      </c>
      <c r="L69" s="127">
        <f t="shared" ref="L69:L81" si="6">IF(SUM(U69:AQ69)&gt;K69+N69,K69+N69,SUM(U69:AQ69))</f>
        <v>0</v>
      </c>
      <c r="M69" s="127">
        <f t="shared" ref="M69:M81" si="7">(SUM(U69:AQ69))</f>
        <v>0</v>
      </c>
      <c r="N69" s="128"/>
      <c r="O69" s="129">
        <f t="shared" ref="O69:O81" si="8">ROUND(IF(K69*0.25-0.5&lt;0,0,K69*0.25-0.5),0)-R69-P69</f>
        <v>0</v>
      </c>
      <c r="P69" s="128"/>
      <c r="Q69" s="128"/>
      <c r="R69" s="128"/>
      <c r="S69" s="26">
        <f t="shared" ref="S69:S81" si="9">K69-SUM(U69:AQ69)+N69</f>
        <v>0</v>
      </c>
      <c r="T69" s="25" t="str">
        <f t="shared" si="5"/>
        <v>OK</v>
      </c>
      <c r="U69" s="22"/>
      <c r="V69" s="24"/>
      <c r="W69" s="24"/>
      <c r="X69" s="24"/>
      <c r="Y69" s="24"/>
      <c r="Z69" s="24"/>
      <c r="AA69" s="24"/>
      <c r="AB69" s="22"/>
      <c r="AC69" s="22"/>
      <c r="AD69" s="22"/>
      <c r="AE69" s="22"/>
      <c r="AF69" s="153"/>
      <c r="AG69" s="153"/>
      <c r="AH69" s="153"/>
      <c r="AI69" s="153"/>
      <c r="AJ69" s="153"/>
      <c r="AK69" s="153"/>
      <c r="AL69" s="153"/>
      <c r="AM69" s="153"/>
      <c r="AN69" s="153"/>
      <c r="AO69" s="153"/>
      <c r="AP69" s="153"/>
      <c r="AQ69" s="153"/>
    </row>
    <row r="70" spans="1:43" ht="30.25" customHeight="1" x14ac:dyDescent="0.35">
      <c r="A70" s="209"/>
      <c r="B70" s="44">
        <v>67</v>
      </c>
      <c r="C70" s="206"/>
      <c r="D70" s="46" t="s">
        <v>7</v>
      </c>
      <c r="E70" s="48" t="s">
        <v>8</v>
      </c>
      <c r="F70" s="50" t="s">
        <v>28</v>
      </c>
      <c r="G70" s="44" t="s">
        <v>29</v>
      </c>
      <c r="H70" s="44" t="s">
        <v>8</v>
      </c>
      <c r="I70" s="44" t="s">
        <v>9</v>
      </c>
      <c r="J70" s="47">
        <v>530</v>
      </c>
      <c r="K70" s="27">
        <f>0</f>
        <v>0</v>
      </c>
      <c r="L70" s="127">
        <f t="shared" si="6"/>
        <v>0</v>
      </c>
      <c r="M70" s="127">
        <f t="shared" si="7"/>
        <v>0</v>
      </c>
      <c r="N70" s="128"/>
      <c r="O70" s="129">
        <f t="shared" si="8"/>
        <v>0</v>
      </c>
      <c r="P70" s="128"/>
      <c r="Q70" s="128"/>
      <c r="R70" s="128"/>
      <c r="S70" s="26">
        <f t="shared" si="9"/>
        <v>0</v>
      </c>
      <c r="T70" s="25" t="str">
        <f t="shared" si="5"/>
        <v>OK</v>
      </c>
      <c r="U70" s="22"/>
      <c r="V70" s="24"/>
      <c r="W70" s="24"/>
      <c r="X70" s="24"/>
      <c r="Y70" s="24"/>
      <c r="Z70" s="24"/>
      <c r="AA70" s="24"/>
      <c r="AB70" s="22"/>
      <c r="AC70" s="22"/>
      <c r="AD70" s="22"/>
      <c r="AE70" s="22"/>
      <c r="AF70" s="153"/>
      <c r="AG70" s="153"/>
      <c r="AH70" s="153"/>
      <c r="AI70" s="153"/>
      <c r="AJ70" s="153"/>
      <c r="AK70" s="153"/>
      <c r="AL70" s="153"/>
      <c r="AM70" s="153"/>
      <c r="AN70" s="153"/>
      <c r="AO70" s="153"/>
      <c r="AP70" s="153"/>
      <c r="AQ70" s="153"/>
    </row>
    <row r="71" spans="1:43" ht="30.25" customHeight="1" x14ac:dyDescent="0.35">
      <c r="A71" s="209"/>
      <c r="B71" s="44">
        <v>68</v>
      </c>
      <c r="C71" s="206"/>
      <c r="D71" s="46" t="s">
        <v>10</v>
      </c>
      <c r="E71" s="48" t="s">
        <v>8</v>
      </c>
      <c r="F71" s="50" t="s">
        <v>28</v>
      </c>
      <c r="G71" s="44" t="s">
        <v>29</v>
      </c>
      <c r="H71" s="44" t="s">
        <v>8</v>
      </c>
      <c r="I71" s="44" t="s">
        <v>9</v>
      </c>
      <c r="J71" s="47">
        <v>660</v>
      </c>
      <c r="K71" s="27">
        <f>0</f>
        <v>0</v>
      </c>
      <c r="L71" s="127">
        <f t="shared" si="6"/>
        <v>0</v>
      </c>
      <c r="M71" s="127">
        <f t="shared" si="7"/>
        <v>0</v>
      </c>
      <c r="N71" s="128"/>
      <c r="O71" s="129">
        <f t="shared" si="8"/>
        <v>0</v>
      </c>
      <c r="P71" s="128"/>
      <c r="Q71" s="128"/>
      <c r="R71" s="128"/>
      <c r="S71" s="26">
        <f t="shared" si="9"/>
        <v>0</v>
      </c>
      <c r="T71" s="25" t="str">
        <f t="shared" si="5"/>
        <v>OK</v>
      </c>
      <c r="U71" s="22"/>
      <c r="V71" s="24"/>
      <c r="W71" s="24"/>
      <c r="X71" s="24"/>
      <c r="Y71" s="24"/>
      <c r="Z71" s="24"/>
      <c r="AA71" s="24"/>
      <c r="AB71" s="22"/>
      <c r="AC71" s="22"/>
      <c r="AD71" s="22"/>
      <c r="AE71" s="22"/>
      <c r="AF71" s="153"/>
      <c r="AG71" s="153"/>
      <c r="AH71" s="153"/>
      <c r="AI71" s="153"/>
      <c r="AJ71" s="153"/>
      <c r="AK71" s="153"/>
      <c r="AL71" s="153"/>
      <c r="AM71" s="153"/>
      <c r="AN71" s="153"/>
      <c r="AO71" s="153"/>
      <c r="AP71" s="153"/>
      <c r="AQ71" s="153"/>
    </row>
    <row r="72" spans="1:43" ht="30.25" customHeight="1" x14ac:dyDescent="0.35">
      <c r="A72" s="209"/>
      <c r="B72" s="44">
        <v>69</v>
      </c>
      <c r="C72" s="206"/>
      <c r="D72" s="46" t="s">
        <v>11</v>
      </c>
      <c r="E72" s="48" t="s">
        <v>8</v>
      </c>
      <c r="F72" s="50" t="s">
        <v>28</v>
      </c>
      <c r="G72" s="44" t="s">
        <v>29</v>
      </c>
      <c r="H72" s="44" t="s">
        <v>8</v>
      </c>
      <c r="I72" s="44" t="s">
        <v>9</v>
      </c>
      <c r="J72" s="47">
        <v>760</v>
      </c>
      <c r="K72" s="27">
        <f>0</f>
        <v>0</v>
      </c>
      <c r="L72" s="127">
        <f t="shared" si="6"/>
        <v>0</v>
      </c>
      <c r="M72" s="127">
        <f t="shared" si="7"/>
        <v>0</v>
      </c>
      <c r="N72" s="128"/>
      <c r="O72" s="129">
        <f t="shared" si="8"/>
        <v>0</v>
      </c>
      <c r="P72" s="128"/>
      <c r="Q72" s="128"/>
      <c r="R72" s="128"/>
      <c r="S72" s="26">
        <f t="shared" si="9"/>
        <v>0</v>
      </c>
      <c r="T72" s="25" t="str">
        <f t="shared" si="5"/>
        <v>OK</v>
      </c>
      <c r="U72" s="22"/>
      <c r="V72" s="24"/>
      <c r="W72" s="24"/>
      <c r="X72" s="24"/>
      <c r="Y72" s="24"/>
      <c r="Z72" s="24"/>
      <c r="AA72" s="24"/>
      <c r="AB72" s="22"/>
      <c r="AC72" s="22"/>
      <c r="AD72" s="22"/>
      <c r="AE72" s="22"/>
      <c r="AF72" s="153"/>
      <c r="AG72" s="153"/>
      <c r="AH72" s="153"/>
      <c r="AI72" s="153"/>
      <c r="AJ72" s="153"/>
      <c r="AK72" s="153"/>
      <c r="AL72" s="153"/>
      <c r="AM72" s="153"/>
      <c r="AN72" s="153"/>
      <c r="AO72" s="153"/>
      <c r="AP72" s="153"/>
      <c r="AQ72" s="153"/>
    </row>
    <row r="73" spans="1:43" ht="30.25" customHeight="1" x14ac:dyDescent="0.35">
      <c r="A73" s="209"/>
      <c r="B73" s="44">
        <v>70</v>
      </c>
      <c r="C73" s="206"/>
      <c r="D73" s="46" t="s">
        <v>12</v>
      </c>
      <c r="E73" s="48" t="s">
        <v>8</v>
      </c>
      <c r="F73" s="50" t="s">
        <v>28</v>
      </c>
      <c r="G73" s="44" t="s">
        <v>29</v>
      </c>
      <c r="H73" s="44" t="s">
        <v>34</v>
      </c>
      <c r="I73" s="44" t="s">
        <v>9</v>
      </c>
      <c r="J73" s="47">
        <v>70</v>
      </c>
      <c r="K73" s="27">
        <f>0</f>
        <v>0</v>
      </c>
      <c r="L73" s="127">
        <f t="shared" si="6"/>
        <v>0</v>
      </c>
      <c r="M73" s="127">
        <f t="shared" si="7"/>
        <v>0</v>
      </c>
      <c r="N73" s="128"/>
      <c r="O73" s="129">
        <f t="shared" si="8"/>
        <v>0</v>
      </c>
      <c r="P73" s="128"/>
      <c r="Q73" s="128"/>
      <c r="R73" s="128"/>
      <c r="S73" s="26">
        <f t="shared" si="9"/>
        <v>0</v>
      </c>
      <c r="T73" s="25" t="str">
        <f t="shared" si="5"/>
        <v>OK</v>
      </c>
      <c r="U73" s="22"/>
      <c r="V73" s="24"/>
      <c r="W73" s="24"/>
      <c r="X73" s="24"/>
      <c r="Y73" s="24"/>
      <c r="Z73" s="24"/>
      <c r="AA73" s="24"/>
      <c r="AB73" s="22"/>
      <c r="AC73" s="22"/>
      <c r="AD73" s="22"/>
      <c r="AE73" s="22"/>
      <c r="AF73" s="153"/>
      <c r="AG73" s="153"/>
      <c r="AH73" s="153"/>
      <c r="AI73" s="153"/>
      <c r="AJ73" s="153"/>
      <c r="AK73" s="153"/>
      <c r="AL73" s="153"/>
      <c r="AM73" s="153"/>
      <c r="AN73" s="153"/>
      <c r="AO73" s="153"/>
      <c r="AP73" s="153"/>
      <c r="AQ73" s="153"/>
    </row>
    <row r="74" spans="1:43" ht="30.25" customHeight="1" x14ac:dyDescent="0.35">
      <c r="A74" s="209"/>
      <c r="B74" s="44">
        <v>71</v>
      </c>
      <c r="C74" s="206"/>
      <c r="D74" s="46" t="s">
        <v>156</v>
      </c>
      <c r="E74" s="48" t="s">
        <v>8</v>
      </c>
      <c r="F74" s="50" t="s">
        <v>28</v>
      </c>
      <c r="G74" s="44" t="s">
        <v>29</v>
      </c>
      <c r="H74" s="44" t="s">
        <v>34</v>
      </c>
      <c r="I74" s="44" t="s">
        <v>9</v>
      </c>
      <c r="J74" s="47">
        <v>75</v>
      </c>
      <c r="K74" s="27">
        <f>0</f>
        <v>0</v>
      </c>
      <c r="L74" s="127">
        <f t="shared" si="6"/>
        <v>0</v>
      </c>
      <c r="M74" s="127">
        <f t="shared" si="7"/>
        <v>0</v>
      </c>
      <c r="N74" s="128"/>
      <c r="O74" s="129">
        <f t="shared" si="8"/>
        <v>0</v>
      </c>
      <c r="P74" s="128"/>
      <c r="Q74" s="128"/>
      <c r="R74" s="128"/>
      <c r="S74" s="26">
        <f t="shared" si="9"/>
        <v>0</v>
      </c>
      <c r="T74" s="25" t="str">
        <f t="shared" si="5"/>
        <v>OK</v>
      </c>
      <c r="U74" s="22"/>
      <c r="V74" s="24"/>
      <c r="W74" s="24"/>
      <c r="X74" s="24"/>
      <c r="Y74" s="24"/>
      <c r="Z74" s="24"/>
      <c r="AA74" s="24"/>
      <c r="AB74" s="22"/>
      <c r="AC74" s="22"/>
      <c r="AD74" s="22"/>
      <c r="AE74" s="22"/>
      <c r="AF74" s="153"/>
      <c r="AG74" s="153"/>
      <c r="AH74" s="153"/>
      <c r="AI74" s="153"/>
      <c r="AJ74" s="153"/>
      <c r="AK74" s="153"/>
      <c r="AL74" s="153"/>
      <c r="AM74" s="153"/>
      <c r="AN74" s="153"/>
      <c r="AO74" s="153"/>
      <c r="AP74" s="153"/>
      <c r="AQ74" s="153"/>
    </row>
    <row r="75" spans="1:43" ht="30.25" customHeight="1" x14ac:dyDescent="0.35">
      <c r="A75" s="209"/>
      <c r="B75" s="44">
        <v>72</v>
      </c>
      <c r="C75" s="206"/>
      <c r="D75" s="46" t="s">
        <v>13</v>
      </c>
      <c r="E75" s="48" t="s">
        <v>8</v>
      </c>
      <c r="F75" s="50" t="s">
        <v>28</v>
      </c>
      <c r="G75" s="44" t="s">
        <v>29</v>
      </c>
      <c r="H75" s="44" t="s">
        <v>34</v>
      </c>
      <c r="I75" s="44" t="s">
        <v>9</v>
      </c>
      <c r="J75" s="47">
        <v>80</v>
      </c>
      <c r="K75" s="27">
        <f>0</f>
        <v>0</v>
      </c>
      <c r="L75" s="127">
        <f t="shared" si="6"/>
        <v>0</v>
      </c>
      <c r="M75" s="127">
        <f t="shared" si="7"/>
        <v>0</v>
      </c>
      <c r="N75" s="128"/>
      <c r="O75" s="129">
        <f t="shared" si="8"/>
        <v>0</v>
      </c>
      <c r="P75" s="128"/>
      <c r="Q75" s="128"/>
      <c r="R75" s="128"/>
      <c r="S75" s="26">
        <f t="shared" si="9"/>
        <v>0</v>
      </c>
      <c r="T75" s="25" t="str">
        <f t="shared" si="5"/>
        <v>OK</v>
      </c>
      <c r="U75" s="22"/>
      <c r="V75" s="24"/>
      <c r="W75" s="24"/>
      <c r="X75" s="24"/>
      <c r="Y75" s="24"/>
      <c r="Z75" s="24"/>
      <c r="AA75" s="24"/>
      <c r="AB75" s="22"/>
      <c r="AC75" s="22"/>
      <c r="AD75" s="22"/>
      <c r="AE75" s="22"/>
      <c r="AF75" s="153"/>
      <c r="AG75" s="153"/>
      <c r="AH75" s="153"/>
      <c r="AI75" s="153"/>
      <c r="AJ75" s="153"/>
      <c r="AK75" s="153"/>
      <c r="AL75" s="153"/>
      <c r="AM75" s="153"/>
      <c r="AN75" s="153"/>
      <c r="AO75" s="153"/>
      <c r="AP75" s="153"/>
      <c r="AQ75" s="153"/>
    </row>
    <row r="76" spans="1:43" ht="30.25" customHeight="1" x14ac:dyDescent="0.35">
      <c r="A76" s="209"/>
      <c r="B76" s="44">
        <v>73</v>
      </c>
      <c r="C76" s="206"/>
      <c r="D76" s="46" t="s">
        <v>157</v>
      </c>
      <c r="E76" s="48" t="s">
        <v>8</v>
      </c>
      <c r="F76" s="50" t="s">
        <v>28</v>
      </c>
      <c r="G76" s="44" t="s">
        <v>29</v>
      </c>
      <c r="H76" s="44" t="s">
        <v>8</v>
      </c>
      <c r="I76" s="44" t="s">
        <v>9</v>
      </c>
      <c r="J76" s="47">
        <v>150</v>
      </c>
      <c r="K76" s="27">
        <f>0</f>
        <v>0</v>
      </c>
      <c r="L76" s="127">
        <f t="shared" si="6"/>
        <v>0</v>
      </c>
      <c r="M76" s="127">
        <f t="shared" si="7"/>
        <v>0</v>
      </c>
      <c r="N76" s="128"/>
      <c r="O76" s="129">
        <f t="shared" si="8"/>
        <v>0</v>
      </c>
      <c r="P76" s="128"/>
      <c r="Q76" s="128"/>
      <c r="R76" s="128"/>
      <c r="S76" s="26">
        <f t="shared" si="9"/>
        <v>0</v>
      </c>
      <c r="T76" s="25" t="str">
        <f t="shared" si="5"/>
        <v>OK</v>
      </c>
      <c r="U76" s="22"/>
      <c r="V76" s="24"/>
      <c r="W76" s="24"/>
      <c r="X76" s="24"/>
      <c r="Y76" s="24"/>
      <c r="Z76" s="24"/>
      <c r="AA76" s="24"/>
      <c r="AB76" s="22"/>
      <c r="AC76" s="22"/>
      <c r="AD76" s="22"/>
      <c r="AE76" s="22"/>
      <c r="AF76" s="153"/>
      <c r="AG76" s="153"/>
      <c r="AH76" s="153"/>
      <c r="AI76" s="153"/>
      <c r="AJ76" s="153"/>
      <c r="AK76" s="153"/>
      <c r="AL76" s="153"/>
      <c r="AM76" s="153"/>
      <c r="AN76" s="153"/>
      <c r="AO76" s="153"/>
      <c r="AP76" s="153"/>
      <c r="AQ76" s="153"/>
    </row>
    <row r="77" spans="1:43" ht="30.25" customHeight="1" x14ac:dyDescent="0.35">
      <c r="A77" s="209"/>
      <c r="B77" s="44">
        <v>74</v>
      </c>
      <c r="C77" s="206"/>
      <c r="D77" s="46" t="s">
        <v>30</v>
      </c>
      <c r="E77" s="48" t="s">
        <v>8</v>
      </c>
      <c r="F77" s="50" t="s">
        <v>28</v>
      </c>
      <c r="G77" s="44" t="s">
        <v>29</v>
      </c>
      <c r="H77" s="44" t="s">
        <v>8</v>
      </c>
      <c r="I77" s="44" t="s">
        <v>9</v>
      </c>
      <c r="J77" s="47">
        <v>150</v>
      </c>
      <c r="K77" s="27">
        <f>0</f>
        <v>0</v>
      </c>
      <c r="L77" s="127">
        <f t="shared" si="6"/>
        <v>0</v>
      </c>
      <c r="M77" s="127">
        <f t="shared" si="7"/>
        <v>0</v>
      </c>
      <c r="N77" s="128"/>
      <c r="O77" s="129">
        <f t="shared" si="8"/>
        <v>0</v>
      </c>
      <c r="P77" s="128"/>
      <c r="Q77" s="128"/>
      <c r="R77" s="128"/>
      <c r="S77" s="26">
        <f t="shared" si="9"/>
        <v>0</v>
      </c>
      <c r="T77" s="25" t="str">
        <f t="shared" si="5"/>
        <v>OK</v>
      </c>
      <c r="U77" s="22"/>
      <c r="V77" s="24"/>
      <c r="W77" s="24"/>
      <c r="X77" s="24"/>
      <c r="Y77" s="24"/>
      <c r="Z77" s="24"/>
      <c r="AA77" s="24"/>
      <c r="AB77" s="22"/>
      <c r="AC77" s="22"/>
      <c r="AD77" s="22"/>
      <c r="AE77" s="22"/>
      <c r="AF77" s="153"/>
      <c r="AG77" s="153"/>
      <c r="AH77" s="153"/>
      <c r="AI77" s="153"/>
      <c r="AJ77" s="153"/>
      <c r="AK77" s="153"/>
      <c r="AL77" s="153"/>
      <c r="AM77" s="153"/>
      <c r="AN77" s="153"/>
      <c r="AO77" s="153"/>
      <c r="AP77" s="153"/>
      <c r="AQ77" s="153"/>
    </row>
    <row r="78" spans="1:43" ht="30.25" customHeight="1" x14ac:dyDescent="0.35">
      <c r="A78" s="210"/>
      <c r="B78" s="44">
        <v>75</v>
      </c>
      <c r="C78" s="207"/>
      <c r="D78" s="46" t="s">
        <v>165</v>
      </c>
      <c r="E78" s="48" t="s">
        <v>8</v>
      </c>
      <c r="F78" s="50" t="s">
        <v>28</v>
      </c>
      <c r="G78" s="44" t="s">
        <v>29</v>
      </c>
      <c r="H78" s="44" t="s">
        <v>8</v>
      </c>
      <c r="I78" s="44" t="s">
        <v>9</v>
      </c>
      <c r="J78" s="47">
        <v>300</v>
      </c>
      <c r="K78" s="27">
        <f>0</f>
        <v>0</v>
      </c>
      <c r="L78" s="127">
        <f t="shared" si="6"/>
        <v>0</v>
      </c>
      <c r="M78" s="127">
        <f t="shared" si="7"/>
        <v>0</v>
      </c>
      <c r="N78" s="128"/>
      <c r="O78" s="129">
        <f t="shared" si="8"/>
        <v>0</v>
      </c>
      <c r="P78" s="128"/>
      <c r="Q78" s="128"/>
      <c r="R78" s="128"/>
      <c r="S78" s="26">
        <f t="shared" si="9"/>
        <v>0</v>
      </c>
      <c r="T78" s="25" t="str">
        <f t="shared" si="5"/>
        <v>OK</v>
      </c>
      <c r="U78" s="22"/>
      <c r="V78" s="24"/>
      <c r="W78" s="24"/>
      <c r="X78" s="24"/>
      <c r="Y78" s="24"/>
      <c r="Z78" s="24"/>
      <c r="AA78" s="24"/>
      <c r="AB78" s="22"/>
      <c r="AC78" s="22"/>
      <c r="AD78" s="22"/>
      <c r="AE78" s="22"/>
      <c r="AF78" s="153"/>
      <c r="AG78" s="153"/>
      <c r="AH78" s="153"/>
      <c r="AI78" s="153"/>
      <c r="AJ78" s="153"/>
      <c r="AK78" s="153"/>
      <c r="AL78" s="153"/>
      <c r="AM78" s="153"/>
      <c r="AN78" s="153"/>
      <c r="AO78" s="153"/>
      <c r="AP78" s="153"/>
      <c r="AQ78" s="153"/>
    </row>
    <row r="79" spans="1:43" ht="30.25" customHeight="1" x14ac:dyDescent="0.35">
      <c r="A79" s="198" t="s">
        <v>166</v>
      </c>
      <c r="B79" s="37">
        <v>76</v>
      </c>
      <c r="C79" s="195" t="s">
        <v>33</v>
      </c>
      <c r="D79" s="34" t="s">
        <v>7</v>
      </c>
      <c r="E79" s="41" t="s">
        <v>8</v>
      </c>
      <c r="F79" s="43" t="s">
        <v>28</v>
      </c>
      <c r="G79" s="37" t="s">
        <v>29</v>
      </c>
      <c r="H79" s="37" t="s">
        <v>8</v>
      </c>
      <c r="I79" s="37" t="s">
        <v>9</v>
      </c>
      <c r="J79" s="36">
        <v>1001</v>
      </c>
      <c r="K79" s="27">
        <f>0</f>
        <v>0</v>
      </c>
      <c r="L79" s="127">
        <f t="shared" si="6"/>
        <v>0</v>
      </c>
      <c r="M79" s="127">
        <f t="shared" si="7"/>
        <v>0</v>
      </c>
      <c r="N79" s="128"/>
      <c r="O79" s="129">
        <f t="shared" si="8"/>
        <v>0</v>
      </c>
      <c r="P79" s="128"/>
      <c r="Q79" s="128"/>
      <c r="R79" s="128"/>
      <c r="S79" s="26">
        <f t="shared" si="9"/>
        <v>0</v>
      </c>
      <c r="T79" s="25" t="str">
        <f t="shared" si="5"/>
        <v>OK</v>
      </c>
      <c r="U79" s="22"/>
      <c r="V79" s="24"/>
      <c r="W79" s="24"/>
      <c r="X79" s="24"/>
      <c r="Y79" s="24"/>
      <c r="Z79" s="24"/>
      <c r="AA79" s="24"/>
      <c r="AB79" s="22"/>
      <c r="AC79" s="22"/>
      <c r="AD79" s="22"/>
      <c r="AE79" s="22"/>
      <c r="AF79" s="153"/>
      <c r="AG79" s="153"/>
      <c r="AH79" s="153"/>
      <c r="AI79" s="153"/>
      <c r="AJ79" s="153"/>
      <c r="AK79" s="153"/>
      <c r="AL79" s="153"/>
      <c r="AM79" s="153"/>
      <c r="AN79" s="153"/>
      <c r="AO79" s="153"/>
      <c r="AP79" s="153"/>
      <c r="AQ79" s="153"/>
    </row>
    <row r="80" spans="1:43" ht="30.25" customHeight="1" x14ac:dyDescent="0.35">
      <c r="A80" s="199"/>
      <c r="B80" s="37">
        <v>77</v>
      </c>
      <c r="C80" s="196"/>
      <c r="D80" s="34" t="s">
        <v>12</v>
      </c>
      <c r="E80" s="41" t="s">
        <v>8</v>
      </c>
      <c r="F80" s="43" t="s">
        <v>28</v>
      </c>
      <c r="G80" s="37" t="s">
        <v>29</v>
      </c>
      <c r="H80" s="37" t="s">
        <v>34</v>
      </c>
      <c r="I80" s="37" t="s">
        <v>9</v>
      </c>
      <c r="J80" s="36">
        <v>130</v>
      </c>
      <c r="K80" s="27">
        <f>0</f>
        <v>0</v>
      </c>
      <c r="L80" s="127">
        <f t="shared" si="6"/>
        <v>0</v>
      </c>
      <c r="M80" s="127">
        <f t="shared" si="7"/>
        <v>0</v>
      </c>
      <c r="N80" s="128"/>
      <c r="O80" s="129">
        <f t="shared" si="8"/>
        <v>0</v>
      </c>
      <c r="P80" s="128"/>
      <c r="Q80" s="128"/>
      <c r="R80" s="128"/>
      <c r="S80" s="26">
        <f t="shared" si="9"/>
        <v>0</v>
      </c>
      <c r="T80" s="25" t="str">
        <f t="shared" si="5"/>
        <v>OK</v>
      </c>
      <c r="U80" s="22"/>
      <c r="V80" s="24"/>
      <c r="W80" s="24"/>
      <c r="X80" s="24"/>
      <c r="Y80" s="24"/>
      <c r="Z80" s="24"/>
      <c r="AA80" s="24"/>
      <c r="AB80" s="22"/>
      <c r="AC80" s="22"/>
      <c r="AD80" s="22"/>
      <c r="AE80" s="22"/>
      <c r="AF80" s="153"/>
      <c r="AG80" s="153"/>
      <c r="AH80" s="153"/>
      <c r="AI80" s="153"/>
      <c r="AJ80" s="153"/>
      <c r="AK80" s="153"/>
      <c r="AL80" s="153"/>
      <c r="AM80" s="153"/>
      <c r="AN80" s="153"/>
      <c r="AO80" s="153"/>
      <c r="AP80" s="153"/>
      <c r="AQ80" s="153"/>
    </row>
    <row r="81" spans="1:43" ht="30.25" customHeight="1" x14ac:dyDescent="0.35">
      <c r="A81" s="200"/>
      <c r="B81" s="37">
        <v>78</v>
      </c>
      <c r="C81" s="197"/>
      <c r="D81" s="34" t="s">
        <v>157</v>
      </c>
      <c r="E81" s="41" t="s">
        <v>8</v>
      </c>
      <c r="F81" s="43" t="s">
        <v>28</v>
      </c>
      <c r="G81" s="37" t="s">
        <v>29</v>
      </c>
      <c r="H81" s="37" t="s">
        <v>8</v>
      </c>
      <c r="I81" s="37" t="s">
        <v>9</v>
      </c>
      <c r="J81" s="36">
        <v>200</v>
      </c>
      <c r="K81" s="27">
        <f>0</f>
        <v>0</v>
      </c>
      <c r="L81" s="127">
        <f t="shared" si="6"/>
        <v>0</v>
      </c>
      <c r="M81" s="127">
        <f t="shared" si="7"/>
        <v>0</v>
      </c>
      <c r="N81" s="128"/>
      <c r="O81" s="129">
        <f t="shared" si="8"/>
        <v>0</v>
      </c>
      <c r="P81" s="128"/>
      <c r="Q81" s="128"/>
      <c r="R81" s="128"/>
      <c r="S81" s="26">
        <f t="shared" si="9"/>
        <v>0</v>
      </c>
      <c r="T81" s="25" t="str">
        <f t="shared" si="5"/>
        <v>OK</v>
      </c>
      <c r="U81" s="22"/>
      <c r="V81" s="24"/>
      <c r="W81" s="24"/>
      <c r="X81" s="24"/>
      <c r="Y81" s="24"/>
      <c r="Z81" s="24"/>
      <c r="AA81" s="24"/>
      <c r="AB81" s="22"/>
      <c r="AC81" s="22"/>
      <c r="AD81" s="22"/>
      <c r="AE81" s="22"/>
      <c r="AF81" s="153"/>
      <c r="AG81" s="153"/>
      <c r="AH81" s="153"/>
      <c r="AI81" s="153"/>
      <c r="AJ81" s="153"/>
      <c r="AK81" s="153"/>
      <c r="AL81" s="153"/>
      <c r="AM81" s="153"/>
      <c r="AN81" s="153"/>
      <c r="AO81" s="153"/>
      <c r="AP81" s="153"/>
      <c r="AQ81" s="153"/>
    </row>
    <row r="82" spans="1:43" ht="15" thickBot="1" x14ac:dyDescent="0.4">
      <c r="K82" s="4">
        <f>SUM(K4:K81)</f>
        <v>1579</v>
      </c>
      <c r="N82" s="132"/>
      <c r="O82" s="132"/>
      <c r="P82" s="132"/>
      <c r="Q82" s="132"/>
      <c r="R82" s="132"/>
      <c r="S82" s="12">
        <f>SUM(S4:S81)</f>
        <v>1159</v>
      </c>
      <c r="U82" s="30">
        <f t="shared" ref="U82:AM82" si="10">SUMPRODUCT($J$4:$J$81,U4:U81)</f>
        <v>11764.7</v>
      </c>
      <c r="V82" s="30">
        <f t="shared" si="10"/>
        <v>24390</v>
      </c>
      <c r="W82" s="30">
        <f t="shared" si="10"/>
        <v>6890.12</v>
      </c>
      <c r="X82" s="30">
        <f t="shared" si="10"/>
        <v>17058</v>
      </c>
      <c r="Y82" s="30">
        <f t="shared" si="10"/>
        <v>4540.34</v>
      </c>
      <c r="Z82" s="30">
        <f t="shared" si="10"/>
        <v>5626</v>
      </c>
      <c r="AA82" s="30">
        <f t="shared" si="10"/>
        <v>8608</v>
      </c>
      <c r="AB82" s="30">
        <f t="shared" si="10"/>
        <v>2852</v>
      </c>
      <c r="AC82" s="30">
        <f t="shared" si="10"/>
        <v>6600</v>
      </c>
      <c r="AD82" s="30">
        <f t="shared" si="10"/>
        <v>1950</v>
      </c>
      <c r="AE82" s="30">
        <f t="shared" si="10"/>
        <v>5500</v>
      </c>
      <c r="AF82" s="30">
        <f t="shared" si="10"/>
        <v>3575</v>
      </c>
      <c r="AG82" s="30">
        <f t="shared" si="10"/>
        <v>1950</v>
      </c>
      <c r="AH82" s="30">
        <f t="shared" si="10"/>
        <v>400.25</v>
      </c>
      <c r="AI82" s="30">
        <f t="shared" si="10"/>
        <v>6600</v>
      </c>
      <c r="AJ82" s="30">
        <f t="shared" si="10"/>
        <v>17216</v>
      </c>
      <c r="AK82" s="30">
        <f t="shared" si="10"/>
        <v>9483.5</v>
      </c>
      <c r="AL82" s="30">
        <f t="shared" si="10"/>
        <v>6606.68</v>
      </c>
      <c r="AM82" s="30">
        <f t="shared" si="10"/>
        <v>0</v>
      </c>
      <c r="AN82" s="30">
        <f t="shared" ref="AN82:AQ82" si="11">SUMPRODUCT($J$4:$J$81,AN4:AN81)</f>
        <v>0</v>
      </c>
      <c r="AO82" s="30">
        <f t="shared" si="11"/>
        <v>0</v>
      </c>
      <c r="AP82" s="30">
        <f t="shared" si="11"/>
        <v>0</v>
      </c>
      <c r="AQ82" s="30">
        <f t="shared" si="11"/>
        <v>0</v>
      </c>
    </row>
    <row r="83" spans="1:43" ht="14.5" x14ac:dyDescent="0.35">
      <c r="D83" s="31" t="s">
        <v>53</v>
      </c>
      <c r="K83" s="132">
        <f>SUMPRODUCT($J$4:$J$81,K4:K81)</f>
        <v>362270.93999999994</v>
      </c>
      <c r="L83" s="132">
        <f>SUMPRODUCT($J$4:$J$81,L4:L81)</f>
        <v>141610.59</v>
      </c>
      <c r="M83" s="132">
        <f>SUMPRODUCT($J$4:$J$81,M4:M81)</f>
        <v>141610.59</v>
      </c>
      <c r="R83" s="126"/>
      <c r="V83" s="108"/>
      <c r="W83" s="108"/>
      <c r="X83" s="108"/>
    </row>
    <row r="84" spans="1:43" ht="29" x14ac:dyDescent="0.35">
      <c r="D84" s="32" t="s">
        <v>54</v>
      </c>
      <c r="R84" s="125"/>
      <c r="V84" s="108"/>
      <c r="W84" s="108"/>
      <c r="X84" s="108"/>
    </row>
    <row r="85" spans="1:43" ht="29.5" thickBot="1" x14ac:dyDescent="0.4">
      <c r="D85" s="33" t="s">
        <v>55</v>
      </c>
      <c r="R85" s="125"/>
      <c r="V85" s="108"/>
      <c r="W85" s="108"/>
      <c r="X85" s="108"/>
    </row>
    <row r="86" spans="1:43" ht="14.5" x14ac:dyDescent="0.35"/>
    <row r="87" spans="1:43" ht="14.5" x14ac:dyDescent="0.35"/>
    <row r="88" spans="1:43" ht="14.5" x14ac:dyDescent="0.35">
      <c r="V88" s="72"/>
      <c r="AF88" s="154"/>
    </row>
    <row r="89" spans="1:43" ht="14.5" x14ac:dyDescent="0.35">
      <c r="V89" s="72"/>
      <c r="AF89" s="154"/>
    </row>
    <row r="90" spans="1:43" ht="14.5" x14ac:dyDescent="0.35">
      <c r="V90" s="72"/>
    </row>
    <row r="91" spans="1:43" ht="14.5" x14ac:dyDescent="0.35"/>
    <row r="92" spans="1:43" ht="14.5" x14ac:dyDescent="0.35"/>
  </sheetData>
  <autoFilter ref="A3:AM85" xr:uid="{00000000-0001-0000-0000-000000000000}"/>
  <customSheetViews>
    <customSheetView guid="{621D8238-5429-498F-AC6E-560DC77BBC2F}" scale="70" topLeftCell="D1">
      <selection activeCell="L22" sqref="L22"/>
      <colBreaks count="1" manualBreakCount="1">
        <brk id="17" max="1048575" man="1"/>
      </colBreaks>
      <pageMargins left="0.511811024" right="0.511811024" top="0.78740157499999996" bottom="0.78740157499999996" header="0.31496062000000002" footer="0.31496062000000002"/>
      <pageSetup paperSize="9" scale="60" orientation="landscape" r:id="rId1"/>
    </customSheetView>
    <customSheetView guid="{4F310B60-E7C4-463C-82E5-32855552E117}" scale="106" topLeftCell="E11">
      <selection activeCell="K12" sqref="K12"/>
      <colBreaks count="1" manualBreakCount="1">
        <brk id="17" max="1048575" man="1"/>
      </colBreaks>
      <pageMargins left="0.511811024" right="0.511811024" top="0.78740157499999996" bottom="0.78740157499999996" header="0.31496062000000002" footer="0.31496062000000002"/>
      <pageSetup paperSize="9" scale="60" orientation="landscape" r:id="rId2"/>
    </customSheetView>
    <customSheetView guid="{29377F80-2479-4EEE-B758-5B51FB237957}" scale="96" topLeftCell="A19">
      <selection activeCell="K27" sqref="K27"/>
      <colBreaks count="1" manualBreakCount="1">
        <brk id="17" max="1048575" man="1"/>
      </colBreaks>
      <pageMargins left="0.511811024" right="0.511811024" top="0.78740157499999996" bottom="0.78740157499999996" header="0.31496062000000002" footer="0.31496062000000002"/>
      <pageSetup paperSize="9" scale="60" orientation="landscape" r:id="rId3"/>
    </customSheetView>
    <customSheetView guid="{B9C3DAFA-017A-49F7-AED8-93B14E732368}" scale="96" topLeftCell="A34">
      <selection activeCell="G40" sqref="G40"/>
      <colBreaks count="1" manualBreakCount="1">
        <brk id="17" max="1048575" man="1"/>
      </colBreaks>
      <pageMargins left="0.511811024" right="0.511811024" top="0.78740157499999996" bottom="0.78740157499999996" header="0.31496062000000002" footer="0.31496062000000002"/>
      <pageSetup paperSize="9" scale="60" orientation="landscape" r:id="rId4"/>
    </customSheetView>
  </customSheetViews>
  <mergeCells count="38">
    <mergeCell ref="AN1:AN2"/>
    <mergeCell ref="AO1:AO2"/>
    <mergeCell ref="AP1:AP2"/>
    <mergeCell ref="AQ1:AQ2"/>
    <mergeCell ref="C79:C81"/>
    <mergeCell ref="AA1:AA2"/>
    <mergeCell ref="AB1:AB2"/>
    <mergeCell ref="U1:U2"/>
    <mergeCell ref="V1:V2"/>
    <mergeCell ref="X1:X2"/>
    <mergeCell ref="Y1:Y2"/>
    <mergeCell ref="Z1:Z2"/>
    <mergeCell ref="W1:W2"/>
    <mergeCell ref="D1:J1"/>
    <mergeCell ref="A2:J2"/>
    <mergeCell ref="K2:T2"/>
    <mergeCell ref="A79:A81"/>
    <mergeCell ref="C49:C59"/>
    <mergeCell ref="A49:A59"/>
    <mergeCell ref="C60:C68"/>
    <mergeCell ref="A60:A68"/>
    <mergeCell ref="C69:C78"/>
    <mergeCell ref="A69:A78"/>
    <mergeCell ref="C38:C48"/>
    <mergeCell ref="A38:A48"/>
    <mergeCell ref="K1:T1"/>
    <mergeCell ref="A1:C1"/>
    <mergeCell ref="AC1:AC2"/>
    <mergeCell ref="AM1:AM2"/>
    <mergeCell ref="AD1:AD2"/>
    <mergeCell ref="AE1:AE2"/>
    <mergeCell ref="AF1:AF2"/>
    <mergeCell ref="AG1:AG2"/>
    <mergeCell ref="AH1:AH2"/>
    <mergeCell ref="AI1:AI2"/>
    <mergeCell ref="AJ1:AJ2"/>
    <mergeCell ref="AK1:AK2"/>
    <mergeCell ref="AL1:AL2"/>
  </mergeCells>
  <conditionalFormatting sqref="T1 T3:T1048576">
    <cfRule type="cellIs" dxfId="50" priority="5" operator="equal">
      <formula>"ATENÇÃO"</formula>
    </cfRule>
  </conditionalFormatting>
  <conditionalFormatting sqref="U4:AQ81">
    <cfRule type="cellIs" dxfId="49" priority="1" operator="greaterThan">
      <formula>0</formula>
    </cfRule>
  </conditionalFormatting>
  <pageMargins left="0.511811024" right="0.511811024" top="0.78740157499999996" bottom="0.78740157499999996" header="0.31496062000000002" footer="0.31496062000000002"/>
  <pageSetup paperSize="9" scale="60" orientation="landscape" r:id="rId5"/>
  <colBreaks count="1" manualBreakCount="1">
    <brk id="24" max="1048575" man="1"/>
  </colBreaks>
  <legacy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24EB7-F374-43C0-B198-B2F5393C81A6}">
  <dimension ref="A1:AH92"/>
  <sheetViews>
    <sheetView topLeftCell="A34" zoomScale="80" zoomScaleNormal="80" workbookViewId="0">
      <selection activeCell="B45" sqref="A45:XFD45"/>
    </sheetView>
  </sheetViews>
  <sheetFormatPr defaultColWidth="9.7265625" defaultRowHeight="30.25" customHeight="1" x14ac:dyDescent="0.35"/>
  <cols>
    <col min="1" max="1" width="6.1796875" style="1" customWidth="1"/>
    <col min="2" max="2" width="6.453125" style="1" customWidth="1"/>
    <col min="3" max="3" width="13.453125" style="1" customWidth="1"/>
    <col min="4" max="4" width="10.7265625" style="3" customWidth="1"/>
    <col min="5" max="5" width="12.453125" style="1" customWidth="1"/>
    <col min="6" max="6" width="8.54296875" style="1" customWidth="1"/>
    <col min="7" max="7" width="8.453125" style="1" customWidth="1"/>
    <col min="8" max="8" width="8.26953125" style="1" customWidth="1"/>
    <col min="9" max="9" width="12.7265625" style="1" customWidth="1"/>
    <col min="10" max="10" width="13.26953125" style="3" customWidth="1"/>
    <col min="11" max="11" width="12.7265625" style="4" bestFit="1" customWidth="1"/>
    <col min="12" max="12" width="17.1796875" style="4" bestFit="1" customWidth="1"/>
    <col min="13" max="13" width="15.81640625" style="4" bestFit="1" customWidth="1"/>
    <col min="14" max="14" width="12.453125" style="4" customWidth="1"/>
    <col min="15" max="15" width="18.1796875" style="4" customWidth="1"/>
    <col min="16" max="17" width="12.453125" style="4" customWidth="1"/>
    <col min="18" max="18" width="16.453125" style="4" bestFit="1" customWidth="1"/>
    <col min="19" max="19" width="13.26953125" style="12" customWidth="1"/>
    <col min="20" max="20" width="12.453125" style="5" customWidth="1"/>
    <col min="21" max="21" width="13.453125" style="6" customWidth="1"/>
    <col min="22" max="22" width="13" style="6" customWidth="1"/>
    <col min="23" max="23" width="13.453125" style="6" customWidth="1"/>
    <col min="24" max="25" width="14.1796875" style="6" customWidth="1"/>
    <col min="26" max="26" width="12.453125" style="6" customWidth="1"/>
    <col min="27" max="27" width="13.26953125" style="6" customWidth="1"/>
    <col min="28" max="28" width="12.7265625" style="6" customWidth="1"/>
    <col min="29" max="29" width="12" style="6" customWidth="1"/>
    <col min="30" max="30" width="12.7265625" style="6" customWidth="1"/>
    <col min="31" max="31" width="13.81640625" style="6" customWidth="1"/>
    <col min="32" max="32" width="13.453125" style="6" customWidth="1"/>
    <col min="33" max="33" width="12.453125" style="2" customWidth="1"/>
    <col min="34" max="34" width="13.7265625" style="2" customWidth="1"/>
    <col min="35" max="16384" width="9.7265625" style="2"/>
  </cols>
  <sheetData>
    <row r="1" spans="1:34" ht="40.15" customHeight="1" x14ac:dyDescent="0.35">
      <c r="A1" s="202" t="s">
        <v>52</v>
      </c>
      <c r="B1" s="203"/>
      <c r="C1" s="204"/>
      <c r="D1" s="211" t="s">
        <v>48</v>
      </c>
      <c r="E1" s="212"/>
      <c r="F1" s="212"/>
      <c r="G1" s="212"/>
      <c r="H1" s="212"/>
      <c r="I1" s="212"/>
      <c r="J1" s="213"/>
      <c r="K1" s="201" t="s">
        <v>49</v>
      </c>
      <c r="L1" s="201"/>
      <c r="M1" s="201"/>
      <c r="N1" s="201"/>
      <c r="O1" s="201"/>
      <c r="P1" s="201"/>
      <c r="Q1" s="201"/>
      <c r="R1" s="201"/>
      <c r="S1" s="201"/>
      <c r="T1" s="201"/>
      <c r="U1" s="217" t="s">
        <v>51</v>
      </c>
      <c r="V1" s="217" t="s">
        <v>51</v>
      </c>
      <c r="W1" s="217" t="s">
        <v>51</v>
      </c>
      <c r="X1" s="217" t="s">
        <v>51</v>
      </c>
      <c r="Y1" s="217" t="s">
        <v>51</v>
      </c>
      <c r="Z1" s="217" t="s">
        <v>51</v>
      </c>
      <c r="AA1" s="217" t="s">
        <v>51</v>
      </c>
      <c r="AB1" s="217" t="s">
        <v>51</v>
      </c>
      <c r="AC1" s="217" t="s">
        <v>51</v>
      </c>
      <c r="AD1" s="217" t="s">
        <v>51</v>
      </c>
      <c r="AE1" s="217" t="s">
        <v>51</v>
      </c>
      <c r="AF1" s="217" t="s">
        <v>51</v>
      </c>
      <c r="AG1" s="217" t="s">
        <v>51</v>
      </c>
      <c r="AH1" s="217" t="s">
        <v>51</v>
      </c>
    </row>
    <row r="2" spans="1:34" ht="25" customHeight="1" x14ac:dyDescent="0.35">
      <c r="A2" s="211" t="s">
        <v>42</v>
      </c>
      <c r="B2" s="212"/>
      <c r="C2" s="212"/>
      <c r="D2" s="212"/>
      <c r="E2" s="212"/>
      <c r="F2" s="212"/>
      <c r="G2" s="212"/>
      <c r="H2" s="212"/>
      <c r="I2" s="212"/>
      <c r="J2" s="213"/>
      <c r="K2" s="214" t="s">
        <v>62</v>
      </c>
      <c r="L2" s="215"/>
      <c r="M2" s="215"/>
      <c r="N2" s="215"/>
      <c r="O2" s="215"/>
      <c r="P2" s="215"/>
      <c r="Q2" s="215"/>
      <c r="R2" s="215"/>
      <c r="S2" s="215"/>
      <c r="T2" s="216"/>
      <c r="U2" s="218"/>
      <c r="V2" s="218"/>
      <c r="W2" s="218"/>
      <c r="X2" s="218"/>
      <c r="Y2" s="218"/>
      <c r="Z2" s="218"/>
      <c r="AA2" s="218"/>
      <c r="AB2" s="218"/>
      <c r="AC2" s="218"/>
      <c r="AD2" s="218"/>
      <c r="AE2" s="218"/>
      <c r="AF2" s="218"/>
      <c r="AG2" s="218"/>
      <c r="AH2" s="218"/>
    </row>
    <row r="3" spans="1:34" s="3" customFormat="1" ht="30.25" customHeight="1" x14ac:dyDescent="0.25">
      <c r="A3" s="7" t="s">
        <v>3</v>
      </c>
      <c r="B3" s="7" t="s">
        <v>56</v>
      </c>
      <c r="C3" s="7" t="s">
        <v>57</v>
      </c>
      <c r="D3" s="8" t="s">
        <v>58</v>
      </c>
      <c r="E3" s="8" t="s">
        <v>59</v>
      </c>
      <c r="F3" s="8" t="s">
        <v>18</v>
      </c>
      <c r="G3" s="8" t="s">
        <v>19</v>
      </c>
      <c r="H3" s="8" t="s">
        <v>60</v>
      </c>
      <c r="I3" s="8" t="s">
        <v>61</v>
      </c>
      <c r="J3" s="9" t="s">
        <v>50</v>
      </c>
      <c r="K3" s="10" t="s">
        <v>4</v>
      </c>
      <c r="L3" s="52" t="s">
        <v>207</v>
      </c>
      <c r="M3" s="52" t="s">
        <v>208</v>
      </c>
      <c r="N3" s="52" t="s">
        <v>209</v>
      </c>
      <c r="O3" s="52" t="s">
        <v>210</v>
      </c>
      <c r="P3" s="52" t="s">
        <v>211</v>
      </c>
      <c r="Q3" s="52" t="s">
        <v>213</v>
      </c>
      <c r="R3" s="52" t="s">
        <v>214</v>
      </c>
      <c r="S3" s="11" t="s">
        <v>0</v>
      </c>
      <c r="T3" s="7" t="s">
        <v>2</v>
      </c>
      <c r="U3" s="23" t="s">
        <v>1</v>
      </c>
      <c r="V3" s="23" t="s">
        <v>1</v>
      </c>
      <c r="W3" s="23" t="s">
        <v>1</v>
      </c>
      <c r="X3" s="23" t="s">
        <v>1</v>
      </c>
      <c r="Y3" s="23" t="s">
        <v>1</v>
      </c>
      <c r="Z3" s="23" t="s">
        <v>1</v>
      </c>
      <c r="AA3" s="23" t="s">
        <v>1</v>
      </c>
      <c r="AB3" s="23" t="s">
        <v>1</v>
      </c>
      <c r="AC3" s="23" t="s">
        <v>1</v>
      </c>
      <c r="AD3" s="23" t="s">
        <v>1</v>
      </c>
      <c r="AE3" s="23" t="s">
        <v>1</v>
      </c>
      <c r="AF3" s="23" t="s">
        <v>1</v>
      </c>
      <c r="AG3" s="23" t="s">
        <v>1</v>
      </c>
      <c r="AH3" s="23" t="s">
        <v>1</v>
      </c>
    </row>
    <row r="4" spans="1:34" ht="30.25" customHeight="1" x14ac:dyDescent="0.35">
      <c r="A4" s="37">
        <v>1</v>
      </c>
      <c r="B4" s="37">
        <v>1</v>
      </c>
      <c r="C4" s="35" t="s">
        <v>63</v>
      </c>
      <c r="D4" s="34" t="s">
        <v>64</v>
      </c>
      <c r="E4" s="35" t="s">
        <v>65</v>
      </c>
      <c r="F4" s="35" t="s">
        <v>20</v>
      </c>
      <c r="G4" s="35" t="s">
        <v>66</v>
      </c>
      <c r="H4" s="35" t="s">
        <v>5</v>
      </c>
      <c r="I4" s="35" t="s">
        <v>6</v>
      </c>
      <c r="J4" s="36">
        <v>1670</v>
      </c>
      <c r="K4" s="27">
        <f>0</f>
        <v>0</v>
      </c>
      <c r="L4" s="127">
        <f>IF(SUM(U4:AL4)&gt;K4+N4,K4+N4,SUM(U4:AL4))</f>
        <v>0</v>
      </c>
      <c r="M4" s="127">
        <f>(SUM(U4:AL4))</f>
        <v>0</v>
      </c>
      <c r="N4" s="128"/>
      <c r="O4" s="129">
        <f>ROUND(IF(K4*0.25-0.5&lt;0,0,K4*0.25-0.5),0)-R4-P4</f>
        <v>0</v>
      </c>
      <c r="P4" s="128"/>
      <c r="Q4" s="128"/>
      <c r="R4" s="128"/>
      <c r="S4" s="26">
        <f>K4-SUM(U4:AH4)+N4</f>
        <v>0</v>
      </c>
      <c r="T4" s="25" t="str">
        <f>IF(S4&lt;0,"ATENÇÃO","OK")</f>
        <v>OK</v>
      </c>
      <c r="U4" s="22"/>
      <c r="V4" s="22"/>
      <c r="W4" s="22"/>
      <c r="X4" s="22"/>
      <c r="Y4" s="24"/>
      <c r="Z4" s="24"/>
      <c r="AA4" s="24"/>
      <c r="AB4" s="22"/>
      <c r="AC4" s="22"/>
      <c r="AD4" s="22"/>
      <c r="AE4" s="22"/>
      <c r="AF4" s="22"/>
      <c r="AG4" s="22"/>
      <c r="AH4" s="22"/>
    </row>
    <row r="5" spans="1:34" ht="30.25" customHeight="1" x14ac:dyDescent="0.35">
      <c r="A5" s="44">
        <v>2</v>
      </c>
      <c r="B5" s="44">
        <v>2</v>
      </c>
      <c r="C5" s="45" t="s">
        <v>67</v>
      </c>
      <c r="D5" s="46" t="s">
        <v>68</v>
      </c>
      <c r="E5" s="45" t="s">
        <v>69</v>
      </c>
      <c r="F5" s="45" t="s">
        <v>20</v>
      </c>
      <c r="G5" s="45" t="s">
        <v>66</v>
      </c>
      <c r="H5" s="45" t="s">
        <v>5</v>
      </c>
      <c r="I5" s="45" t="s">
        <v>6</v>
      </c>
      <c r="J5" s="47">
        <v>1651.67</v>
      </c>
      <c r="K5" s="27">
        <f>4</f>
        <v>4</v>
      </c>
      <c r="L5" s="127">
        <f t="shared" ref="L5:L68" si="0">IF(SUM(U5:AL5)&gt;K5+N5,K5+N5,SUM(U5:AL5))</f>
        <v>0</v>
      </c>
      <c r="M5" s="127">
        <f t="shared" ref="M5:M68" si="1">(SUM(U5:AL5))</f>
        <v>0</v>
      </c>
      <c r="N5" s="128"/>
      <c r="O5" s="129">
        <f t="shared" ref="O5:O68" si="2">ROUND(IF(K5*0.25-0.5&lt;0,0,K5*0.25-0.5),0)-R5-P5</f>
        <v>1</v>
      </c>
      <c r="P5" s="128"/>
      <c r="Q5" s="128"/>
      <c r="R5" s="128"/>
      <c r="S5" s="26">
        <f t="shared" ref="S5:S68" si="3">K5-SUM(U5:AH5)+N5</f>
        <v>4</v>
      </c>
      <c r="T5" s="25" t="str">
        <f t="shared" ref="T5:T68" si="4">IF(S5&lt;0,"ATENÇÃO","OK")</f>
        <v>OK</v>
      </c>
      <c r="U5" s="22"/>
      <c r="V5" s="22"/>
      <c r="W5" s="22"/>
      <c r="X5" s="22"/>
      <c r="Y5" s="24"/>
      <c r="Z5" s="24"/>
      <c r="AA5" s="24"/>
      <c r="AB5" s="22"/>
      <c r="AC5" s="22"/>
      <c r="AD5" s="22"/>
      <c r="AE5" s="22"/>
      <c r="AF5" s="22"/>
      <c r="AG5" s="22"/>
      <c r="AH5" s="22"/>
    </row>
    <row r="6" spans="1:34" ht="30.25" customHeight="1" x14ac:dyDescent="0.35">
      <c r="A6" s="37">
        <v>3</v>
      </c>
      <c r="B6" s="37">
        <v>3</v>
      </c>
      <c r="C6" s="35" t="s">
        <v>63</v>
      </c>
      <c r="D6" s="34" t="s">
        <v>70</v>
      </c>
      <c r="E6" s="35" t="s">
        <v>71</v>
      </c>
      <c r="F6" s="35" t="s">
        <v>20</v>
      </c>
      <c r="G6" s="35" t="s">
        <v>72</v>
      </c>
      <c r="H6" s="35" t="s">
        <v>5</v>
      </c>
      <c r="I6" s="35" t="s">
        <v>6</v>
      </c>
      <c r="J6" s="36">
        <v>1802</v>
      </c>
      <c r="K6" s="27">
        <f>0</f>
        <v>0</v>
      </c>
      <c r="L6" s="127">
        <f t="shared" si="0"/>
        <v>0</v>
      </c>
      <c r="M6" s="127">
        <f t="shared" si="1"/>
        <v>0</v>
      </c>
      <c r="N6" s="128"/>
      <c r="O6" s="129">
        <f t="shared" si="2"/>
        <v>0</v>
      </c>
      <c r="P6" s="128"/>
      <c r="Q6" s="128"/>
      <c r="R6" s="128"/>
      <c r="S6" s="26">
        <f t="shared" si="3"/>
        <v>0</v>
      </c>
      <c r="T6" s="25" t="str">
        <f t="shared" si="4"/>
        <v>OK</v>
      </c>
      <c r="U6" s="22"/>
      <c r="V6" s="22"/>
      <c r="W6" s="22"/>
      <c r="X6" s="22"/>
      <c r="Y6" s="24"/>
      <c r="Z6" s="24"/>
      <c r="AA6" s="24"/>
      <c r="AB6" s="22"/>
      <c r="AC6" s="22"/>
      <c r="AD6" s="22"/>
      <c r="AE6" s="22"/>
      <c r="AF6" s="22"/>
      <c r="AG6" s="22"/>
      <c r="AH6" s="22"/>
    </row>
    <row r="7" spans="1:34" ht="30.25" customHeight="1" x14ac:dyDescent="0.35">
      <c r="A7" s="44">
        <v>4</v>
      </c>
      <c r="B7" s="44">
        <v>4</v>
      </c>
      <c r="C7" s="45" t="s">
        <v>67</v>
      </c>
      <c r="D7" s="46" t="s">
        <v>73</v>
      </c>
      <c r="E7" s="45" t="s">
        <v>74</v>
      </c>
      <c r="F7" s="45" t="s">
        <v>20</v>
      </c>
      <c r="G7" s="45" t="s">
        <v>75</v>
      </c>
      <c r="H7" s="45" t="s">
        <v>5</v>
      </c>
      <c r="I7" s="45" t="s">
        <v>6</v>
      </c>
      <c r="J7" s="47">
        <v>1800</v>
      </c>
      <c r="K7" s="27">
        <f>4</f>
        <v>4</v>
      </c>
      <c r="L7" s="127">
        <f t="shared" si="0"/>
        <v>0</v>
      </c>
      <c r="M7" s="127">
        <f t="shared" si="1"/>
        <v>0</v>
      </c>
      <c r="N7" s="128"/>
      <c r="O7" s="129">
        <f t="shared" si="2"/>
        <v>1</v>
      </c>
      <c r="P7" s="128"/>
      <c r="Q7" s="128"/>
      <c r="R7" s="128"/>
      <c r="S7" s="26">
        <f t="shared" si="3"/>
        <v>4</v>
      </c>
      <c r="T7" s="25" t="str">
        <f t="shared" si="4"/>
        <v>OK</v>
      </c>
      <c r="U7" s="22"/>
      <c r="V7" s="22"/>
      <c r="W7" s="22"/>
      <c r="X7" s="22"/>
      <c r="Y7" s="24"/>
      <c r="Z7" s="24"/>
      <c r="AA7" s="24"/>
      <c r="AB7" s="22"/>
      <c r="AC7" s="22"/>
      <c r="AD7" s="22"/>
      <c r="AE7" s="22"/>
      <c r="AF7" s="22"/>
      <c r="AG7" s="22"/>
      <c r="AH7" s="22"/>
    </row>
    <row r="8" spans="1:34" ht="30.25" customHeight="1" x14ac:dyDescent="0.35">
      <c r="A8" s="37">
        <v>5</v>
      </c>
      <c r="B8" s="37">
        <v>5</v>
      </c>
      <c r="C8" s="35" t="s">
        <v>63</v>
      </c>
      <c r="D8" s="34" t="s">
        <v>76</v>
      </c>
      <c r="E8" s="35" t="s">
        <v>77</v>
      </c>
      <c r="F8" s="35" t="s">
        <v>20</v>
      </c>
      <c r="G8" s="35" t="s">
        <v>78</v>
      </c>
      <c r="H8" s="35" t="s">
        <v>5</v>
      </c>
      <c r="I8" s="35" t="s">
        <v>6</v>
      </c>
      <c r="J8" s="36">
        <v>2686</v>
      </c>
      <c r="K8" s="27">
        <f>0</f>
        <v>0</v>
      </c>
      <c r="L8" s="127">
        <f t="shared" si="0"/>
        <v>0</v>
      </c>
      <c r="M8" s="127">
        <f t="shared" si="1"/>
        <v>0</v>
      </c>
      <c r="N8" s="128"/>
      <c r="O8" s="129">
        <f t="shared" si="2"/>
        <v>0</v>
      </c>
      <c r="P8" s="128"/>
      <c r="Q8" s="128"/>
      <c r="R8" s="128"/>
      <c r="S8" s="26">
        <f t="shared" si="3"/>
        <v>0</v>
      </c>
      <c r="T8" s="25" t="str">
        <f t="shared" si="4"/>
        <v>OK</v>
      </c>
      <c r="U8" s="22"/>
      <c r="V8" s="22"/>
      <c r="W8" s="22"/>
      <c r="X8" s="22"/>
      <c r="Y8" s="24"/>
      <c r="Z8" s="24"/>
      <c r="AA8" s="24"/>
      <c r="AB8" s="22"/>
      <c r="AC8" s="22"/>
      <c r="AD8" s="22"/>
      <c r="AE8" s="22"/>
      <c r="AF8" s="22"/>
      <c r="AG8" s="22"/>
      <c r="AH8" s="22"/>
    </row>
    <row r="9" spans="1:34" ht="60.4" customHeight="1" x14ac:dyDescent="0.35">
      <c r="A9" s="80">
        <v>6</v>
      </c>
      <c r="B9" s="80">
        <v>6</v>
      </c>
      <c r="C9" s="81" t="s">
        <v>67</v>
      </c>
      <c r="D9" s="82" t="s">
        <v>79</v>
      </c>
      <c r="E9" s="87" t="s">
        <v>182</v>
      </c>
      <c r="F9" s="81" t="s">
        <v>20</v>
      </c>
      <c r="G9" s="81" t="s">
        <v>21</v>
      </c>
      <c r="H9" s="81" t="s">
        <v>5</v>
      </c>
      <c r="I9" s="81" t="s">
        <v>6</v>
      </c>
      <c r="J9" s="83">
        <v>2821.51</v>
      </c>
      <c r="K9" s="27">
        <f>10</f>
        <v>10</v>
      </c>
      <c r="L9" s="127">
        <f t="shared" si="0"/>
        <v>0</v>
      </c>
      <c r="M9" s="127">
        <f t="shared" si="1"/>
        <v>0</v>
      </c>
      <c r="N9" s="128"/>
      <c r="O9" s="129">
        <f t="shared" si="2"/>
        <v>2</v>
      </c>
      <c r="P9" s="128"/>
      <c r="Q9" s="128"/>
      <c r="R9" s="128"/>
      <c r="S9" s="26">
        <f t="shared" si="3"/>
        <v>10</v>
      </c>
      <c r="T9" s="25" t="str">
        <f t="shared" si="4"/>
        <v>OK</v>
      </c>
      <c r="U9" s="22"/>
      <c r="V9" s="22"/>
      <c r="W9" s="22"/>
      <c r="X9" s="22"/>
      <c r="Y9" s="24"/>
      <c r="Z9" s="24"/>
      <c r="AA9" s="24"/>
      <c r="AB9" s="22"/>
      <c r="AC9" s="22"/>
      <c r="AD9" s="22"/>
      <c r="AE9" s="22"/>
      <c r="AF9" s="22"/>
      <c r="AG9" s="22"/>
      <c r="AH9" s="22"/>
    </row>
    <row r="10" spans="1:34" ht="30.25" customHeight="1" x14ac:dyDescent="0.35">
      <c r="A10" s="37">
        <v>7</v>
      </c>
      <c r="B10" s="37">
        <v>7</v>
      </c>
      <c r="C10" s="35" t="s">
        <v>63</v>
      </c>
      <c r="D10" s="34" t="s">
        <v>80</v>
      </c>
      <c r="E10" s="35" t="s">
        <v>81</v>
      </c>
      <c r="F10" s="35" t="s">
        <v>20</v>
      </c>
      <c r="G10" s="35" t="s">
        <v>21</v>
      </c>
      <c r="H10" s="35" t="s">
        <v>5</v>
      </c>
      <c r="I10" s="35" t="s">
        <v>6</v>
      </c>
      <c r="J10" s="36">
        <v>7446</v>
      </c>
      <c r="K10" s="27">
        <f>0</f>
        <v>0</v>
      </c>
      <c r="L10" s="127">
        <f t="shared" si="0"/>
        <v>0</v>
      </c>
      <c r="M10" s="127">
        <f t="shared" si="1"/>
        <v>0</v>
      </c>
      <c r="N10" s="128"/>
      <c r="O10" s="129">
        <f t="shared" si="2"/>
        <v>0</v>
      </c>
      <c r="P10" s="128"/>
      <c r="Q10" s="128"/>
      <c r="R10" s="128"/>
      <c r="S10" s="26">
        <f t="shared" si="3"/>
        <v>0</v>
      </c>
      <c r="T10" s="25" t="str">
        <f t="shared" si="4"/>
        <v>OK</v>
      </c>
      <c r="U10" s="22"/>
      <c r="V10" s="22"/>
      <c r="W10" s="22"/>
      <c r="X10" s="22"/>
      <c r="Y10" s="24"/>
      <c r="Z10" s="24"/>
      <c r="AA10" s="24"/>
      <c r="AB10" s="22"/>
      <c r="AC10" s="22"/>
      <c r="AD10" s="22"/>
      <c r="AE10" s="22"/>
      <c r="AF10" s="22"/>
      <c r="AG10" s="22"/>
      <c r="AH10" s="22"/>
    </row>
    <row r="11" spans="1:34" ht="30.25" customHeight="1" x14ac:dyDescent="0.35">
      <c r="A11" s="44">
        <v>8</v>
      </c>
      <c r="B11" s="44">
        <v>8</v>
      </c>
      <c r="C11" s="45" t="s">
        <v>63</v>
      </c>
      <c r="D11" s="46" t="s">
        <v>82</v>
      </c>
      <c r="E11" s="45" t="s">
        <v>81</v>
      </c>
      <c r="F11" s="45" t="s">
        <v>20</v>
      </c>
      <c r="G11" s="45" t="s">
        <v>21</v>
      </c>
      <c r="H11" s="45" t="s">
        <v>5</v>
      </c>
      <c r="I11" s="45" t="s">
        <v>6</v>
      </c>
      <c r="J11" s="47">
        <v>7375</v>
      </c>
      <c r="K11" s="27">
        <f>0</f>
        <v>0</v>
      </c>
      <c r="L11" s="127">
        <f t="shared" si="0"/>
        <v>0</v>
      </c>
      <c r="M11" s="127">
        <f t="shared" si="1"/>
        <v>0</v>
      </c>
      <c r="N11" s="128"/>
      <c r="O11" s="129">
        <f t="shared" si="2"/>
        <v>0</v>
      </c>
      <c r="P11" s="128"/>
      <c r="Q11" s="128"/>
      <c r="R11" s="128"/>
      <c r="S11" s="26">
        <f t="shared" si="3"/>
        <v>0</v>
      </c>
      <c r="T11" s="25" t="str">
        <f t="shared" si="4"/>
        <v>OK</v>
      </c>
      <c r="U11" s="22"/>
      <c r="V11" s="22"/>
      <c r="W11" s="22"/>
      <c r="X11" s="22"/>
      <c r="Y11" s="24"/>
      <c r="Z11" s="24"/>
      <c r="AA11" s="24"/>
      <c r="AB11" s="22"/>
      <c r="AC11" s="22"/>
      <c r="AD11" s="22"/>
      <c r="AE11" s="22"/>
      <c r="AF11" s="22"/>
      <c r="AG11" s="22"/>
      <c r="AH11" s="22"/>
    </row>
    <row r="12" spans="1:34" ht="30.25" customHeight="1" x14ac:dyDescent="0.35">
      <c r="A12" s="37">
        <v>9</v>
      </c>
      <c r="B12" s="37">
        <v>9</v>
      </c>
      <c r="C12" s="35" t="s">
        <v>83</v>
      </c>
      <c r="D12" s="34" t="s">
        <v>84</v>
      </c>
      <c r="E12" s="35" t="s">
        <v>85</v>
      </c>
      <c r="F12" s="35" t="s">
        <v>20</v>
      </c>
      <c r="G12" s="35" t="s">
        <v>22</v>
      </c>
      <c r="H12" s="35" t="s">
        <v>5</v>
      </c>
      <c r="I12" s="35" t="s">
        <v>6</v>
      </c>
      <c r="J12" s="36">
        <v>6213.51</v>
      </c>
      <c r="K12" s="27">
        <f>0</f>
        <v>0</v>
      </c>
      <c r="L12" s="127">
        <f t="shared" si="0"/>
        <v>0</v>
      </c>
      <c r="M12" s="127">
        <f t="shared" si="1"/>
        <v>0</v>
      </c>
      <c r="N12" s="128"/>
      <c r="O12" s="129">
        <f t="shared" si="2"/>
        <v>0</v>
      </c>
      <c r="P12" s="128"/>
      <c r="Q12" s="128"/>
      <c r="R12" s="128"/>
      <c r="S12" s="26">
        <f t="shared" si="3"/>
        <v>0</v>
      </c>
      <c r="T12" s="25" t="str">
        <f t="shared" si="4"/>
        <v>OK</v>
      </c>
      <c r="U12" s="22"/>
      <c r="V12" s="22"/>
      <c r="W12" s="22"/>
      <c r="X12" s="22"/>
      <c r="Y12" s="28"/>
      <c r="Z12" s="24"/>
      <c r="AA12" s="24"/>
      <c r="AB12" s="22"/>
      <c r="AC12" s="22"/>
      <c r="AD12" s="22"/>
      <c r="AE12" s="22"/>
      <c r="AF12" s="22"/>
      <c r="AG12" s="22"/>
      <c r="AH12" s="22"/>
    </row>
    <row r="13" spans="1:34" ht="30.25" customHeight="1" x14ac:dyDescent="0.35">
      <c r="A13" s="44">
        <v>10</v>
      </c>
      <c r="B13" s="44">
        <v>10</v>
      </c>
      <c r="C13" s="45" t="s">
        <v>63</v>
      </c>
      <c r="D13" s="46" t="s">
        <v>86</v>
      </c>
      <c r="E13" s="45" t="s">
        <v>87</v>
      </c>
      <c r="F13" s="45" t="s">
        <v>20</v>
      </c>
      <c r="G13" s="45" t="s">
        <v>22</v>
      </c>
      <c r="H13" s="45" t="s">
        <v>5</v>
      </c>
      <c r="I13" s="45" t="s">
        <v>6</v>
      </c>
      <c r="J13" s="47">
        <v>6689.61</v>
      </c>
      <c r="K13" s="27">
        <f>0</f>
        <v>0</v>
      </c>
      <c r="L13" s="127">
        <f t="shared" si="0"/>
        <v>0</v>
      </c>
      <c r="M13" s="127">
        <f t="shared" si="1"/>
        <v>0</v>
      </c>
      <c r="N13" s="128"/>
      <c r="O13" s="129">
        <f t="shared" si="2"/>
        <v>0</v>
      </c>
      <c r="P13" s="128"/>
      <c r="Q13" s="128"/>
      <c r="R13" s="128"/>
      <c r="S13" s="26">
        <f t="shared" si="3"/>
        <v>0</v>
      </c>
      <c r="T13" s="25" t="str">
        <f t="shared" si="4"/>
        <v>OK</v>
      </c>
      <c r="U13" s="22"/>
      <c r="V13" s="22"/>
      <c r="W13" s="22"/>
      <c r="X13" s="22"/>
      <c r="Y13" s="24"/>
      <c r="Z13" s="24"/>
      <c r="AA13" s="24"/>
      <c r="AB13" s="22"/>
      <c r="AC13" s="22"/>
      <c r="AD13" s="22"/>
      <c r="AE13" s="22"/>
      <c r="AF13" s="22"/>
      <c r="AG13" s="22"/>
      <c r="AH13" s="22"/>
    </row>
    <row r="14" spans="1:34" ht="30.25" customHeight="1" x14ac:dyDescent="0.35">
      <c r="A14" s="37">
        <v>11</v>
      </c>
      <c r="B14" s="37">
        <v>11</v>
      </c>
      <c r="C14" s="35" t="s">
        <v>83</v>
      </c>
      <c r="D14" s="34" t="s">
        <v>88</v>
      </c>
      <c r="E14" s="35" t="s">
        <v>89</v>
      </c>
      <c r="F14" s="37" t="s">
        <v>20</v>
      </c>
      <c r="G14" s="35" t="s">
        <v>22</v>
      </c>
      <c r="H14" s="37" t="s">
        <v>5</v>
      </c>
      <c r="I14" s="35" t="s">
        <v>6</v>
      </c>
      <c r="J14" s="36">
        <v>3445.06</v>
      </c>
      <c r="K14" s="27">
        <f>0</f>
        <v>0</v>
      </c>
      <c r="L14" s="127">
        <f t="shared" si="0"/>
        <v>0</v>
      </c>
      <c r="M14" s="127">
        <f t="shared" si="1"/>
        <v>0</v>
      </c>
      <c r="N14" s="128"/>
      <c r="O14" s="129">
        <f t="shared" si="2"/>
        <v>0</v>
      </c>
      <c r="P14" s="128"/>
      <c r="Q14" s="128"/>
      <c r="R14" s="128"/>
      <c r="S14" s="26">
        <f t="shared" si="3"/>
        <v>0</v>
      </c>
      <c r="T14" s="25" t="str">
        <f t="shared" si="4"/>
        <v>OK</v>
      </c>
      <c r="U14" s="22"/>
      <c r="V14" s="22"/>
      <c r="W14" s="22"/>
      <c r="X14" s="22"/>
      <c r="Y14" s="24"/>
      <c r="Z14" s="24"/>
      <c r="AA14" s="24"/>
      <c r="AB14" s="22"/>
      <c r="AC14" s="22"/>
      <c r="AD14" s="22"/>
      <c r="AE14" s="22"/>
      <c r="AF14" s="22"/>
      <c r="AG14" s="22"/>
      <c r="AH14" s="22"/>
    </row>
    <row r="15" spans="1:34" ht="30.25" customHeight="1" x14ac:dyDescent="0.35">
      <c r="A15" s="44">
        <v>12</v>
      </c>
      <c r="B15" s="44">
        <v>12</v>
      </c>
      <c r="C15" s="45" t="s">
        <v>83</v>
      </c>
      <c r="D15" s="46" t="s">
        <v>90</v>
      </c>
      <c r="E15" s="45" t="s">
        <v>91</v>
      </c>
      <c r="F15" s="44" t="s">
        <v>20</v>
      </c>
      <c r="G15" s="44" t="s">
        <v>22</v>
      </c>
      <c r="H15" s="44" t="s">
        <v>5</v>
      </c>
      <c r="I15" s="45" t="s">
        <v>6</v>
      </c>
      <c r="J15" s="47">
        <v>3617.48</v>
      </c>
      <c r="K15" s="27">
        <f>0</f>
        <v>0</v>
      </c>
      <c r="L15" s="127">
        <f t="shared" si="0"/>
        <v>0</v>
      </c>
      <c r="M15" s="127">
        <f t="shared" si="1"/>
        <v>0</v>
      </c>
      <c r="N15" s="128"/>
      <c r="O15" s="129">
        <f t="shared" si="2"/>
        <v>0</v>
      </c>
      <c r="P15" s="128"/>
      <c r="Q15" s="128"/>
      <c r="R15" s="128"/>
      <c r="S15" s="26">
        <f t="shared" si="3"/>
        <v>0</v>
      </c>
      <c r="T15" s="25" t="str">
        <f t="shared" si="4"/>
        <v>OK</v>
      </c>
      <c r="U15" s="22"/>
      <c r="V15" s="22"/>
      <c r="W15" s="22"/>
      <c r="X15" s="22"/>
      <c r="Y15" s="24"/>
      <c r="Z15" s="24"/>
      <c r="AA15" s="24"/>
      <c r="AB15" s="22"/>
      <c r="AC15" s="22"/>
      <c r="AD15" s="22"/>
      <c r="AE15" s="22"/>
      <c r="AF15" s="22"/>
      <c r="AG15" s="22"/>
      <c r="AH15" s="22"/>
    </row>
    <row r="16" spans="1:34" ht="30.25" customHeight="1" x14ac:dyDescent="0.35">
      <c r="A16" s="37">
        <v>13</v>
      </c>
      <c r="B16" s="37">
        <v>13</v>
      </c>
      <c r="C16" s="35" t="s">
        <v>92</v>
      </c>
      <c r="D16" s="34" t="s">
        <v>93</v>
      </c>
      <c r="E16" s="35" t="s">
        <v>94</v>
      </c>
      <c r="F16" s="37" t="s">
        <v>20</v>
      </c>
      <c r="G16" s="37" t="s">
        <v>22</v>
      </c>
      <c r="H16" s="37" t="s">
        <v>5</v>
      </c>
      <c r="I16" s="35" t="s">
        <v>6</v>
      </c>
      <c r="J16" s="36">
        <v>7453.33</v>
      </c>
      <c r="K16" s="27">
        <f>0</f>
        <v>0</v>
      </c>
      <c r="L16" s="127">
        <f t="shared" si="0"/>
        <v>0</v>
      </c>
      <c r="M16" s="127">
        <f t="shared" si="1"/>
        <v>0</v>
      </c>
      <c r="N16" s="128"/>
      <c r="O16" s="129">
        <f t="shared" si="2"/>
        <v>0</v>
      </c>
      <c r="P16" s="128"/>
      <c r="Q16" s="128"/>
      <c r="R16" s="128"/>
      <c r="S16" s="26">
        <f t="shared" si="3"/>
        <v>0</v>
      </c>
      <c r="T16" s="25" t="str">
        <f t="shared" si="4"/>
        <v>OK</v>
      </c>
      <c r="U16" s="22"/>
      <c r="V16" s="22"/>
      <c r="W16" s="22"/>
      <c r="X16" s="22"/>
      <c r="Y16" s="24"/>
      <c r="Z16" s="24"/>
      <c r="AA16" s="24"/>
      <c r="AB16" s="22"/>
      <c r="AC16" s="22"/>
      <c r="AD16" s="22"/>
      <c r="AE16" s="22"/>
      <c r="AF16" s="22"/>
      <c r="AG16" s="22"/>
      <c r="AH16" s="22"/>
    </row>
    <row r="17" spans="1:34" ht="30.25" customHeight="1" x14ac:dyDescent="0.35">
      <c r="A17" s="44">
        <v>14</v>
      </c>
      <c r="B17" s="44">
        <v>14</v>
      </c>
      <c r="C17" s="45" t="s">
        <v>92</v>
      </c>
      <c r="D17" s="46" t="s">
        <v>95</v>
      </c>
      <c r="E17" s="45" t="s">
        <v>94</v>
      </c>
      <c r="F17" s="45" t="s">
        <v>20</v>
      </c>
      <c r="G17" s="45" t="s">
        <v>22</v>
      </c>
      <c r="H17" s="45" t="s">
        <v>5</v>
      </c>
      <c r="I17" s="45" t="s">
        <v>6</v>
      </c>
      <c r="J17" s="47">
        <v>9561.2000000000007</v>
      </c>
      <c r="K17" s="27">
        <f>0</f>
        <v>0</v>
      </c>
      <c r="L17" s="127">
        <f t="shared" si="0"/>
        <v>0</v>
      </c>
      <c r="M17" s="127">
        <f t="shared" si="1"/>
        <v>0</v>
      </c>
      <c r="N17" s="128"/>
      <c r="O17" s="129">
        <f t="shared" si="2"/>
        <v>0</v>
      </c>
      <c r="P17" s="128"/>
      <c r="Q17" s="128"/>
      <c r="R17" s="128"/>
      <c r="S17" s="26">
        <f t="shared" si="3"/>
        <v>0</v>
      </c>
      <c r="T17" s="25" t="str">
        <f t="shared" si="4"/>
        <v>OK</v>
      </c>
      <c r="U17" s="22"/>
      <c r="V17" s="22"/>
      <c r="W17" s="22"/>
      <c r="X17" s="22"/>
      <c r="Y17" s="24"/>
      <c r="Z17" s="24"/>
      <c r="AA17" s="24"/>
      <c r="AB17" s="22"/>
      <c r="AC17" s="22"/>
      <c r="AD17" s="22"/>
      <c r="AE17" s="22"/>
      <c r="AF17" s="22"/>
      <c r="AG17" s="22"/>
      <c r="AH17" s="22"/>
    </row>
    <row r="18" spans="1:34" ht="30.25" customHeight="1" x14ac:dyDescent="0.35">
      <c r="A18" s="37">
        <v>15</v>
      </c>
      <c r="B18" s="37">
        <v>15</v>
      </c>
      <c r="C18" s="35" t="s">
        <v>63</v>
      </c>
      <c r="D18" s="34" t="s">
        <v>96</v>
      </c>
      <c r="E18" s="35" t="s">
        <v>97</v>
      </c>
      <c r="F18" s="35" t="s">
        <v>20</v>
      </c>
      <c r="G18" s="35" t="s">
        <v>31</v>
      </c>
      <c r="H18" s="35" t="s">
        <v>5</v>
      </c>
      <c r="I18" s="35" t="s">
        <v>6</v>
      </c>
      <c r="J18" s="36">
        <v>7598</v>
      </c>
      <c r="K18" s="27">
        <f>0</f>
        <v>0</v>
      </c>
      <c r="L18" s="127">
        <f t="shared" si="0"/>
        <v>0</v>
      </c>
      <c r="M18" s="127">
        <f t="shared" si="1"/>
        <v>0</v>
      </c>
      <c r="N18" s="128"/>
      <c r="O18" s="129">
        <f t="shared" si="2"/>
        <v>0</v>
      </c>
      <c r="P18" s="128"/>
      <c r="Q18" s="128"/>
      <c r="R18" s="128"/>
      <c r="S18" s="26">
        <f t="shared" si="3"/>
        <v>0</v>
      </c>
      <c r="T18" s="25" t="str">
        <f t="shared" si="4"/>
        <v>OK</v>
      </c>
      <c r="U18" s="22"/>
      <c r="V18" s="22"/>
      <c r="W18" s="22"/>
      <c r="X18" s="22"/>
      <c r="Y18" s="24"/>
      <c r="Z18" s="24"/>
      <c r="AA18" s="24"/>
      <c r="AB18" s="22"/>
      <c r="AC18" s="22"/>
      <c r="AD18" s="22"/>
      <c r="AE18" s="22"/>
      <c r="AF18" s="22"/>
      <c r="AG18" s="22"/>
      <c r="AH18" s="22"/>
    </row>
    <row r="19" spans="1:34" ht="30.25" customHeight="1" x14ac:dyDescent="0.35">
      <c r="A19" s="44">
        <v>16</v>
      </c>
      <c r="B19" s="44">
        <v>16</v>
      </c>
      <c r="C19" s="45" t="s">
        <v>83</v>
      </c>
      <c r="D19" s="46" t="s">
        <v>98</v>
      </c>
      <c r="E19" s="45" t="s">
        <v>99</v>
      </c>
      <c r="F19" s="45" t="s">
        <v>20</v>
      </c>
      <c r="G19" s="45" t="s">
        <v>100</v>
      </c>
      <c r="H19" s="45" t="s">
        <v>5</v>
      </c>
      <c r="I19" s="45" t="s">
        <v>6</v>
      </c>
      <c r="J19" s="47">
        <v>4540.34</v>
      </c>
      <c r="K19" s="27">
        <f>0</f>
        <v>0</v>
      </c>
      <c r="L19" s="127">
        <f t="shared" si="0"/>
        <v>0</v>
      </c>
      <c r="M19" s="127">
        <f t="shared" si="1"/>
        <v>0</v>
      </c>
      <c r="N19" s="128"/>
      <c r="O19" s="129">
        <f t="shared" si="2"/>
        <v>0</v>
      </c>
      <c r="P19" s="128"/>
      <c r="Q19" s="128"/>
      <c r="R19" s="128"/>
      <c r="S19" s="26">
        <f t="shared" si="3"/>
        <v>0</v>
      </c>
      <c r="T19" s="25" t="str">
        <f t="shared" si="4"/>
        <v>OK</v>
      </c>
      <c r="U19" s="22"/>
      <c r="V19" s="22"/>
      <c r="W19" s="22"/>
      <c r="X19" s="22"/>
      <c r="Y19" s="24"/>
      <c r="Z19" s="24"/>
      <c r="AA19" s="24"/>
      <c r="AB19" s="22"/>
      <c r="AC19" s="22"/>
      <c r="AD19" s="22"/>
      <c r="AE19" s="22"/>
      <c r="AF19" s="22"/>
      <c r="AG19" s="22"/>
      <c r="AH19" s="22"/>
    </row>
    <row r="20" spans="1:34" ht="30.25" customHeight="1" x14ac:dyDescent="0.35">
      <c r="A20" s="37">
        <v>17</v>
      </c>
      <c r="B20" s="37">
        <v>17</v>
      </c>
      <c r="C20" s="35" t="s">
        <v>63</v>
      </c>
      <c r="D20" s="38" t="s">
        <v>101</v>
      </c>
      <c r="E20" s="39" t="s">
        <v>102</v>
      </c>
      <c r="F20" s="40" t="s">
        <v>20</v>
      </c>
      <c r="G20" s="40" t="s">
        <v>103</v>
      </c>
      <c r="H20" s="40" t="s">
        <v>5</v>
      </c>
      <c r="I20" s="40" t="s">
        <v>6</v>
      </c>
      <c r="J20" s="36">
        <v>7499</v>
      </c>
      <c r="K20" s="27">
        <f>0</f>
        <v>0</v>
      </c>
      <c r="L20" s="127">
        <f t="shared" si="0"/>
        <v>0</v>
      </c>
      <c r="M20" s="127">
        <f t="shared" si="1"/>
        <v>0</v>
      </c>
      <c r="N20" s="128"/>
      <c r="O20" s="129">
        <f t="shared" si="2"/>
        <v>0</v>
      </c>
      <c r="P20" s="128"/>
      <c r="Q20" s="128"/>
      <c r="R20" s="128"/>
      <c r="S20" s="26">
        <f t="shared" si="3"/>
        <v>0</v>
      </c>
      <c r="T20" s="25" t="str">
        <f t="shared" si="4"/>
        <v>OK</v>
      </c>
      <c r="U20" s="22"/>
      <c r="V20" s="22"/>
      <c r="W20" s="22"/>
      <c r="X20" s="22"/>
      <c r="Y20" s="24"/>
      <c r="Z20" s="24"/>
      <c r="AA20" s="24"/>
      <c r="AB20" s="22"/>
      <c r="AC20" s="22"/>
      <c r="AD20" s="22"/>
      <c r="AE20" s="22"/>
      <c r="AF20" s="22"/>
      <c r="AG20" s="22"/>
      <c r="AH20" s="22"/>
    </row>
    <row r="21" spans="1:34" ht="30.25" customHeight="1" x14ac:dyDescent="0.35">
      <c r="A21" s="44">
        <v>18</v>
      </c>
      <c r="B21" s="44">
        <v>18</v>
      </c>
      <c r="C21" s="45" t="s">
        <v>104</v>
      </c>
      <c r="D21" s="46" t="s">
        <v>105</v>
      </c>
      <c r="E21" s="48" t="s">
        <v>106</v>
      </c>
      <c r="F21" s="49" t="s">
        <v>20</v>
      </c>
      <c r="G21" s="44" t="s">
        <v>107</v>
      </c>
      <c r="H21" s="44" t="s">
        <v>5</v>
      </c>
      <c r="I21" s="44" t="s">
        <v>6</v>
      </c>
      <c r="J21" s="47">
        <v>9553.2000000000007</v>
      </c>
      <c r="K21" s="27">
        <f>0</f>
        <v>0</v>
      </c>
      <c r="L21" s="127">
        <f t="shared" si="0"/>
        <v>0</v>
      </c>
      <c r="M21" s="127">
        <f t="shared" si="1"/>
        <v>0</v>
      </c>
      <c r="N21" s="128"/>
      <c r="O21" s="129">
        <f t="shared" si="2"/>
        <v>0</v>
      </c>
      <c r="P21" s="128"/>
      <c r="Q21" s="128"/>
      <c r="R21" s="128"/>
      <c r="S21" s="26">
        <f t="shared" si="3"/>
        <v>0</v>
      </c>
      <c r="T21" s="25" t="str">
        <f t="shared" si="4"/>
        <v>OK</v>
      </c>
      <c r="U21" s="22"/>
      <c r="V21" s="22"/>
      <c r="W21" s="22"/>
      <c r="X21" s="22"/>
      <c r="Y21" s="24"/>
      <c r="Z21" s="24"/>
      <c r="AA21" s="24"/>
      <c r="AB21" s="22"/>
      <c r="AC21" s="22"/>
      <c r="AD21" s="22"/>
      <c r="AE21" s="22"/>
      <c r="AF21" s="22"/>
      <c r="AG21" s="22"/>
      <c r="AH21" s="22"/>
    </row>
    <row r="22" spans="1:34" ht="30.25" customHeight="1" x14ac:dyDescent="0.35">
      <c r="A22" s="37">
        <v>19</v>
      </c>
      <c r="B22" s="37">
        <v>19</v>
      </c>
      <c r="C22" s="35" t="s">
        <v>63</v>
      </c>
      <c r="D22" s="34" t="s">
        <v>108</v>
      </c>
      <c r="E22" s="41" t="s">
        <v>109</v>
      </c>
      <c r="F22" s="43" t="s">
        <v>20</v>
      </c>
      <c r="G22" s="37" t="s">
        <v>107</v>
      </c>
      <c r="H22" s="37" t="s">
        <v>5</v>
      </c>
      <c r="I22" s="37" t="s">
        <v>6</v>
      </c>
      <c r="J22" s="36">
        <v>8608</v>
      </c>
      <c r="K22" s="27">
        <f>0</f>
        <v>0</v>
      </c>
      <c r="L22" s="127">
        <f t="shared" si="0"/>
        <v>0</v>
      </c>
      <c r="M22" s="127">
        <f t="shared" si="1"/>
        <v>0</v>
      </c>
      <c r="N22" s="128"/>
      <c r="O22" s="129">
        <f t="shared" si="2"/>
        <v>0</v>
      </c>
      <c r="P22" s="128"/>
      <c r="Q22" s="128"/>
      <c r="R22" s="128"/>
      <c r="S22" s="26">
        <f t="shared" si="3"/>
        <v>0</v>
      </c>
      <c r="T22" s="25" t="str">
        <f t="shared" si="4"/>
        <v>OK</v>
      </c>
      <c r="U22" s="22"/>
      <c r="V22" s="22"/>
      <c r="W22" s="22"/>
      <c r="X22" s="29"/>
      <c r="Y22" s="24"/>
      <c r="Z22" s="24"/>
      <c r="AA22" s="24"/>
      <c r="AB22" s="22"/>
      <c r="AC22" s="22"/>
      <c r="AD22" s="22"/>
      <c r="AE22" s="22"/>
      <c r="AF22" s="22"/>
      <c r="AG22" s="22"/>
      <c r="AH22" s="22"/>
    </row>
    <row r="23" spans="1:34" ht="30.25" customHeight="1" x14ac:dyDescent="0.35">
      <c r="A23" s="44">
        <v>20</v>
      </c>
      <c r="B23" s="44">
        <v>20</v>
      </c>
      <c r="C23" s="45" t="s">
        <v>63</v>
      </c>
      <c r="D23" s="46" t="s">
        <v>110</v>
      </c>
      <c r="E23" s="48" t="s">
        <v>111</v>
      </c>
      <c r="F23" s="50" t="s">
        <v>20</v>
      </c>
      <c r="G23" s="44" t="s">
        <v>112</v>
      </c>
      <c r="H23" s="44" t="s">
        <v>5</v>
      </c>
      <c r="I23" s="44" t="s">
        <v>6</v>
      </c>
      <c r="J23" s="47">
        <v>10488</v>
      </c>
      <c r="K23" s="27">
        <f>0</f>
        <v>0</v>
      </c>
      <c r="L23" s="127">
        <f t="shared" si="0"/>
        <v>0</v>
      </c>
      <c r="M23" s="127">
        <f t="shared" si="1"/>
        <v>0</v>
      </c>
      <c r="N23" s="128"/>
      <c r="O23" s="129">
        <f t="shared" si="2"/>
        <v>0</v>
      </c>
      <c r="P23" s="128"/>
      <c r="Q23" s="128"/>
      <c r="R23" s="128"/>
      <c r="S23" s="26">
        <f t="shared" si="3"/>
        <v>0</v>
      </c>
      <c r="T23" s="25" t="str">
        <f t="shared" si="4"/>
        <v>OK</v>
      </c>
      <c r="U23" s="22"/>
      <c r="V23" s="22"/>
      <c r="W23" s="22"/>
      <c r="X23" s="29"/>
      <c r="Y23" s="24"/>
      <c r="Z23" s="24"/>
      <c r="AA23" s="24"/>
      <c r="AB23" s="22"/>
      <c r="AC23" s="22"/>
      <c r="AD23" s="22"/>
      <c r="AE23" s="22"/>
      <c r="AF23" s="22"/>
      <c r="AG23" s="22"/>
      <c r="AH23" s="22"/>
    </row>
    <row r="24" spans="1:34" ht="30.25" customHeight="1" x14ac:dyDescent="0.35">
      <c r="A24" s="37">
        <v>21</v>
      </c>
      <c r="B24" s="37">
        <v>21</v>
      </c>
      <c r="C24" s="35" t="s">
        <v>63</v>
      </c>
      <c r="D24" s="34" t="s">
        <v>113</v>
      </c>
      <c r="E24" s="41" t="s">
        <v>114</v>
      </c>
      <c r="F24" s="43" t="s">
        <v>20</v>
      </c>
      <c r="G24" s="37" t="s">
        <v>115</v>
      </c>
      <c r="H24" s="37" t="s">
        <v>5</v>
      </c>
      <c r="I24" s="37" t="s">
        <v>6</v>
      </c>
      <c r="J24" s="36">
        <v>10968</v>
      </c>
      <c r="K24" s="27">
        <f>0</f>
        <v>0</v>
      </c>
      <c r="L24" s="127">
        <f t="shared" si="0"/>
        <v>0</v>
      </c>
      <c r="M24" s="127">
        <f t="shared" si="1"/>
        <v>0</v>
      </c>
      <c r="N24" s="128"/>
      <c r="O24" s="129">
        <f t="shared" si="2"/>
        <v>0</v>
      </c>
      <c r="P24" s="128"/>
      <c r="Q24" s="128"/>
      <c r="R24" s="128"/>
      <c r="S24" s="26">
        <f t="shared" si="3"/>
        <v>0</v>
      </c>
      <c r="T24" s="25" t="str">
        <f t="shared" si="4"/>
        <v>OK</v>
      </c>
      <c r="U24" s="22"/>
      <c r="V24" s="22"/>
      <c r="W24" s="22"/>
      <c r="X24" s="29"/>
      <c r="Y24" s="24"/>
      <c r="Z24" s="24"/>
      <c r="AA24" s="24"/>
      <c r="AB24" s="22"/>
      <c r="AC24" s="22"/>
      <c r="AD24" s="22"/>
      <c r="AE24" s="22"/>
      <c r="AF24" s="22"/>
      <c r="AG24" s="22"/>
      <c r="AH24" s="22"/>
    </row>
    <row r="25" spans="1:34" ht="30.25" customHeight="1" x14ac:dyDescent="0.35">
      <c r="A25" s="44">
        <v>22</v>
      </c>
      <c r="B25" s="44">
        <v>22</v>
      </c>
      <c r="C25" s="45" t="s">
        <v>32</v>
      </c>
      <c r="D25" s="46" t="s">
        <v>116</v>
      </c>
      <c r="E25" s="48" t="s">
        <v>117</v>
      </c>
      <c r="F25" s="50" t="s">
        <v>20</v>
      </c>
      <c r="G25" s="44" t="s">
        <v>118</v>
      </c>
      <c r="H25" s="44" t="s">
        <v>5</v>
      </c>
      <c r="I25" s="44" t="s">
        <v>6</v>
      </c>
      <c r="J25" s="47">
        <v>13446</v>
      </c>
      <c r="K25" s="27">
        <f>0</f>
        <v>0</v>
      </c>
      <c r="L25" s="127">
        <f t="shared" si="0"/>
        <v>0</v>
      </c>
      <c r="M25" s="127">
        <f t="shared" si="1"/>
        <v>0</v>
      </c>
      <c r="N25" s="128"/>
      <c r="O25" s="129">
        <f t="shared" si="2"/>
        <v>0</v>
      </c>
      <c r="P25" s="128"/>
      <c r="Q25" s="128"/>
      <c r="R25" s="128"/>
      <c r="S25" s="26">
        <f t="shared" si="3"/>
        <v>0</v>
      </c>
      <c r="T25" s="25" t="str">
        <f t="shared" si="4"/>
        <v>OK</v>
      </c>
      <c r="U25" s="22"/>
      <c r="V25" s="22"/>
      <c r="W25" s="22"/>
      <c r="X25" s="29"/>
      <c r="Y25" s="24"/>
      <c r="Z25" s="24"/>
      <c r="AA25" s="24"/>
      <c r="AB25" s="22"/>
      <c r="AC25" s="22"/>
      <c r="AD25" s="22"/>
      <c r="AE25" s="22"/>
      <c r="AF25" s="22"/>
      <c r="AG25" s="22"/>
      <c r="AH25" s="22"/>
    </row>
    <row r="26" spans="1:34" ht="30.25" customHeight="1" x14ac:dyDescent="0.35">
      <c r="A26" s="37">
        <v>23</v>
      </c>
      <c r="B26" s="37">
        <v>23</v>
      </c>
      <c r="C26" s="35" t="s">
        <v>119</v>
      </c>
      <c r="D26" s="34" t="s">
        <v>120</v>
      </c>
      <c r="E26" s="41" t="s">
        <v>121</v>
      </c>
      <c r="F26" s="43" t="s">
        <v>20</v>
      </c>
      <c r="G26" s="37" t="s">
        <v>115</v>
      </c>
      <c r="H26" s="37" t="s">
        <v>5</v>
      </c>
      <c r="I26" s="37" t="s">
        <v>6</v>
      </c>
      <c r="J26" s="36">
        <v>11764.7</v>
      </c>
      <c r="K26" s="27">
        <f>0</f>
        <v>0</v>
      </c>
      <c r="L26" s="127">
        <f t="shared" si="0"/>
        <v>0</v>
      </c>
      <c r="M26" s="127">
        <f t="shared" si="1"/>
        <v>0</v>
      </c>
      <c r="N26" s="128"/>
      <c r="O26" s="129">
        <f t="shared" si="2"/>
        <v>0</v>
      </c>
      <c r="P26" s="128"/>
      <c r="Q26" s="128"/>
      <c r="R26" s="128"/>
      <c r="S26" s="26">
        <f t="shared" si="3"/>
        <v>0</v>
      </c>
      <c r="T26" s="25" t="str">
        <f t="shared" si="4"/>
        <v>OK</v>
      </c>
      <c r="U26" s="22"/>
      <c r="V26" s="22"/>
      <c r="W26" s="22"/>
      <c r="X26" s="29"/>
      <c r="Y26" s="24"/>
      <c r="Z26" s="24"/>
      <c r="AA26" s="24"/>
      <c r="AB26" s="22"/>
      <c r="AC26" s="22"/>
      <c r="AD26" s="22"/>
      <c r="AE26" s="22"/>
      <c r="AF26" s="22"/>
      <c r="AG26" s="22"/>
      <c r="AH26" s="22"/>
    </row>
    <row r="27" spans="1:34" ht="30.25" customHeight="1" x14ac:dyDescent="0.35">
      <c r="A27" s="44">
        <v>24</v>
      </c>
      <c r="B27" s="44">
        <v>24</v>
      </c>
      <c r="C27" s="45" t="s">
        <v>32</v>
      </c>
      <c r="D27" s="46" t="s">
        <v>122</v>
      </c>
      <c r="E27" s="48" t="s">
        <v>123</v>
      </c>
      <c r="F27" s="50" t="s">
        <v>20</v>
      </c>
      <c r="G27" s="44" t="s">
        <v>124</v>
      </c>
      <c r="H27" s="44" t="s">
        <v>60</v>
      </c>
      <c r="I27" s="44" t="s">
        <v>6</v>
      </c>
      <c r="J27" s="47">
        <v>13333.33</v>
      </c>
      <c r="K27" s="27">
        <f>0</f>
        <v>0</v>
      </c>
      <c r="L27" s="127">
        <f t="shared" si="0"/>
        <v>0</v>
      </c>
      <c r="M27" s="127">
        <f t="shared" si="1"/>
        <v>0</v>
      </c>
      <c r="N27" s="128"/>
      <c r="O27" s="129">
        <f t="shared" si="2"/>
        <v>0</v>
      </c>
      <c r="P27" s="128"/>
      <c r="Q27" s="128"/>
      <c r="R27" s="128"/>
      <c r="S27" s="26">
        <f t="shared" si="3"/>
        <v>0</v>
      </c>
      <c r="T27" s="25" t="str">
        <f t="shared" si="4"/>
        <v>OK</v>
      </c>
      <c r="U27" s="22"/>
      <c r="V27" s="22"/>
      <c r="W27" s="22"/>
      <c r="X27" s="29"/>
      <c r="Y27" s="24"/>
      <c r="Z27" s="24"/>
      <c r="AA27" s="24"/>
      <c r="AB27" s="22"/>
      <c r="AC27" s="22"/>
      <c r="AD27" s="22"/>
      <c r="AE27" s="22"/>
      <c r="AF27" s="22"/>
      <c r="AG27" s="22"/>
      <c r="AH27" s="22"/>
    </row>
    <row r="28" spans="1:34" ht="30.25" customHeight="1" x14ac:dyDescent="0.35">
      <c r="A28" s="37">
        <v>25</v>
      </c>
      <c r="B28" s="37">
        <v>25</v>
      </c>
      <c r="C28" s="35" t="s">
        <v>125</v>
      </c>
      <c r="D28" s="34" t="s">
        <v>126</v>
      </c>
      <c r="E28" s="41" t="s">
        <v>127</v>
      </c>
      <c r="F28" s="43" t="s">
        <v>24</v>
      </c>
      <c r="G28" s="37" t="s">
        <v>25</v>
      </c>
      <c r="H28" s="37" t="s">
        <v>5</v>
      </c>
      <c r="I28" s="37" t="s">
        <v>26</v>
      </c>
      <c r="J28" s="36">
        <v>1320</v>
      </c>
      <c r="K28" s="27">
        <f>0</f>
        <v>0</v>
      </c>
      <c r="L28" s="127">
        <f t="shared" si="0"/>
        <v>0</v>
      </c>
      <c r="M28" s="127">
        <f t="shared" si="1"/>
        <v>0</v>
      </c>
      <c r="N28" s="128"/>
      <c r="O28" s="129">
        <f t="shared" si="2"/>
        <v>0</v>
      </c>
      <c r="P28" s="128"/>
      <c r="Q28" s="128"/>
      <c r="R28" s="128"/>
      <c r="S28" s="26">
        <f t="shared" si="3"/>
        <v>0</v>
      </c>
      <c r="T28" s="25" t="str">
        <f t="shared" si="4"/>
        <v>OK</v>
      </c>
      <c r="U28" s="22"/>
      <c r="V28" s="22"/>
      <c r="W28" s="22"/>
      <c r="X28" s="29"/>
      <c r="Y28" s="24"/>
      <c r="Z28" s="24"/>
      <c r="AA28" s="24"/>
      <c r="AB28" s="22"/>
      <c r="AC28" s="22"/>
      <c r="AD28" s="22"/>
      <c r="AE28" s="22"/>
      <c r="AF28" s="22"/>
      <c r="AG28" s="22"/>
      <c r="AH28" s="22"/>
    </row>
    <row r="29" spans="1:34" ht="30.25" customHeight="1" x14ac:dyDescent="0.35">
      <c r="A29" s="44">
        <v>26</v>
      </c>
      <c r="B29" s="44">
        <v>26</v>
      </c>
      <c r="C29" s="45" t="s">
        <v>119</v>
      </c>
      <c r="D29" s="46" t="s">
        <v>14</v>
      </c>
      <c r="E29" s="48" t="s">
        <v>128</v>
      </c>
      <c r="F29" s="50" t="s">
        <v>23</v>
      </c>
      <c r="G29" s="44" t="s">
        <v>129</v>
      </c>
      <c r="H29" s="44" t="s">
        <v>5</v>
      </c>
      <c r="I29" s="44" t="s">
        <v>6</v>
      </c>
      <c r="J29" s="47">
        <v>650</v>
      </c>
      <c r="K29" s="27">
        <f>0</f>
        <v>0</v>
      </c>
      <c r="L29" s="127">
        <f t="shared" si="0"/>
        <v>0</v>
      </c>
      <c r="M29" s="127">
        <f t="shared" si="1"/>
        <v>0</v>
      </c>
      <c r="N29" s="128"/>
      <c r="O29" s="129">
        <f t="shared" si="2"/>
        <v>0</v>
      </c>
      <c r="P29" s="128"/>
      <c r="Q29" s="128"/>
      <c r="R29" s="128"/>
      <c r="S29" s="26">
        <f t="shared" si="3"/>
        <v>0</v>
      </c>
      <c r="T29" s="25" t="str">
        <f t="shared" si="4"/>
        <v>OK</v>
      </c>
      <c r="U29" s="22"/>
      <c r="V29" s="22"/>
      <c r="W29" s="22"/>
      <c r="X29" s="22"/>
      <c r="Y29" s="24"/>
      <c r="Z29" s="24"/>
      <c r="AA29" s="24"/>
      <c r="AB29" s="22"/>
      <c r="AC29" s="22"/>
      <c r="AD29" s="22"/>
      <c r="AE29" s="22"/>
      <c r="AF29" s="22"/>
      <c r="AG29" s="22"/>
      <c r="AH29" s="22"/>
    </row>
    <row r="30" spans="1:34" ht="30.25" customHeight="1" x14ac:dyDescent="0.35">
      <c r="A30" s="37">
        <v>27</v>
      </c>
      <c r="B30" s="37">
        <v>27</v>
      </c>
      <c r="C30" s="35" t="s">
        <v>130</v>
      </c>
      <c r="D30" s="34" t="s">
        <v>131</v>
      </c>
      <c r="E30" s="41" t="s">
        <v>132</v>
      </c>
      <c r="F30" s="43" t="s">
        <v>28</v>
      </c>
      <c r="G30" s="37" t="s">
        <v>29</v>
      </c>
      <c r="H30" s="37" t="s">
        <v>8</v>
      </c>
      <c r="I30" s="37" t="s">
        <v>26</v>
      </c>
      <c r="J30" s="36">
        <v>39.78</v>
      </c>
      <c r="K30" s="27">
        <f>0</f>
        <v>0</v>
      </c>
      <c r="L30" s="127">
        <f t="shared" si="0"/>
        <v>0</v>
      </c>
      <c r="M30" s="127">
        <f t="shared" si="1"/>
        <v>0</v>
      </c>
      <c r="N30" s="128"/>
      <c r="O30" s="129">
        <f t="shared" si="2"/>
        <v>0</v>
      </c>
      <c r="P30" s="128"/>
      <c r="Q30" s="128"/>
      <c r="R30" s="128"/>
      <c r="S30" s="26">
        <f t="shared" si="3"/>
        <v>0</v>
      </c>
      <c r="T30" s="25" t="str">
        <f t="shared" si="4"/>
        <v>OK</v>
      </c>
      <c r="U30" s="22"/>
      <c r="V30" s="22"/>
      <c r="W30" s="22"/>
      <c r="X30" s="22"/>
      <c r="Y30" s="24"/>
      <c r="Z30" s="24"/>
      <c r="AA30" s="24"/>
      <c r="AB30" s="22"/>
      <c r="AC30" s="22"/>
      <c r="AD30" s="22"/>
      <c r="AE30" s="22"/>
      <c r="AF30" s="22"/>
      <c r="AG30" s="22"/>
      <c r="AH30" s="22"/>
    </row>
    <row r="31" spans="1:34" ht="30.25" customHeight="1" x14ac:dyDescent="0.35">
      <c r="A31" s="44">
        <v>28</v>
      </c>
      <c r="B31" s="44">
        <v>28</v>
      </c>
      <c r="C31" s="45" t="s">
        <v>133</v>
      </c>
      <c r="D31" s="46" t="s">
        <v>134</v>
      </c>
      <c r="E31" s="48" t="s">
        <v>135</v>
      </c>
      <c r="F31" s="50" t="s">
        <v>136</v>
      </c>
      <c r="G31" s="44" t="s">
        <v>137</v>
      </c>
      <c r="H31" s="44" t="s">
        <v>5</v>
      </c>
      <c r="I31" s="44" t="s">
        <v>6</v>
      </c>
      <c r="J31" s="47">
        <v>2259.91</v>
      </c>
      <c r="K31" s="27">
        <f>0</f>
        <v>0</v>
      </c>
      <c r="L31" s="127">
        <f t="shared" si="0"/>
        <v>0</v>
      </c>
      <c r="M31" s="127">
        <f t="shared" si="1"/>
        <v>0</v>
      </c>
      <c r="N31" s="128"/>
      <c r="O31" s="129">
        <f t="shared" si="2"/>
        <v>0</v>
      </c>
      <c r="P31" s="128"/>
      <c r="Q31" s="128"/>
      <c r="R31" s="128"/>
      <c r="S31" s="26">
        <f t="shared" si="3"/>
        <v>0</v>
      </c>
      <c r="T31" s="25" t="str">
        <f t="shared" si="4"/>
        <v>OK</v>
      </c>
      <c r="U31" s="22"/>
      <c r="V31" s="22"/>
      <c r="W31" s="22"/>
      <c r="X31" s="22"/>
      <c r="Y31" s="24"/>
      <c r="Z31" s="24"/>
      <c r="AA31" s="24"/>
      <c r="AB31" s="22"/>
      <c r="AC31" s="22"/>
      <c r="AD31" s="22"/>
      <c r="AE31" s="22"/>
      <c r="AF31" s="22"/>
      <c r="AG31" s="22"/>
      <c r="AH31" s="22"/>
    </row>
    <row r="32" spans="1:34" ht="30.25" customHeight="1" x14ac:dyDescent="0.35">
      <c r="A32" s="37">
        <v>29</v>
      </c>
      <c r="B32" s="37">
        <v>29</v>
      </c>
      <c r="C32" s="35" t="s">
        <v>138</v>
      </c>
      <c r="D32" s="34" t="s">
        <v>139</v>
      </c>
      <c r="E32" s="41" t="s">
        <v>140</v>
      </c>
      <c r="F32" s="43" t="s">
        <v>136</v>
      </c>
      <c r="G32" s="37" t="s">
        <v>137</v>
      </c>
      <c r="H32" s="37" t="s">
        <v>5</v>
      </c>
      <c r="I32" s="37" t="s">
        <v>6</v>
      </c>
      <c r="J32" s="36">
        <v>3391.3</v>
      </c>
      <c r="K32" s="27">
        <f>0</f>
        <v>0</v>
      </c>
      <c r="L32" s="127">
        <f t="shared" si="0"/>
        <v>0</v>
      </c>
      <c r="M32" s="127">
        <f t="shared" si="1"/>
        <v>0</v>
      </c>
      <c r="N32" s="128"/>
      <c r="O32" s="129">
        <f t="shared" si="2"/>
        <v>0</v>
      </c>
      <c r="P32" s="128"/>
      <c r="Q32" s="128"/>
      <c r="R32" s="128"/>
      <c r="S32" s="26">
        <f t="shared" si="3"/>
        <v>0</v>
      </c>
      <c r="T32" s="25" t="str">
        <f t="shared" si="4"/>
        <v>OK</v>
      </c>
      <c r="U32" s="22"/>
      <c r="V32" s="22"/>
      <c r="W32" s="22"/>
      <c r="X32" s="22"/>
      <c r="Y32" s="24"/>
      <c r="Z32" s="24"/>
      <c r="AA32" s="24"/>
      <c r="AB32" s="22"/>
      <c r="AC32" s="22"/>
      <c r="AD32" s="22"/>
      <c r="AE32" s="22"/>
      <c r="AF32" s="22"/>
      <c r="AG32" s="22"/>
      <c r="AH32" s="22"/>
    </row>
    <row r="33" spans="1:34" ht="30.25" customHeight="1" x14ac:dyDescent="0.35">
      <c r="A33" s="44">
        <v>30</v>
      </c>
      <c r="B33" s="44">
        <v>30</v>
      </c>
      <c r="C33" s="45" t="s">
        <v>141</v>
      </c>
      <c r="D33" s="46" t="s">
        <v>142</v>
      </c>
      <c r="E33" s="48" t="s">
        <v>143</v>
      </c>
      <c r="F33" s="50" t="s">
        <v>136</v>
      </c>
      <c r="G33" s="44" t="s">
        <v>137</v>
      </c>
      <c r="H33" s="44" t="s">
        <v>5</v>
      </c>
      <c r="I33" s="44" t="s">
        <v>6</v>
      </c>
      <c r="J33" s="47">
        <v>9961.5300000000007</v>
      </c>
      <c r="K33" s="27">
        <f>0</f>
        <v>0</v>
      </c>
      <c r="L33" s="127">
        <f t="shared" si="0"/>
        <v>0</v>
      </c>
      <c r="M33" s="127">
        <f t="shared" si="1"/>
        <v>0</v>
      </c>
      <c r="N33" s="128"/>
      <c r="O33" s="129">
        <f t="shared" si="2"/>
        <v>0</v>
      </c>
      <c r="P33" s="128"/>
      <c r="Q33" s="128"/>
      <c r="R33" s="128"/>
      <c r="S33" s="26">
        <f t="shared" si="3"/>
        <v>0</v>
      </c>
      <c r="T33" s="25" t="str">
        <f t="shared" si="4"/>
        <v>OK</v>
      </c>
      <c r="U33" s="22"/>
      <c r="V33" s="22"/>
      <c r="W33" s="22"/>
      <c r="X33" s="22"/>
      <c r="Y33" s="24"/>
      <c r="Z33" s="24"/>
      <c r="AA33" s="24"/>
      <c r="AB33" s="22"/>
      <c r="AC33" s="22"/>
      <c r="AD33" s="22"/>
      <c r="AE33" s="22"/>
      <c r="AF33" s="22"/>
      <c r="AG33" s="22"/>
      <c r="AH33" s="22"/>
    </row>
    <row r="34" spans="1:34" ht="30.25" customHeight="1" x14ac:dyDescent="0.35">
      <c r="A34" s="37">
        <v>31</v>
      </c>
      <c r="B34" s="37">
        <v>31</v>
      </c>
      <c r="C34" s="35" t="s">
        <v>144</v>
      </c>
      <c r="D34" s="34" t="s">
        <v>145</v>
      </c>
      <c r="E34" s="41" t="s">
        <v>146</v>
      </c>
      <c r="F34" s="43" t="s">
        <v>20</v>
      </c>
      <c r="G34" s="37" t="s">
        <v>147</v>
      </c>
      <c r="H34" s="37" t="s">
        <v>60</v>
      </c>
      <c r="I34" s="37">
        <v>44905212</v>
      </c>
      <c r="J34" s="36">
        <v>630</v>
      </c>
      <c r="K34" s="27">
        <f>0</f>
        <v>0</v>
      </c>
      <c r="L34" s="127">
        <f t="shared" si="0"/>
        <v>0</v>
      </c>
      <c r="M34" s="127">
        <f t="shared" si="1"/>
        <v>0</v>
      </c>
      <c r="N34" s="128"/>
      <c r="O34" s="129">
        <f t="shared" si="2"/>
        <v>0</v>
      </c>
      <c r="P34" s="128"/>
      <c r="Q34" s="128"/>
      <c r="R34" s="128"/>
      <c r="S34" s="26">
        <f t="shared" si="3"/>
        <v>0</v>
      </c>
      <c r="T34" s="25" t="str">
        <f t="shared" si="4"/>
        <v>OK</v>
      </c>
      <c r="U34" s="22"/>
      <c r="V34" s="22"/>
      <c r="W34" s="22"/>
      <c r="X34" s="22"/>
      <c r="Y34" s="24"/>
      <c r="Z34" s="24"/>
      <c r="AA34" s="24"/>
      <c r="AB34" s="22"/>
      <c r="AC34" s="22"/>
      <c r="AD34" s="22"/>
      <c r="AE34" s="22"/>
      <c r="AF34" s="22"/>
      <c r="AG34" s="22"/>
      <c r="AH34" s="22"/>
    </row>
    <row r="35" spans="1:34" ht="30.25" customHeight="1" x14ac:dyDescent="0.35">
      <c r="A35" s="44">
        <v>32</v>
      </c>
      <c r="B35" s="44">
        <v>32</v>
      </c>
      <c r="C35" s="45" t="s">
        <v>144</v>
      </c>
      <c r="D35" s="46" t="s">
        <v>148</v>
      </c>
      <c r="E35" s="48" t="s">
        <v>149</v>
      </c>
      <c r="F35" s="50" t="s">
        <v>20</v>
      </c>
      <c r="G35" s="44" t="s">
        <v>147</v>
      </c>
      <c r="H35" s="44" t="s">
        <v>60</v>
      </c>
      <c r="I35" s="44">
        <v>44905212</v>
      </c>
      <c r="J35" s="47">
        <v>1550</v>
      </c>
      <c r="K35" s="27">
        <f>0</f>
        <v>0</v>
      </c>
      <c r="L35" s="127">
        <f t="shared" si="0"/>
        <v>0</v>
      </c>
      <c r="M35" s="127">
        <f t="shared" si="1"/>
        <v>0</v>
      </c>
      <c r="N35" s="128"/>
      <c r="O35" s="129">
        <f t="shared" si="2"/>
        <v>0</v>
      </c>
      <c r="P35" s="128"/>
      <c r="Q35" s="128"/>
      <c r="R35" s="128"/>
      <c r="S35" s="26">
        <f t="shared" si="3"/>
        <v>0</v>
      </c>
      <c r="T35" s="25" t="str">
        <f t="shared" si="4"/>
        <v>OK</v>
      </c>
      <c r="U35" s="22"/>
      <c r="V35" s="22"/>
      <c r="W35" s="22"/>
      <c r="X35" s="22"/>
      <c r="Y35" s="24"/>
      <c r="Z35" s="24"/>
      <c r="AA35" s="24"/>
      <c r="AB35" s="22"/>
      <c r="AC35" s="22"/>
      <c r="AD35" s="22"/>
      <c r="AE35" s="22"/>
      <c r="AF35" s="22"/>
      <c r="AG35" s="22"/>
      <c r="AH35" s="22"/>
    </row>
    <row r="36" spans="1:34" ht="30.25" customHeight="1" x14ac:dyDescent="0.35">
      <c r="A36" s="37">
        <v>33</v>
      </c>
      <c r="B36" s="37">
        <v>33</v>
      </c>
      <c r="C36" s="35" t="s">
        <v>150</v>
      </c>
      <c r="D36" s="34" t="s">
        <v>151</v>
      </c>
      <c r="E36" s="41" t="s">
        <v>152</v>
      </c>
      <c r="F36" s="43" t="s">
        <v>20</v>
      </c>
      <c r="G36" s="37" t="s">
        <v>147</v>
      </c>
      <c r="H36" s="37" t="s">
        <v>60</v>
      </c>
      <c r="I36" s="37">
        <v>44905212</v>
      </c>
      <c r="J36" s="36">
        <v>930</v>
      </c>
      <c r="K36" s="27">
        <f>0</f>
        <v>0</v>
      </c>
      <c r="L36" s="127">
        <f t="shared" si="0"/>
        <v>0</v>
      </c>
      <c r="M36" s="127">
        <f t="shared" si="1"/>
        <v>0</v>
      </c>
      <c r="N36" s="128"/>
      <c r="O36" s="129">
        <f t="shared" si="2"/>
        <v>0</v>
      </c>
      <c r="P36" s="128"/>
      <c r="Q36" s="128"/>
      <c r="R36" s="128"/>
      <c r="S36" s="26">
        <f t="shared" si="3"/>
        <v>0</v>
      </c>
      <c r="T36" s="25" t="str">
        <f t="shared" si="4"/>
        <v>OK</v>
      </c>
      <c r="U36" s="22"/>
      <c r="V36" s="22"/>
      <c r="W36" s="22"/>
      <c r="X36" s="22"/>
      <c r="Y36" s="24"/>
      <c r="Z36" s="24"/>
      <c r="AA36" s="24"/>
      <c r="AB36" s="22"/>
      <c r="AC36" s="22"/>
      <c r="AD36" s="22"/>
      <c r="AE36" s="22"/>
      <c r="AF36" s="22"/>
      <c r="AG36" s="22"/>
      <c r="AH36" s="22"/>
    </row>
    <row r="37" spans="1:34" ht="30.25" customHeight="1" x14ac:dyDescent="0.35">
      <c r="A37" s="44">
        <v>34</v>
      </c>
      <c r="B37" s="44">
        <v>34</v>
      </c>
      <c r="C37" s="45" t="s">
        <v>150</v>
      </c>
      <c r="D37" s="46" t="s">
        <v>153</v>
      </c>
      <c r="E37" s="48" t="s">
        <v>154</v>
      </c>
      <c r="F37" s="50" t="s">
        <v>20</v>
      </c>
      <c r="G37" s="44" t="s">
        <v>147</v>
      </c>
      <c r="H37" s="44" t="s">
        <v>60</v>
      </c>
      <c r="I37" s="44">
        <v>44905212</v>
      </c>
      <c r="J37" s="47">
        <v>2560</v>
      </c>
      <c r="K37" s="27">
        <f>0</f>
        <v>0</v>
      </c>
      <c r="L37" s="127">
        <f t="shared" si="0"/>
        <v>0</v>
      </c>
      <c r="M37" s="127">
        <f t="shared" si="1"/>
        <v>0</v>
      </c>
      <c r="N37" s="128"/>
      <c r="O37" s="129">
        <f t="shared" si="2"/>
        <v>0</v>
      </c>
      <c r="P37" s="128"/>
      <c r="Q37" s="128"/>
      <c r="R37" s="128"/>
      <c r="S37" s="26">
        <f t="shared" si="3"/>
        <v>0</v>
      </c>
      <c r="T37" s="25" t="str">
        <f t="shared" si="4"/>
        <v>OK</v>
      </c>
      <c r="U37" s="22"/>
      <c r="V37" s="22"/>
      <c r="W37" s="22"/>
      <c r="X37" s="22"/>
      <c r="Y37" s="24"/>
      <c r="Z37" s="24"/>
      <c r="AA37" s="24"/>
      <c r="AB37" s="22"/>
      <c r="AC37" s="22"/>
      <c r="AD37" s="22"/>
      <c r="AE37" s="22"/>
      <c r="AF37" s="22"/>
      <c r="AG37" s="22"/>
      <c r="AH37" s="22"/>
    </row>
    <row r="38" spans="1:34" ht="30.25" customHeight="1" x14ac:dyDescent="0.35">
      <c r="A38" s="198" t="s">
        <v>155</v>
      </c>
      <c r="B38" s="37">
        <v>35</v>
      </c>
      <c r="C38" s="195" t="s">
        <v>33</v>
      </c>
      <c r="D38" s="34" t="s">
        <v>27</v>
      </c>
      <c r="E38" s="41" t="s">
        <v>8</v>
      </c>
      <c r="F38" s="42" t="s">
        <v>28</v>
      </c>
      <c r="G38" s="37" t="s">
        <v>29</v>
      </c>
      <c r="H38" s="37" t="s">
        <v>8</v>
      </c>
      <c r="I38" s="37" t="s">
        <v>9</v>
      </c>
      <c r="J38" s="36">
        <v>150.13999999999999</v>
      </c>
      <c r="K38" s="27">
        <f>0</f>
        <v>0</v>
      </c>
      <c r="L38" s="127">
        <f t="shared" si="0"/>
        <v>0</v>
      </c>
      <c r="M38" s="127">
        <f t="shared" si="1"/>
        <v>0</v>
      </c>
      <c r="N38" s="128"/>
      <c r="O38" s="129">
        <f t="shared" si="2"/>
        <v>0</v>
      </c>
      <c r="P38" s="128"/>
      <c r="Q38" s="128"/>
      <c r="R38" s="128"/>
      <c r="S38" s="26">
        <f t="shared" si="3"/>
        <v>0</v>
      </c>
      <c r="T38" s="25" t="str">
        <f t="shared" si="4"/>
        <v>OK</v>
      </c>
      <c r="U38" s="22"/>
      <c r="V38" s="22"/>
      <c r="W38" s="22"/>
      <c r="X38" s="22"/>
      <c r="Y38" s="24"/>
      <c r="Z38" s="24"/>
      <c r="AA38" s="24"/>
      <c r="AB38" s="22"/>
      <c r="AC38" s="22"/>
      <c r="AD38" s="22"/>
      <c r="AE38" s="22"/>
      <c r="AF38" s="22"/>
      <c r="AG38" s="22"/>
      <c r="AH38" s="22"/>
    </row>
    <row r="39" spans="1:34" ht="30.25" customHeight="1" x14ac:dyDescent="0.35">
      <c r="A39" s="199"/>
      <c r="B39" s="37">
        <v>36</v>
      </c>
      <c r="C39" s="196"/>
      <c r="D39" s="34" t="s">
        <v>7</v>
      </c>
      <c r="E39" s="41" t="s">
        <v>8</v>
      </c>
      <c r="F39" s="43" t="s">
        <v>28</v>
      </c>
      <c r="G39" s="37" t="s">
        <v>29</v>
      </c>
      <c r="H39" s="37" t="s">
        <v>8</v>
      </c>
      <c r="I39" s="37" t="s">
        <v>9</v>
      </c>
      <c r="J39" s="36">
        <v>1076</v>
      </c>
      <c r="K39" s="27">
        <f>0</f>
        <v>0</v>
      </c>
      <c r="L39" s="127">
        <f t="shared" si="0"/>
        <v>0</v>
      </c>
      <c r="M39" s="127">
        <f t="shared" si="1"/>
        <v>0</v>
      </c>
      <c r="N39" s="128"/>
      <c r="O39" s="129">
        <f t="shared" si="2"/>
        <v>0</v>
      </c>
      <c r="P39" s="128"/>
      <c r="Q39" s="128"/>
      <c r="R39" s="128"/>
      <c r="S39" s="26">
        <f t="shared" si="3"/>
        <v>0</v>
      </c>
      <c r="T39" s="25" t="str">
        <f t="shared" si="4"/>
        <v>OK</v>
      </c>
      <c r="U39" s="22"/>
      <c r="V39" s="22"/>
      <c r="W39" s="22"/>
      <c r="X39" s="22"/>
      <c r="Y39" s="24"/>
      <c r="Z39" s="24"/>
      <c r="AA39" s="24"/>
      <c r="AB39" s="22"/>
      <c r="AC39" s="22"/>
      <c r="AD39" s="22"/>
      <c r="AE39" s="22"/>
      <c r="AF39" s="22"/>
      <c r="AG39" s="22"/>
      <c r="AH39" s="22"/>
    </row>
    <row r="40" spans="1:34" ht="30.25" customHeight="1" x14ac:dyDescent="0.35">
      <c r="A40" s="199"/>
      <c r="B40" s="37">
        <v>37</v>
      </c>
      <c r="C40" s="196"/>
      <c r="D40" s="34" t="s">
        <v>156</v>
      </c>
      <c r="E40" s="41" t="s">
        <v>8</v>
      </c>
      <c r="F40" s="43" t="s">
        <v>28</v>
      </c>
      <c r="G40" s="37" t="s">
        <v>29</v>
      </c>
      <c r="H40" s="37" t="s">
        <v>34</v>
      </c>
      <c r="I40" s="37" t="s">
        <v>9</v>
      </c>
      <c r="J40" s="36">
        <v>75</v>
      </c>
      <c r="K40" s="27">
        <f>0</f>
        <v>0</v>
      </c>
      <c r="L40" s="127">
        <f t="shared" si="0"/>
        <v>0</v>
      </c>
      <c r="M40" s="127">
        <f t="shared" si="1"/>
        <v>0</v>
      </c>
      <c r="N40" s="128"/>
      <c r="O40" s="129">
        <f t="shared" si="2"/>
        <v>0</v>
      </c>
      <c r="P40" s="128"/>
      <c r="Q40" s="128"/>
      <c r="R40" s="128"/>
      <c r="S40" s="26">
        <f t="shared" si="3"/>
        <v>0</v>
      </c>
      <c r="T40" s="25" t="str">
        <f t="shared" si="4"/>
        <v>OK</v>
      </c>
      <c r="U40" s="22"/>
      <c r="V40" s="22"/>
      <c r="W40" s="22"/>
      <c r="X40" s="22"/>
      <c r="Y40" s="24"/>
      <c r="Z40" s="24"/>
      <c r="AA40" s="24"/>
      <c r="AB40" s="22"/>
      <c r="AC40" s="22"/>
      <c r="AD40" s="22"/>
      <c r="AE40" s="22"/>
      <c r="AF40" s="22"/>
      <c r="AG40" s="22"/>
      <c r="AH40" s="22"/>
    </row>
    <row r="41" spans="1:34" ht="30.25" customHeight="1" x14ac:dyDescent="0.35">
      <c r="A41" s="199"/>
      <c r="B41" s="37">
        <v>38</v>
      </c>
      <c r="C41" s="196"/>
      <c r="D41" s="34" t="s">
        <v>11</v>
      </c>
      <c r="E41" s="41" t="s">
        <v>8</v>
      </c>
      <c r="F41" s="43" t="s">
        <v>28</v>
      </c>
      <c r="G41" s="37" t="s">
        <v>29</v>
      </c>
      <c r="H41" s="37" t="s">
        <v>8</v>
      </c>
      <c r="I41" s="37" t="s">
        <v>9</v>
      </c>
      <c r="J41" s="36">
        <v>1400</v>
      </c>
      <c r="K41" s="27">
        <f>0</f>
        <v>0</v>
      </c>
      <c r="L41" s="127">
        <f t="shared" si="0"/>
        <v>0</v>
      </c>
      <c r="M41" s="127">
        <f t="shared" si="1"/>
        <v>0</v>
      </c>
      <c r="N41" s="128"/>
      <c r="O41" s="129">
        <f t="shared" si="2"/>
        <v>0</v>
      </c>
      <c r="P41" s="128"/>
      <c r="Q41" s="128"/>
      <c r="R41" s="128"/>
      <c r="S41" s="26">
        <f t="shared" si="3"/>
        <v>0</v>
      </c>
      <c r="T41" s="25" t="str">
        <f t="shared" si="4"/>
        <v>OK</v>
      </c>
      <c r="U41" s="22"/>
      <c r="V41" s="22"/>
      <c r="W41" s="22"/>
      <c r="X41" s="22"/>
      <c r="Y41" s="24"/>
      <c r="Z41" s="24"/>
      <c r="AA41" s="24"/>
      <c r="AB41" s="22"/>
      <c r="AC41" s="22"/>
      <c r="AD41" s="22"/>
      <c r="AE41" s="22"/>
      <c r="AF41" s="22"/>
      <c r="AG41" s="22"/>
      <c r="AH41" s="22"/>
    </row>
    <row r="42" spans="1:34" ht="30.25" customHeight="1" x14ac:dyDescent="0.35">
      <c r="A42" s="199"/>
      <c r="B42" s="37">
        <v>39</v>
      </c>
      <c r="C42" s="196"/>
      <c r="D42" s="34" t="s">
        <v>12</v>
      </c>
      <c r="E42" s="41" t="s">
        <v>8</v>
      </c>
      <c r="F42" s="43" t="s">
        <v>28</v>
      </c>
      <c r="G42" s="37" t="s">
        <v>29</v>
      </c>
      <c r="H42" s="37" t="s">
        <v>34</v>
      </c>
      <c r="I42" s="37" t="s">
        <v>9</v>
      </c>
      <c r="J42" s="36">
        <v>75.5</v>
      </c>
      <c r="K42" s="27">
        <f>0</f>
        <v>0</v>
      </c>
      <c r="L42" s="127">
        <f t="shared" si="0"/>
        <v>0</v>
      </c>
      <c r="M42" s="127">
        <f t="shared" si="1"/>
        <v>0</v>
      </c>
      <c r="N42" s="128"/>
      <c r="O42" s="129">
        <f t="shared" si="2"/>
        <v>0</v>
      </c>
      <c r="P42" s="128"/>
      <c r="Q42" s="128"/>
      <c r="R42" s="128"/>
      <c r="S42" s="26">
        <f t="shared" si="3"/>
        <v>0</v>
      </c>
      <c r="T42" s="25" t="str">
        <f t="shared" si="4"/>
        <v>OK</v>
      </c>
      <c r="U42" s="22"/>
      <c r="V42" s="22"/>
      <c r="W42" s="22"/>
      <c r="X42" s="22"/>
      <c r="Y42" s="24"/>
      <c r="Z42" s="24"/>
      <c r="AA42" s="24"/>
      <c r="AB42" s="22"/>
      <c r="AC42" s="22"/>
      <c r="AD42" s="22"/>
      <c r="AE42" s="22"/>
      <c r="AF42" s="22"/>
      <c r="AG42" s="22"/>
      <c r="AH42" s="22"/>
    </row>
    <row r="43" spans="1:34" ht="30.25" customHeight="1" x14ac:dyDescent="0.35">
      <c r="A43" s="199"/>
      <c r="B43" s="37">
        <v>40</v>
      </c>
      <c r="C43" s="196"/>
      <c r="D43" s="34" t="s">
        <v>10</v>
      </c>
      <c r="E43" s="41" t="s">
        <v>8</v>
      </c>
      <c r="F43" s="43" t="s">
        <v>28</v>
      </c>
      <c r="G43" s="37" t="s">
        <v>29</v>
      </c>
      <c r="H43" s="37" t="s">
        <v>8</v>
      </c>
      <c r="I43" s="37" t="s">
        <v>9</v>
      </c>
      <c r="J43" s="36">
        <v>1600</v>
      </c>
      <c r="K43" s="27">
        <f>0</f>
        <v>0</v>
      </c>
      <c r="L43" s="127">
        <f t="shared" si="0"/>
        <v>0</v>
      </c>
      <c r="M43" s="127">
        <f t="shared" si="1"/>
        <v>0</v>
      </c>
      <c r="N43" s="128"/>
      <c r="O43" s="129">
        <f t="shared" si="2"/>
        <v>0</v>
      </c>
      <c r="P43" s="128"/>
      <c r="Q43" s="128"/>
      <c r="R43" s="128"/>
      <c r="S43" s="26">
        <f t="shared" si="3"/>
        <v>0</v>
      </c>
      <c r="T43" s="25" t="str">
        <f t="shared" si="4"/>
        <v>OK</v>
      </c>
      <c r="U43" s="22"/>
      <c r="V43" s="22"/>
      <c r="W43" s="22"/>
      <c r="X43" s="22"/>
      <c r="Y43" s="24"/>
      <c r="Z43" s="24"/>
      <c r="AA43" s="24"/>
      <c r="AB43" s="22"/>
      <c r="AC43" s="22"/>
      <c r="AD43" s="22"/>
      <c r="AE43" s="22"/>
      <c r="AF43" s="22"/>
      <c r="AG43" s="22"/>
      <c r="AH43" s="22"/>
    </row>
    <row r="44" spans="1:34" ht="30.25" customHeight="1" x14ac:dyDescent="0.35">
      <c r="A44" s="199"/>
      <c r="B44" s="37">
        <v>41</v>
      </c>
      <c r="C44" s="196"/>
      <c r="D44" s="34" t="s">
        <v>13</v>
      </c>
      <c r="E44" s="41" t="s">
        <v>8</v>
      </c>
      <c r="F44" s="43" t="s">
        <v>28</v>
      </c>
      <c r="G44" s="37" t="s">
        <v>29</v>
      </c>
      <c r="H44" s="37" t="s">
        <v>34</v>
      </c>
      <c r="I44" s="37" t="s">
        <v>9</v>
      </c>
      <c r="J44" s="36">
        <v>75</v>
      </c>
      <c r="K44" s="27">
        <f>0</f>
        <v>0</v>
      </c>
      <c r="L44" s="127">
        <f t="shared" si="0"/>
        <v>0</v>
      </c>
      <c r="M44" s="127">
        <f t="shared" si="1"/>
        <v>0</v>
      </c>
      <c r="N44" s="128"/>
      <c r="O44" s="129">
        <f t="shared" si="2"/>
        <v>0</v>
      </c>
      <c r="P44" s="128"/>
      <c r="Q44" s="128"/>
      <c r="R44" s="128"/>
      <c r="S44" s="26">
        <f t="shared" si="3"/>
        <v>0</v>
      </c>
      <c r="T44" s="25" t="str">
        <f t="shared" si="4"/>
        <v>OK</v>
      </c>
      <c r="U44" s="22"/>
      <c r="V44" s="22"/>
      <c r="W44" s="22"/>
      <c r="X44" s="22"/>
      <c r="Y44" s="24"/>
      <c r="Z44" s="24"/>
      <c r="AA44" s="24"/>
      <c r="AB44" s="22"/>
      <c r="AC44" s="22"/>
      <c r="AD44" s="22"/>
      <c r="AE44" s="22"/>
      <c r="AF44" s="22"/>
      <c r="AG44" s="22"/>
      <c r="AH44" s="22"/>
    </row>
    <row r="45" spans="1:34" ht="30.25" customHeight="1" x14ac:dyDescent="0.35">
      <c r="A45" s="199"/>
      <c r="B45" s="37">
        <v>42</v>
      </c>
      <c r="C45" s="196"/>
      <c r="D45" s="34" t="s">
        <v>157</v>
      </c>
      <c r="E45" s="41" t="s">
        <v>8</v>
      </c>
      <c r="F45" s="43" t="s">
        <v>28</v>
      </c>
      <c r="G45" s="37" t="s">
        <v>29</v>
      </c>
      <c r="H45" s="37" t="s">
        <v>8</v>
      </c>
      <c r="I45" s="37" t="s">
        <v>9</v>
      </c>
      <c r="J45" s="36">
        <v>350</v>
      </c>
      <c r="K45" s="27">
        <f>0</f>
        <v>0</v>
      </c>
      <c r="L45" s="127">
        <f t="shared" si="0"/>
        <v>0</v>
      </c>
      <c r="M45" s="127">
        <f t="shared" si="1"/>
        <v>0</v>
      </c>
      <c r="N45" s="128"/>
      <c r="O45" s="129">
        <f t="shared" si="2"/>
        <v>0</v>
      </c>
      <c r="P45" s="128"/>
      <c r="Q45" s="128"/>
      <c r="R45" s="128"/>
      <c r="S45" s="26">
        <f t="shared" si="3"/>
        <v>0</v>
      </c>
      <c r="T45" s="25" t="str">
        <f t="shared" si="4"/>
        <v>OK</v>
      </c>
      <c r="U45" s="22"/>
      <c r="V45" s="22"/>
      <c r="W45" s="22"/>
      <c r="X45" s="22"/>
      <c r="Y45" s="24"/>
      <c r="Z45" s="24"/>
      <c r="AA45" s="24"/>
      <c r="AB45" s="22"/>
      <c r="AC45" s="22"/>
      <c r="AD45" s="22"/>
      <c r="AE45" s="22"/>
      <c r="AF45" s="22"/>
      <c r="AG45" s="22"/>
      <c r="AH45" s="22"/>
    </row>
    <row r="46" spans="1:34" ht="30.25" customHeight="1" x14ac:dyDescent="0.35">
      <c r="A46" s="199"/>
      <c r="B46" s="37">
        <v>43</v>
      </c>
      <c r="C46" s="196"/>
      <c r="D46" s="34" t="s">
        <v>30</v>
      </c>
      <c r="E46" s="41" t="s">
        <v>8</v>
      </c>
      <c r="F46" s="43" t="s">
        <v>28</v>
      </c>
      <c r="G46" s="37" t="s">
        <v>29</v>
      </c>
      <c r="H46" s="37" t="s">
        <v>8</v>
      </c>
      <c r="I46" s="37" t="s">
        <v>9</v>
      </c>
      <c r="J46" s="36">
        <v>100.25</v>
      </c>
      <c r="K46" s="27">
        <f>0</f>
        <v>0</v>
      </c>
      <c r="L46" s="127">
        <f t="shared" si="0"/>
        <v>0</v>
      </c>
      <c r="M46" s="127">
        <f t="shared" si="1"/>
        <v>0</v>
      </c>
      <c r="N46" s="128"/>
      <c r="O46" s="129">
        <f t="shared" si="2"/>
        <v>0</v>
      </c>
      <c r="P46" s="128"/>
      <c r="Q46" s="128"/>
      <c r="R46" s="128"/>
      <c r="S46" s="26">
        <f t="shared" si="3"/>
        <v>0</v>
      </c>
      <c r="T46" s="25" t="str">
        <f t="shared" si="4"/>
        <v>OK</v>
      </c>
      <c r="U46" s="22"/>
      <c r="V46" s="22"/>
      <c r="W46" s="22"/>
      <c r="X46" s="22"/>
      <c r="Y46" s="24"/>
      <c r="Z46" s="24"/>
      <c r="AA46" s="24"/>
      <c r="AB46" s="22"/>
      <c r="AC46" s="22"/>
      <c r="AD46" s="22"/>
      <c r="AE46" s="22"/>
      <c r="AF46" s="22"/>
      <c r="AG46" s="22"/>
      <c r="AH46" s="22"/>
    </row>
    <row r="47" spans="1:34" ht="30.25" customHeight="1" x14ac:dyDescent="0.35">
      <c r="A47" s="199"/>
      <c r="B47" s="37">
        <v>44</v>
      </c>
      <c r="C47" s="196"/>
      <c r="D47" s="34" t="s">
        <v>158</v>
      </c>
      <c r="E47" s="41" t="s">
        <v>8</v>
      </c>
      <c r="F47" s="42" t="s">
        <v>28</v>
      </c>
      <c r="G47" s="37" t="s">
        <v>159</v>
      </c>
      <c r="H47" s="37" t="s">
        <v>8</v>
      </c>
      <c r="I47" s="37" t="s">
        <v>9</v>
      </c>
      <c r="J47" s="36">
        <v>1424</v>
      </c>
      <c r="K47" s="27">
        <f>0</f>
        <v>0</v>
      </c>
      <c r="L47" s="127">
        <f t="shared" si="0"/>
        <v>0</v>
      </c>
      <c r="M47" s="127">
        <f t="shared" si="1"/>
        <v>0</v>
      </c>
      <c r="N47" s="128"/>
      <c r="O47" s="129">
        <f t="shared" si="2"/>
        <v>0</v>
      </c>
      <c r="P47" s="128"/>
      <c r="Q47" s="128"/>
      <c r="R47" s="128"/>
      <c r="S47" s="26">
        <f t="shared" si="3"/>
        <v>0</v>
      </c>
      <c r="T47" s="25" t="str">
        <f t="shared" si="4"/>
        <v>OK</v>
      </c>
      <c r="U47" s="22"/>
      <c r="V47" s="22"/>
      <c r="W47" s="22"/>
      <c r="X47" s="22"/>
      <c r="Y47" s="24"/>
      <c r="Z47" s="24"/>
      <c r="AA47" s="24"/>
      <c r="AB47" s="22"/>
      <c r="AC47" s="22"/>
      <c r="AD47" s="22"/>
      <c r="AE47" s="22"/>
      <c r="AF47" s="22"/>
      <c r="AG47" s="22"/>
      <c r="AH47" s="22"/>
    </row>
    <row r="48" spans="1:34" ht="30.25" customHeight="1" x14ac:dyDescent="0.35">
      <c r="A48" s="200"/>
      <c r="B48" s="37">
        <v>45</v>
      </c>
      <c r="C48" s="197"/>
      <c r="D48" s="34" t="s">
        <v>160</v>
      </c>
      <c r="E48" s="41" t="s">
        <v>8</v>
      </c>
      <c r="F48" s="43" t="s">
        <v>28</v>
      </c>
      <c r="G48" s="37" t="s">
        <v>29</v>
      </c>
      <c r="H48" s="37" t="s">
        <v>8</v>
      </c>
      <c r="I48" s="37" t="s">
        <v>9</v>
      </c>
      <c r="J48" s="36">
        <v>2503.0100000000002</v>
      </c>
      <c r="K48" s="27">
        <f>0</f>
        <v>0</v>
      </c>
      <c r="L48" s="127">
        <f t="shared" si="0"/>
        <v>0</v>
      </c>
      <c r="M48" s="127">
        <f t="shared" si="1"/>
        <v>0</v>
      </c>
      <c r="N48" s="128"/>
      <c r="O48" s="129">
        <f t="shared" si="2"/>
        <v>0</v>
      </c>
      <c r="P48" s="128"/>
      <c r="Q48" s="128"/>
      <c r="R48" s="128"/>
      <c r="S48" s="26">
        <f t="shared" si="3"/>
        <v>0</v>
      </c>
      <c r="T48" s="25" t="str">
        <f t="shared" si="4"/>
        <v>OK</v>
      </c>
      <c r="U48" s="22"/>
      <c r="V48" s="22"/>
      <c r="W48" s="22"/>
      <c r="X48" s="22"/>
      <c r="Y48" s="24"/>
      <c r="Z48" s="24"/>
      <c r="AA48" s="24"/>
      <c r="AB48" s="22"/>
      <c r="AC48" s="22"/>
      <c r="AD48" s="22"/>
      <c r="AE48" s="22"/>
      <c r="AF48" s="22"/>
      <c r="AG48" s="22"/>
      <c r="AH48" s="22"/>
    </row>
    <row r="49" spans="1:34" ht="30.25" customHeight="1" x14ac:dyDescent="0.35">
      <c r="A49" s="208" t="s">
        <v>161</v>
      </c>
      <c r="B49" s="44">
        <v>46</v>
      </c>
      <c r="C49" s="205" t="s">
        <v>33</v>
      </c>
      <c r="D49" s="46" t="s">
        <v>27</v>
      </c>
      <c r="E49" s="48" t="s">
        <v>8</v>
      </c>
      <c r="F49" s="50" t="s">
        <v>28</v>
      </c>
      <c r="G49" s="44" t="s">
        <v>29</v>
      </c>
      <c r="H49" s="44" t="s">
        <v>8</v>
      </c>
      <c r="I49" s="44" t="s">
        <v>9</v>
      </c>
      <c r="J49" s="47">
        <v>80</v>
      </c>
      <c r="K49" s="27">
        <f>0</f>
        <v>0</v>
      </c>
      <c r="L49" s="127">
        <f t="shared" si="0"/>
        <v>0</v>
      </c>
      <c r="M49" s="127">
        <f t="shared" si="1"/>
        <v>0</v>
      </c>
      <c r="N49" s="128"/>
      <c r="O49" s="129">
        <f t="shared" si="2"/>
        <v>0</v>
      </c>
      <c r="P49" s="128"/>
      <c r="Q49" s="128"/>
      <c r="R49" s="128"/>
      <c r="S49" s="26">
        <f t="shared" si="3"/>
        <v>0</v>
      </c>
      <c r="T49" s="25" t="str">
        <f t="shared" si="4"/>
        <v>OK</v>
      </c>
      <c r="U49" s="22"/>
      <c r="V49" s="22"/>
      <c r="W49" s="22"/>
      <c r="X49" s="22"/>
      <c r="Y49" s="24"/>
      <c r="Z49" s="24"/>
      <c r="AA49" s="24"/>
      <c r="AB49" s="22"/>
      <c r="AC49" s="22"/>
      <c r="AD49" s="22"/>
      <c r="AE49" s="22"/>
      <c r="AF49" s="22"/>
      <c r="AG49" s="22"/>
      <c r="AH49" s="22"/>
    </row>
    <row r="50" spans="1:34" ht="30.25" customHeight="1" x14ac:dyDescent="0.35">
      <c r="A50" s="209"/>
      <c r="B50" s="44">
        <v>47</v>
      </c>
      <c r="C50" s="206"/>
      <c r="D50" s="46" t="s">
        <v>7</v>
      </c>
      <c r="E50" s="48" t="s">
        <v>8</v>
      </c>
      <c r="F50" s="50" t="s">
        <v>28</v>
      </c>
      <c r="G50" s="44" t="s">
        <v>29</v>
      </c>
      <c r="H50" s="44" t="s">
        <v>8</v>
      </c>
      <c r="I50" s="44" t="s">
        <v>9</v>
      </c>
      <c r="J50" s="47">
        <v>550</v>
      </c>
      <c r="K50" s="27">
        <f>0</f>
        <v>0</v>
      </c>
      <c r="L50" s="127">
        <f t="shared" si="0"/>
        <v>0</v>
      </c>
      <c r="M50" s="127">
        <f t="shared" si="1"/>
        <v>0</v>
      </c>
      <c r="N50" s="128"/>
      <c r="O50" s="129">
        <f t="shared" si="2"/>
        <v>0</v>
      </c>
      <c r="P50" s="128"/>
      <c r="Q50" s="128"/>
      <c r="R50" s="128"/>
      <c r="S50" s="26">
        <f t="shared" si="3"/>
        <v>0</v>
      </c>
      <c r="T50" s="25" t="str">
        <f t="shared" si="4"/>
        <v>OK</v>
      </c>
      <c r="U50" s="22"/>
      <c r="V50" s="22"/>
      <c r="W50" s="22"/>
      <c r="X50" s="22"/>
      <c r="Y50" s="24"/>
      <c r="Z50" s="24"/>
      <c r="AA50" s="24"/>
      <c r="AB50" s="22"/>
      <c r="AC50" s="22"/>
      <c r="AD50" s="22"/>
      <c r="AE50" s="22"/>
      <c r="AF50" s="22"/>
      <c r="AG50" s="22"/>
      <c r="AH50" s="22"/>
    </row>
    <row r="51" spans="1:34" ht="30.25" customHeight="1" x14ac:dyDescent="0.35">
      <c r="A51" s="209"/>
      <c r="B51" s="44">
        <v>48</v>
      </c>
      <c r="C51" s="206"/>
      <c r="D51" s="46" t="s">
        <v>10</v>
      </c>
      <c r="E51" s="48" t="s">
        <v>8</v>
      </c>
      <c r="F51" s="50" t="s">
        <v>28</v>
      </c>
      <c r="G51" s="44" t="s">
        <v>29</v>
      </c>
      <c r="H51" s="44" t="s">
        <v>8</v>
      </c>
      <c r="I51" s="44" t="s">
        <v>9</v>
      </c>
      <c r="J51" s="47">
        <v>850</v>
      </c>
      <c r="K51" s="27">
        <f>0</f>
        <v>0</v>
      </c>
      <c r="L51" s="127">
        <f t="shared" si="0"/>
        <v>0</v>
      </c>
      <c r="M51" s="127">
        <f t="shared" si="1"/>
        <v>0</v>
      </c>
      <c r="N51" s="128"/>
      <c r="O51" s="129">
        <f t="shared" si="2"/>
        <v>0</v>
      </c>
      <c r="P51" s="128"/>
      <c r="Q51" s="128"/>
      <c r="R51" s="128"/>
      <c r="S51" s="26">
        <f t="shared" si="3"/>
        <v>0</v>
      </c>
      <c r="T51" s="25" t="str">
        <f t="shared" si="4"/>
        <v>OK</v>
      </c>
      <c r="U51" s="22"/>
      <c r="V51" s="22"/>
      <c r="W51" s="22"/>
      <c r="X51" s="22"/>
      <c r="Y51" s="24"/>
      <c r="Z51" s="24"/>
      <c r="AA51" s="24"/>
      <c r="AB51" s="22"/>
      <c r="AC51" s="22"/>
      <c r="AD51" s="22"/>
      <c r="AE51" s="22"/>
      <c r="AF51" s="22"/>
      <c r="AG51" s="22"/>
      <c r="AH51" s="22"/>
    </row>
    <row r="52" spans="1:34" ht="30.25" customHeight="1" x14ac:dyDescent="0.35">
      <c r="A52" s="209"/>
      <c r="B52" s="44">
        <v>49</v>
      </c>
      <c r="C52" s="206"/>
      <c r="D52" s="46" t="s">
        <v>11</v>
      </c>
      <c r="E52" s="48" t="s">
        <v>8</v>
      </c>
      <c r="F52" s="50" t="s">
        <v>28</v>
      </c>
      <c r="G52" s="44" t="s">
        <v>29</v>
      </c>
      <c r="H52" s="44" t="s">
        <v>8</v>
      </c>
      <c r="I52" s="44" t="s">
        <v>9</v>
      </c>
      <c r="J52" s="47">
        <v>800</v>
      </c>
      <c r="K52" s="27">
        <f>0</f>
        <v>0</v>
      </c>
      <c r="L52" s="127">
        <f t="shared" si="0"/>
        <v>0</v>
      </c>
      <c r="M52" s="127">
        <f t="shared" si="1"/>
        <v>0</v>
      </c>
      <c r="N52" s="128"/>
      <c r="O52" s="129">
        <f t="shared" si="2"/>
        <v>0</v>
      </c>
      <c r="P52" s="128"/>
      <c r="Q52" s="128"/>
      <c r="R52" s="128"/>
      <c r="S52" s="26">
        <f t="shared" si="3"/>
        <v>0</v>
      </c>
      <c r="T52" s="25" t="str">
        <f t="shared" si="4"/>
        <v>OK</v>
      </c>
      <c r="U52" s="22"/>
      <c r="V52" s="22"/>
      <c r="W52" s="22"/>
      <c r="X52" s="22"/>
      <c r="Y52" s="24"/>
      <c r="Z52" s="24"/>
      <c r="AA52" s="24"/>
      <c r="AB52" s="22"/>
      <c r="AC52" s="22"/>
      <c r="AD52" s="22"/>
      <c r="AE52" s="22"/>
      <c r="AF52" s="22"/>
      <c r="AG52" s="22"/>
      <c r="AH52" s="22"/>
    </row>
    <row r="53" spans="1:34" ht="30.25" customHeight="1" x14ac:dyDescent="0.35">
      <c r="A53" s="209"/>
      <c r="B53" s="44">
        <v>50</v>
      </c>
      <c r="C53" s="206"/>
      <c r="D53" s="46" t="s">
        <v>12</v>
      </c>
      <c r="E53" s="48" t="s">
        <v>8</v>
      </c>
      <c r="F53" s="50" t="s">
        <v>28</v>
      </c>
      <c r="G53" s="44" t="s">
        <v>29</v>
      </c>
      <c r="H53" s="44" t="s">
        <v>34</v>
      </c>
      <c r="I53" s="44" t="s">
        <v>9</v>
      </c>
      <c r="J53" s="47">
        <v>50</v>
      </c>
      <c r="K53" s="27">
        <f>0</f>
        <v>0</v>
      </c>
      <c r="L53" s="127">
        <f t="shared" si="0"/>
        <v>0</v>
      </c>
      <c r="M53" s="127">
        <f t="shared" si="1"/>
        <v>0</v>
      </c>
      <c r="N53" s="128"/>
      <c r="O53" s="129">
        <f t="shared" si="2"/>
        <v>0</v>
      </c>
      <c r="P53" s="128"/>
      <c r="Q53" s="128"/>
      <c r="R53" s="128"/>
      <c r="S53" s="26">
        <f t="shared" si="3"/>
        <v>0</v>
      </c>
      <c r="T53" s="25" t="str">
        <f t="shared" si="4"/>
        <v>OK</v>
      </c>
      <c r="U53" s="22"/>
      <c r="V53" s="22"/>
      <c r="W53" s="22"/>
      <c r="X53" s="22"/>
      <c r="Y53" s="24"/>
      <c r="Z53" s="24"/>
      <c r="AA53" s="24"/>
      <c r="AB53" s="22"/>
      <c r="AC53" s="22"/>
      <c r="AD53" s="22"/>
      <c r="AE53" s="22"/>
      <c r="AF53" s="22"/>
      <c r="AG53" s="22"/>
      <c r="AH53" s="22"/>
    </row>
    <row r="54" spans="1:34" ht="30.25" customHeight="1" x14ac:dyDescent="0.35">
      <c r="A54" s="209"/>
      <c r="B54" s="44">
        <v>51</v>
      </c>
      <c r="C54" s="206"/>
      <c r="D54" s="46" t="s">
        <v>156</v>
      </c>
      <c r="E54" s="48" t="s">
        <v>8</v>
      </c>
      <c r="F54" s="50" t="s">
        <v>28</v>
      </c>
      <c r="G54" s="44" t="s">
        <v>29</v>
      </c>
      <c r="H54" s="44" t="s">
        <v>34</v>
      </c>
      <c r="I54" s="44" t="s">
        <v>9</v>
      </c>
      <c r="J54" s="47">
        <v>50</v>
      </c>
      <c r="K54" s="27">
        <f>0</f>
        <v>0</v>
      </c>
      <c r="L54" s="127">
        <f t="shared" si="0"/>
        <v>0</v>
      </c>
      <c r="M54" s="127">
        <f t="shared" si="1"/>
        <v>0</v>
      </c>
      <c r="N54" s="128"/>
      <c r="O54" s="129">
        <f t="shared" si="2"/>
        <v>0</v>
      </c>
      <c r="P54" s="128"/>
      <c r="Q54" s="128"/>
      <c r="R54" s="128"/>
      <c r="S54" s="26">
        <f t="shared" si="3"/>
        <v>0</v>
      </c>
      <c r="T54" s="25" t="str">
        <f t="shared" si="4"/>
        <v>OK</v>
      </c>
      <c r="U54" s="22"/>
      <c r="V54" s="22"/>
      <c r="W54" s="22"/>
      <c r="X54" s="22"/>
      <c r="Y54" s="24"/>
      <c r="Z54" s="24"/>
      <c r="AA54" s="24"/>
      <c r="AB54" s="22"/>
      <c r="AC54" s="22"/>
      <c r="AD54" s="22"/>
      <c r="AE54" s="22"/>
      <c r="AF54" s="22"/>
      <c r="AG54" s="22"/>
      <c r="AH54" s="22"/>
    </row>
    <row r="55" spans="1:34" ht="30.25" customHeight="1" x14ac:dyDescent="0.35">
      <c r="A55" s="209"/>
      <c r="B55" s="44">
        <v>52</v>
      </c>
      <c r="C55" s="206"/>
      <c r="D55" s="46" t="s">
        <v>13</v>
      </c>
      <c r="E55" s="48" t="s">
        <v>8</v>
      </c>
      <c r="F55" s="50" t="s">
        <v>28</v>
      </c>
      <c r="G55" s="44" t="s">
        <v>29</v>
      </c>
      <c r="H55" s="44" t="s">
        <v>34</v>
      </c>
      <c r="I55" s="44" t="s">
        <v>9</v>
      </c>
      <c r="J55" s="47">
        <v>50</v>
      </c>
      <c r="K55" s="27">
        <f>0</f>
        <v>0</v>
      </c>
      <c r="L55" s="127">
        <f t="shared" si="0"/>
        <v>0</v>
      </c>
      <c r="M55" s="127">
        <f t="shared" si="1"/>
        <v>0</v>
      </c>
      <c r="N55" s="128"/>
      <c r="O55" s="129">
        <f t="shared" si="2"/>
        <v>0</v>
      </c>
      <c r="P55" s="128"/>
      <c r="Q55" s="128"/>
      <c r="R55" s="128"/>
      <c r="S55" s="26">
        <f t="shared" si="3"/>
        <v>0</v>
      </c>
      <c r="T55" s="25" t="str">
        <f t="shared" si="4"/>
        <v>OK</v>
      </c>
      <c r="U55" s="22"/>
      <c r="V55" s="22"/>
      <c r="W55" s="22"/>
      <c r="X55" s="22"/>
      <c r="Y55" s="24"/>
      <c r="Z55" s="24"/>
      <c r="AA55" s="24"/>
      <c r="AB55" s="22"/>
      <c r="AC55" s="22"/>
      <c r="AD55" s="22"/>
      <c r="AE55" s="22"/>
      <c r="AF55" s="22"/>
      <c r="AG55" s="22"/>
      <c r="AH55" s="22"/>
    </row>
    <row r="56" spans="1:34" ht="30.25" customHeight="1" x14ac:dyDescent="0.35">
      <c r="A56" s="209"/>
      <c r="B56" s="44">
        <v>53</v>
      </c>
      <c r="C56" s="206"/>
      <c r="D56" s="46" t="s">
        <v>157</v>
      </c>
      <c r="E56" s="48" t="s">
        <v>8</v>
      </c>
      <c r="F56" s="50" t="s">
        <v>28</v>
      </c>
      <c r="G56" s="44" t="s">
        <v>29</v>
      </c>
      <c r="H56" s="44" t="s">
        <v>8</v>
      </c>
      <c r="I56" s="44" t="s">
        <v>9</v>
      </c>
      <c r="J56" s="47">
        <v>50</v>
      </c>
      <c r="K56" s="27">
        <f>0</f>
        <v>0</v>
      </c>
      <c r="L56" s="127">
        <f t="shared" si="0"/>
        <v>0</v>
      </c>
      <c r="M56" s="127">
        <f t="shared" si="1"/>
        <v>0</v>
      </c>
      <c r="N56" s="128"/>
      <c r="O56" s="129">
        <f t="shared" si="2"/>
        <v>0</v>
      </c>
      <c r="P56" s="128"/>
      <c r="Q56" s="128"/>
      <c r="R56" s="128"/>
      <c r="S56" s="26">
        <f t="shared" si="3"/>
        <v>0</v>
      </c>
      <c r="T56" s="25" t="str">
        <f t="shared" si="4"/>
        <v>OK</v>
      </c>
      <c r="U56" s="22"/>
      <c r="V56" s="22"/>
      <c r="W56" s="22"/>
      <c r="X56" s="22"/>
      <c r="Y56" s="24"/>
      <c r="Z56" s="24"/>
      <c r="AA56" s="24"/>
      <c r="AB56" s="22"/>
      <c r="AC56" s="22"/>
      <c r="AD56" s="22"/>
      <c r="AE56" s="22"/>
      <c r="AF56" s="22"/>
      <c r="AG56" s="22"/>
      <c r="AH56" s="22"/>
    </row>
    <row r="57" spans="1:34" ht="30.25" customHeight="1" x14ac:dyDescent="0.35">
      <c r="A57" s="209"/>
      <c r="B57" s="44">
        <v>54</v>
      </c>
      <c r="C57" s="206"/>
      <c r="D57" s="46" t="s">
        <v>30</v>
      </c>
      <c r="E57" s="48" t="s">
        <v>8</v>
      </c>
      <c r="F57" s="50" t="s">
        <v>28</v>
      </c>
      <c r="G57" s="44" t="s">
        <v>29</v>
      </c>
      <c r="H57" s="44" t="s">
        <v>8</v>
      </c>
      <c r="I57" s="44" t="s">
        <v>9</v>
      </c>
      <c r="J57" s="47">
        <v>80</v>
      </c>
      <c r="K57" s="27">
        <f>0</f>
        <v>0</v>
      </c>
      <c r="L57" s="127">
        <f t="shared" si="0"/>
        <v>0</v>
      </c>
      <c r="M57" s="127">
        <f t="shared" si="1"/>
        <v>0</v>
      </c>
      <c r="N57" s="128"/>
      <c r="O57" s="129">
        <f t="shared" si="2"/>
        <v>0</v>
      </c>
      <c r="P57" s="128"/>
      <c r="Q57" s="128"/>
      <c r="R57" s="128"/>
      <c r="S57" s="26">
        <f t="shared" si="3"/>
        <v>0</v>
      </c>
      <c r="T57" s="25" t="str">
        <f t="shared" si="4"/>
        <v>OK</v>
      </c>
      <c r="U57" s="22"/>
      <c r="V57" s="22"/>
      <c r="W57" s="22"/>
      <c r="X57" s="22"/>
      <c r="Y57" s="24"/>
      <c r="Z57" s="24"/>
      <c r="AA57" s="24"/>
      <c r="AB57" s="22"/>
      <c r="AC57" s="22"/>
      <c r="AD57" s="22"/>
      <c r="AE57" s="22"/>
      <c r="AF57" s="22"/>
      <c r="AG57" s="22"/>
      <c r="AH57" s="22"/>
    </row>
    <row r="58" spans="1:34" ht="30.25" customHeight="1" x14ac:dyDescent="0.35">
      <c r="A58" s="209"/>
      <c r="B58" s="44">
        <v>55</v>
      </c>
      <c r="C58" s="206"/>
      <c r="D58" s="46" t="s">
        <v>162</v>
      </c>
      <c r="E58" s="48" t="s">
        <v>8</v>
      </c>
      <c r="F58" s="50" t="s">
        <v>28</v>
      </c>
      <c r="G58" s="44" t="s">
        <v>159</v>
      </c>
      <c r="H58" s="44" t="s">
        <v>8</v>
      </c>
      <c r="I58" s="44" t="s">
        <v>9</v>
      </c>
      <c r="J58" s="47">
        <v>1114</v>
      </c>
      <c r="K58" s="27">
        <f>0</f>
        <v>0</v>
      </c>
      <c r="L58" s="127">
        <f t="shared" si="0"/>
        <v>0</v>
      </c>
      <c r="M58" s="127">
        <f t="shared" si="1"/>
        <v>0</v>
      </c>
      <c r="N58" s="128"/>
      <c r="O58" s="129">
        <f t="shared" si="2"/>
        <v>0</v>
      </c>
      <c r="P58" s="128"/>
      <c r="Q58" s="128"/>
      <c r="R58" s="128"/>
      <c r="S58" s="26">
        <f t="shared" si="3"/>
        <v>0</v>
      </c>
      <c r="T58" s="25" t="str">
        <f t="shared" si="4"/>
        <v>OK</v>
      </c>
      <c r="U58" s="22"/>
      <c r="V58" s="22"/>
      <c r="W58" s="22"/>
      <c r="X58" s="22"/>
      <c r="Y58" s="24"/>
      <c r="Z58" s="24"/>
      <c r="AA58" s="24"/>
      <c r="AB58" s="22"/>
      <c r="AC58" s="22"/>
      <c r="AD58" s="22"/>
      <c r="AE58" s="22"/>
      <c r="AF58" s="22"/>
      <c r="AG58" s="22"/>
      <c r="AH58" s="22"/>
    </row>
    <row r="59" spans="1:34" ht="30.25" customHeight="1" x14ac:dyDescent="0.35">
      <c r="A59" s="210"/>
      <c r="B59" s="44">
        <v>56</v>
      </c>
      <c r="C59" s="207"/>
      <c r="D59" s="46" t="s">
        <v>160</v>
      </c>
      <c r="E59" s="48" t="s">
        <v>8</v>
      </c>
      <c r="F59" s="50" t="s">
        <v>28</v>
      </c>
      <c r="G59" s="44" t="s">
        <v>29</v>
      </c>
      <c r="H59" s="44" t="s">
        <v>8</v>
      </c>
      <c r="I59" s="44" t="s">
        <v>9</v>
      </c>
      <c r="J59" s="47">
        <v>2000</v>
      </c>
      <c r="K59" s="27">
        <f>0</f>
        <v>0</v>
      </c>
      <c r="L59" s="127">
        <f t="shared" si="0"/>
        <v>0</v>
      </c>
      <c r="M59" s="127">
        <f t="shared" si="1"/>
        <v>0</v>
      </c>
      <c r="N59" s="128"/>
      <c r="O59" s="129">
        <f t="shared" si="2"/>
        <v>0</v>
      </c>
      <c r="P59" s="128"/>
      <c r="Q59" s="128"/>
      <c r="R59" s="128"/>
      <c r="S59" s="26">
        <f t="shared" si="3"/>
        <v>0</v>
      </c>
      <c r="T59" s="25" t="str">
        <f t="shared" si="4"/>
        <v>OK</v>
      </c>
      <c r="U59" s="22"/>
      <c r="V59" s="22"/>
      <c r="W59" s="22"/>
      <c r="X59" s="22"/>
      <c r="Y59" s="24"/>
      <c r="Z59" s="24"/>
      <c r="AA59" s="24"/>
      <c r="AB59" s="22"/>
      <c r="AC59" s="22"/>
      <c r="AD59" s="22"/>
      <c r="AE59" s="22"/>
      <c r="AF59" s="22"/>
      <c r="AG59" s="22"/>
      <c r="AH59" s="22"/>
    </row>
    <row r="60" spans="1:34" ht="30.25" customHeight="1" x14ac:dyDescent="0.35">
      <c r="A60" s="198" t="s">
        <v>163</v>
      </c>
      <c r="B60" s="37">
        <v>57</v>
      </c>
      <c r="C60" s="195" t="s">
        <v>33</v>
      </c>
      <c r="D60" s="34" t="s">
        <v>27</v>
      </c>
      <c r="E60" s="41" t="s">
        <v>8</v>
      </c>
      <c r="F60" s="43" t="s">
        <v>28</v>
      </c>
      <c r="G60" s="37" t="s">
        <v>29</v>
      </c>
      <c r="H60" s="37" t="s">
        <v>8</v>
      </c>
      <c r="I60" s="37" t="s">
        <v>9</v>
      </c>
      <c r="J60" s="36">
        <v>250.5</v>
      </c>
      <c r="K60" s="27">
        <f>0</f>
        <v>0</v>
      </c>
      <c r="L60" s="127">
        <f t="shared" si="0"/>
        <v>0</v>
      </c>
      <c r="M60" s="127">
        <f t="shared" si="1"/>
        <v>0</v>
      </c>
      <c r="N60" s="128"/>
      <c r="O60" s="129">
        <f t="shared" si="2"/>
        <v>0</v>
      </c>
      <c r="P60" s="128"/>
      <c r="Q60" s="128"/>
      <c r="R60" s="128"/>
      <c r="S60" s="26">
        <f t="shared" si="3"/>
        <v>0</v>
      </c>
      <c r="T60" s="25" t="str">
        <f t="shared" si="4"/>
        <v>OK</v>
      </c>
      <c r="U60" s="22"/>
      <c r="V60" s="22"/>
      <c r="W60" s="22"/>
      <c r="X60" s="22"/>
      <c r="Y60" s="24"/>
      <c r="Z60" s="24"/>
      <c r="AA60" s="24"/>
      <c r="AB60" s="22"/>
      <c r="AC60" s="22"/>
      <c r="AD60" s="22"/>
      <c r="AE60" s="22"/>
      <c r="AF60" s="22"/>
      <c r="AG60" s="22"/>
      <c r="AH60" s="22"/>
    </row>
    <row r="61" spans="1:34" ht="30.25" customHeight="1" x14ac:dyDescent="0.35">
      <c r="A61" s="199"/>
      <c r="B61" s="37">
        <v>58</v>
      </c>
      <c r="C61" s="196"/>
      <c r="D61" s="34" t="s">
        <v>7</v>
      </c>
      <c r="E61" s="41" t="s">
        <v>8</v>
      </c>
      <c r="F61" s="43" t="s">
        <v>28</v>
      </c>
      <c r="G61" s="37" t="s">
        <v>29</v>
      </c>
      <c r="H61" s="37" t="s">
        <v>8</v>
      </c>
      <c r="I61" s="37" t="s">
        <v>9</v>
      </c>
      <c r="J61" s="36">
        <v>1000</v>
      </c>
      <c r="K61" s="27">
        <f>10</f>
        <v>10</v>
      </c>
      <c r="L61" s="127">
        <f t="shared" si="0"/>
        <v>0</v>
      </c>
      <c r="M61" s="127">
        <f t="shared" si="1"/>
        <v>0</v>
      </c>
      <c r="N61" s="128"/>
      <c r="O61" s="129">
        <f t="shared" si="2"/>
        <v>2</v>
      </c>
      <c r="P61" s="128"/>
      <c r="Q61" s="128"/>
      <c r="R61" s="128"/>
      <c r="S61" s="26">
        <f t="shared" si="3"/>
        <v>10</v>
      </c>
      <c r="T61" s="25" t="str">
        <f t="shared" si="4"/>
        <v>OK</v>
      </c>
      <c r="U61" s="22"/>
      <c r="V61" s="22"/>
      <c r="W61" s="22"/>
      <c r="X61" s="22"/>
      <c r="Y61" s="24"/>
      <c r="Z61" s="24"/>
      <c r="AA61" s="24"/>
      <c r="AB61" s="22"/>
      <c r="AC61" s="22"/>
      <c r="AD61" s="22"/>
      <c r="AE61" s="22"/>
      <c r="AF61" s="22"/>
      <c r="AG61" s="22"/>
      <c r="AH61" s="22"/>
    </row>
    <row r="62" spans="1:34" ht="30.25" customHeight="1" x14ac:dyDescent="0.35">
      <c r="A62" s="199"/>
      <c r="B62" s="37">
        <v>59</v>
      </c>
      <c r="C62" s="196"/>
      <c r="D62" s="34" t="s">
        <v>10</v>
      </c>
      <c r="E62" s="41" t="s">
        <v>8</v>
      </c>
      <c r="F62" s="43" t="s">
        <v>28</v>
      </c>
      <c r="G62" s="37" t="s">
        <v>29</v>
      </c>
      <c r="H62" s="37" t="s">
        <v>8</v>
      </c>
      <c r="I62" s="37" t="s">
        <v>9</v>
      </c>
      <c r="J62" s="36">
        <v>1500</v>
      </c>
      <c r="K62" s="27">
        <f>0</f>
        <v>0</v>
      </c>
      <c r="L62" s="127">
        <f t="shared" si="0"/>
        <v>0</v>
      </c>
      <c r="M62" s="127">
        <f t="shared" si="1"/>
        <v>0</v>
      </c>
      <c r="N62" s="128"/>
      <c r="O62" s="129">
        <f t="shared" si="2"/>
        <v>0</v>
      </c>
      <c r="P62" s="128"/>
      <c r="Q62" s="128"/>
      <c r="R62" s="128"/>
      <c r="S62" s="26">
        <f t="shared" si="3"/>
        <v>0</v>
      </c>
      <c r="T62" s="25" t="str">
        <f t="shared" si="4"/>
        <v>OK</v>
      </c>
      <c r="U62" s="22"/>
      <c r="V62" s="22"/>
      <c r="W62" s="22"/>
      <c r="X62" s="22"/>
      <c r="Y62" s="24"/>
      <c r="Z62" s="24"/>
      <c r="AA62" s="24"/>
      <c r="AB62" s="22"/>
      <c r="AC62" s="22"/>
      <c r="AD62" s="22"/>
      <c r="AE62" s="22"/>
      <c r="AF62" s="22"/>
      <c r="AG62" s="22"/>
      <c r="AH62" s="22"/>
    </row>
    <row r="63" spans="1:34" ht="30.25" customHeight="1" x14ac:dyDescent="0.35">
      <c r="A63" s="199"/>
      <c r="B63" s="37">
        <v>60</v>
      </c>
      <c r="C63" s="196"/>
      <c r="D63" s="34" t="s">
        <v>11</v>
      </c>
      <c r="E63" s="41" t="s">
        <v>8</v>
      </c>
      <c r="F63" s="43" t="s">
        <v>28</v>
      </c>
      <c r="G63" s="37" t="s">
        <v>29</v>
      </c>
      <c r="H63" s="37" t="s">
        <v>8</v>
      </c>
      <c r="I63" s="37" t="s">
        <v>9</v>
      </c>
      <c r="J63" s="36">
        <v>1731</v>
      </c>
      <c r="K63" s="27">
        <f>0</f>
        <v>0</v>
      </c>
      <c r="L63" s="127">
        <f t="shared" si="0"/>
        <v>0</v>
      </c>
      <c r="M63" s="127">
        <f t="shared" si="1"/>
        <v>0</v>
      </c>
      <c r="N63" s="128"/>
      <c r="O63" s="129">
        <f t="shared" si="2"/>
        <v>0</v>
      </c>
      <c r="P63" s="128"/>
      <c r="Q63" s="128"/>
      <c r="R63" s="128"/>
      <c r="S63" s="26">
        <f t="shared" si="3"/>
        <v>0</v>
      </c>
      <c r="T63" s="25" t="str">
        <f t="shared" si="4"/>
        <v>OK</v>
      </c>
      <c r="U63" s="22"/>
      <c r="V63" s="22"/>
      <c r="W63" s="22"/>
      <c r="X63" s="22"/>
      <c r="Y63" s="24"/>
      <c r="Z63" s="24"/>
      <c r="AA63" s="24"/>
      <c r="AB63" s="22"/>
      <c r="AC63" s="22"/>
      <c r="AD63" s="22"/>
      <c r="AE63" s="22"/>
      <c r="AF63" s="22"/>
      <c r="AG63" s="22"/>
      <c r="AH63" s="22"/>
    </row>
    <row r="64" spans="1:34" ht="30.25" customHeight="1" x14ac:dyDescent="0.35">
      <c r="A64" s="199"/>
      <c r="B64" s="37">
        <v>61</v>
      </c>
      <c r="C64" s="196"/>
      <c r="D64" s="34" t="s">
        <v>12</v>
      </c>
      <c r="E64" s="41" t="s">
        <v>8</v>
      </c>
      <c r="F64" s="43" t="s">
        <v>28</v>
      </c>
      <c r="G64" s="37" t="s">
        <v>29</v>
      </c>
      <c r="H64" s="37" t="s">
        <v>34</v>
      </c>
      <c r="I64" s="37" t="s">
        <v>9</v>
      </c>
      <c r="J64" s="36">
        <v>160</v>
      </c>
      <c r="K64" s="27">
        <f>50</f>
        <v>50</v>
      </c>
      <c r="L64" s="127">
        <f t="shared" si="0"/>
        <v>0</v>
      </c>
      <c r="M64" s="127">
        <f t="shared" si="1"/>
        <v>0</v>
      </c>
      <c r="N64" s="128"/>
      <c r="O64" s="129">
        <f t="shared" si="2"/>
        <v>12</v>
      </c>
      <c r="P64" s="128"/>
      <c r="Q64" s="128"/>
      <c r="R64" s="128"/>
      <c r="S64" s="26">
        <f t="shared" si="3"/>
        <v>50</v>
      </c>
      <c r="T64" s="25" t="str">
        <f t="shared" si="4"/>
        <v>OK</v>
      </c>
      <c r="U64" s="22"/>
      <c r="V64" s="22"/>
      <c r="W64" s="22"/>
      <c r="X64" s="22"/>
      <c r="Y64" s="24"/>
      <c r="Z64" s="24"/>
      <c r="AA64" s="24"/>
      <c r="AB64" s="22"/>
      <c r="AC64" s="22"/>
      <c r="AD64" s="22"/>
      <c r="AE64" s="22"/>
      <c r="AF64" s="22"/>
      <c r="AG64" s="22"/>
      <c r="AH64" s="22"/>
    </row>
    <row r="65" spans="1:34" ht="30.25" customHeight="1" x14ac:dyDescent="0.35">
      <c r="A65" s="199"/>
      <c r="B65" s="37">
        <v>62</v>
      </c>
      <c r="C65" s="196"/>
      <c r="D65" s="34" t="s">
        <v>156</v>
      </c>
      <c r="E65" s="41" t="s">
        <v>8</v>
      </c>
      <c r="F65" s="43" t="s">
        <v>28</v>
      </c>
      <c r="G65" s="37" t="s">
        <v>29</v>
      </c>
      <c r="H65" s="37" t="s">
        <v>34</v>
      </c>
      <c r="I65" s="37" t="s">
        <v>9</v>
      </c>
      <c r="J65" s="36">
        <v>135</v>
      </c>
      <c r="K65" s="27">
        <f>0</f>
        <v>0</v>
      </c>
      <c r="L65" s="127">
        <f t="shared" si="0"/>
        <v>0</v>
      </c>
      <c r="M65" s="127">
        <f t="shared" si="1"/>
        <v>0</v>
      </c>
      <c r="N65" s="128"/>
      <c r="O65" s="129">
        <f t="shared" si="2"/>
        <v>0</v>
      </c>
      <c r="P65" s="128"/>
      <c r="Q65" s="128"/>
      <c r="R65" s="128"/>
      <c r="S65" s="26">
        <f t="shared" si="3"/>
        <v>0</v>
      </c>
      <c r="T65" s="25" t="str">
        <f t="shared" si="4"/>
        <v>OK</v>
      </c>
      <c r="U65" s="22"/>
      <c r="V65" s="22"/>
      <c r="W65" s="22"/>
      <c r="X65" s="22"/>
      <c r="Y65" s="24"/>
      <c r="Z65" s="24"/>
      <c r="AA65" s="24"/>
      <c r="AB65" s="22"/>
      <c r="AC65" s="22"/>
      <c r="AD65" s="22"/>
      <c r="AE65" s="22"/>
      <c r="AF65" s="22"/>
      <c r="AG65" s="22"/>
      <c r="AH65" s="22"/>
    </row>
    <row r="66" spans="1:34" ht="30.25" customHeight="1" x14ac:dyDescent="0.35">
      <c r="A66" s="199"/>
      <c r="B66" s="37">
        <v>63</v>
      </c>
      <c r="C66" s="196"/>
      <c r="D66" s="34" t="s">
        <v>13</v>
      </c>
      <c r="E66" s="41" t="s">
        <v>8</v>
      </c>
      <c r="F66" s="43" t="s">
        <v>28</v>
      </c>
      <c r="G66" s="37" t="s">
        <v>29</v>
      </c>
      <c r="H66" s="37" t="s">
        <v>34</v>
      </c>
      <c r="I66" s="37" t="s">
        <v>9</v>
      </c>
      <c r="J66" s="36">
        <v>135</v>
      </c>
      <c r="K66" s="27">
        <f>0</f>
        <v>0</v>
      </c>
      <c r="L66" s="127">
        <f t="shared" si="0"/>
        <v>0</v>
      </c>
      <c r="M66" s="127">
        <f t="shared" si="1"/>
        <v>0</v>
      </c>
      <c r="N66" s="128"/>
      <c r="O66" s="129">
        <f t="shared" si="2"/>
        <v>0</v>
      </c>
      <c r="P66" s="128"/>
      <c r="Q66" s="128"/>
      <c r="R66" s="128"/>
      <c r="S66" s="26">
        <f t="shared" si="3"/>
        <v>0</v>
      </c>
      <c r="T66" s="25" t="str">
        <f t="shared" si="4"/>
        <v>OK</v>
      </c>
      <c r="U66" s="22"/>
      <c r="V66" s="22"/>
      <c r="W66" s="22"/>
      <c r="X66" s="22"/>
      <c r="Y66" s="24"/>
      <c r="Z66" s="24"/>
      <c r="AA66" s="24"/>
      <c r="AB66" s="22"/>
      <c r="AC66" s="22"/>
      <c r="AD66" s="22"/>
      <c r="AE66" s="22"/>
      <c r="AF66" s="22"/>
      <c r="AG66" s="22"/>
      <c r="AH66" s="22"/>
    </row>
    <row r="67" spans="1:34" ht="30.25" customHeight="1" x14ac:dyDescent="0.35">
      <c r="A67" s="199"/>
      <c r="B67" s="37">
        <v>64</v>
      </c>
      <c r="C67" s="196"/>
      <c r="D67" s="34" t="s">
        <v>157</v>
      </c>
      <c r="E67" s="41" t="s">
        <v>8</v>
      </c>
      <c r="F67" s="43" t="s">
        <v>28</v>
      </c>
      <c r="G67" s="37" t="s">
        <v>29</v>
      </c>
      <c r="H67" s="37" t="s">
        <v>8</v>
      </c>
      <c r="I67" s="37" t="s">
        <v>9</v>
      </c>
      <c r="J67" s="36">
        <v>365</v>
      </c>
      <c r="K67" s="27">
        <f>10</f>
        <v>10</v>
      </c>
      <c r="L67" s="127">
        <f t="shared" si="0"/>
        <v>0</v>
      </c>
      <c r="M67" s="127">
        <f t="shared" si="1"/>
        <v>0</v>
      </c>
      <c r="N67" s="128"/>
      <c r="O67" s="129">
        <f t="shared" si="2"/>
        <v>2</v>
      </c>
      <c r="P67" s="128"/>
      <c r="Q67" s="128"/>
      <c r="R67" s="128"/>
      <c r="S67" s="26">
        <f t="shared" si="3"/>
        <v>10</v>
      </c>
      <c r="T67" s="25" t="str">
        <f t="shared" si="4"/>
        <v>OK</v>
      </c>
      <c r="U67" s="22"/>
      <c r="V67" s="22"/>
      <c r="W67" s="22"/>
      <c r="X67" s="22"/>
      <c r="Y67" s="24"/>
      <c r="Z67" s="24"/>
      <c r="AA67" s="24"/>
      <c r="AB67" s="22"/>
      <c r="AC67" s="22"/>
      <c r="AD67" s="22"/>
      <c r="AE67" s="22"/>
      <c r="AF67" s="22"/>
      <c r="AG67" s="22"/>
      <c r="AH67" s="22"/>
    </row>
    <row r="68" spans="1:34" ht="30.25" customHeight="1" x14ac:dyDescent="0.35">
      <c r="A68" s="200"/>
      <c r="B68" s="37">
        <v>65</v>
      </c>
      <c r="C68" s="197"/>
      <c r="D68" s="34" t="s">
        <v>30</v>
      </c>
      <c r="E68" s="41" t="s">
        <v>8</v>
      </c>
      <c r="F68" s="43" t="s">
        <v>28</v>
      </c>
      <c r="G68" s="37" t="s">
        <v>29</v>
      </c>
      <c r="H68" s="37" t="s">
        <v>8</v>
      </c>
      <c r="I68" s="37" t="s">
        <v>9</v>
      </c>
      <c r="J68" s="36">
        <v>100</v>
      </c>
      <c r="K68" s="27">
        <f>10</f>
        <v>10</v>
      </c>
      <c r="L68" s="127">
        <f t="shared" si="0"/>
        <v>0</v>
      </c>
      <c r="M68" s="127">
        <f t="shared" si="1"/>
        <v>0</v>
      </c>
      <c r="N68" s="128"/>
      <c r="O68" s="129">
        <f t="shared" si="2"/>
        <v>2</v>
      </c>
      <c r="P68" s="128"/>
      <c r="Q68" s="128"/>
      <c r="R68" s="128"/>
      <c r="S68" s="26">
        <f t="shared" si="3"/>
        <v>10</v>
      </c>
      <c r="T68" s="25" t="str">
        <f t="shared" si="4"/>
        <v>OK</v>
      </c>
      <c r="U68" s="22"/>
      <c r="V68" s="22"/>
      <c r="W68" s="22"/>
      <c r="X68" s="22"/>
      <c r="Y68" s="24"/>
      <c r="Z68" s="24"/>
      <c r="AA68" s="24"/>
      <c r="AB68" s="22"/>
      <c r="AC68" s="22"/>
      <c r="AD68" s="22"/>
      <c r="AE68" s="22"/>
      <c r="AF68" s="22"/>
      <c r="AG68" s="22"/>
      <c r="AH68" s="22"/>
    </row>
    <row r="69" spans="1:34" ht="30.25" customHeight="1" x14ac:dyDescent="0.35">
      <c r="A69" s="208" t="s">
        <v>164</v>
      </c>
      <c r="B69" s="44">
        <v>66</v>
      </c>
      <c r="C69" s="205" t="s">
        <v>92</v>
      </c>
      <c r="D69" s="46" t="s">
        <v>27</v>
      </c>
      <c r="E69" s="48" t="s">
        <v>8</v>
      </c>
      <c r="F69" s="50" t="s">
        <v>28</v>
      </c>
      <c r="G69" s="44" t="s">
        <v>29</v>
      </c>
      <c r="H69" s="44" t="s">
        <v>8</v>
      </c>
      <c r="I69" s="44" t="s">
        <v>9</v>
      </c>
      <c r="J69" s="47">
        <v>140</v>
      </c>
      <c r="K69" s="27">
        <f>0</f>
        <v>0</v>
      </c>
      <c r="L69" s="127">
        <f t="shared" ref="L69:L81" si="5">IF(SUM(U69:AL69)&gt;K69+N69,K69+N69,SUM(U69:AL69))</f>
        <v>0</v>
      </c>
      <c r="M69" s="127">
        <f t="shared" ref="M69:M81" si="6">(SUM(U69:AL69))</f>
        <v>0</v>
      </c>
      <c r="N69" s="128"/>
      <c r="O69" s="129">
        <f t="shared" ref="O69:O82" si="7">ROUND(IF(K69*0.25-0.5&lt;0,0,K69*0.25-0.5),0)-R69-P69</f>
        <v>0</v>
      </c>
      <c r="P69" s="128"/>
      <c r="Q69" s="128"/>
      <c r="R69" s="128"/>
      <c r="S69" s="26">
        <f t="shared" ref="S69:S81" si="8">K69-SUM(U69:AH69)+N69</f>
        <v>0</v>
      </c>
      <c r="T69" s="25" t="str">
        <f t="shared" ref="T69:T81" si="9">IF(S69&lt;0,"ATENÇÃO","OK")</f>
        <v>OK</v>
      </c>
      <c r="U69" s="22"/>
      <c r="V69" s="22"/>
      <c r="W69" s="22"/>
      <c r="X69" s="22"/>
      <c r="Y69" s="24"/>
      <c r="Z69" s="24"/>
      <c r="AA69" s="24"/>
      <c r="AB69" s="22"/>
      <c r="AC69" s="22"/>
      <c r="AD69" s="22"/>
      <c r="AE69" s="22"/>
      <c r="AF69" s="22"/>
      <c r="AG69" s="22"/>
      <c r="AH69" s="22"/>
    </row>
    <row r="70" spans="1:34" ht="30.25" customHeight="1" x14ac:dyDescent="0.35">
      <c r="A70" s="209"/>
      <c r="B70" s="44">
        <v>67</v>
      </c>
      <c r="C70" s="206"/>
      <c r="D70" s="46" t="s">
        <v>7</v>
      </c>
      <c r="E70" s="48" t="s">
        <v>8</v>
      </c>
      <c r="F70" s="50" t="s">
        <v>28</v>
      </c>
      <c r="G70" s="44" t="s">
        <v>29</v>
      </c>
      <c r="H70" s="44" t="s">
        <v>8</v>
      </c>
      <c r="I70" s="44" t="s">
        <v>9</v>
      </c>
      <c r="J70" s="47">
        <v>530</v>
      </c>
      <c r="K70" s="27">
        <f>0</f>
        <v>0</v>
      </c>
      <c r="L70" s="127">
        <f t="shared" si="5"/>
        <v>0</v>
      </c>
      <c r="M70" s="127">
        <f t="shared" si="6"/>
        <v>0</v>
      </c>
      <c r="N70" s="128"/>
      <c r="O70" s="129">
        <f t="shared" si="7"/>
        <v>0</v>
      </c>
      <c r="P70" s="128"/>
      <c r="Q70" s="128"/>
      <c r="R70" s="128"/>
      <c r="S70" s="26">
        <f t="shared" si="8"/>
        <v>0</v>
      </c>
      <c r="T70" s="25" t="str">
        <f t="shared" si="9"/>
        <v>OK</v>
      </c>
      <c r="U70" s="22"/>
      <c r="V70" s="22"/>
      <c r="W70" s="22"/>
      <c r="X70" s="22"/>
      <c r="Y70" s="24"/>
      <c r="Z70" s="24"/>
      <c r="AA70" s="24"/>
      <c r="AB70" s="22"/>
      <c r="AC70" s="22"/>
      <c r="AD70" s="22"/>
      <c r="AE70" s="22"/>
      <c r="AF70" s="22"/>
      <c r="AG70" s="22"/>
      <c r="AH70" s="22"/>
    </row>
    <row r="71" spans="1:34" ht="30.25" customHeight="1" x14ac:dyDescent="0.35">
      <c r="A71" s="209"/>
      <c r="B71" s="44">
        <v>68</v>
      </c>
      <c r="C71" s="206"/>
      <c r="D71" s="46" t="s">
        <v>10</v>
      </c>
      <c r="E71" s="48" t="s">
        <v>8</v>
      </c>
      <c r="F71" s="50" t="s">
        <v>28</v>
      </c>
      <c r="G71" s="44" t="s">
        <v>29</v>
      </c>
      <c r="H71" s="44" t="s">
        <v>8</v>
      </c>
      <c r="I71" s="44" t="s">
        <v>9</v>
      </c>
      <c r="J71" s="47">
        <v>660</v>
      </c>
      <c r="K71" s="27">
        <f>0</f>
        <v>0</v>
      </c>
      <c r="L71" s="127">
        <f t="shared" si="5"/>
        <v>0</v>
      </c>
      <c r="M71" s="127">
        <f t="shared" si="6"/>
        <v>0</v>
      </c>
      <c r="N71" s="128"/>
      <c r="O71" s="129">
        <f t="shared" si="7"/>
        <v>0</v>
      </c>
      <c r="P71" s="128"/>
      <c r="Q71" s="128"/>
      <c r="R71" s="128"/>
      <c r="S71" s="26">
        <f t="shared" si="8"/>
        <v>0</v>
      </c>
      <c r="T71" s="25" t="str">
        <f t="shared" si="9"/>
        <v>OK</v>
      </c>
      <c r="U71" s="22"/>
      <c r="V71" s="22"/>
      <c r="W71" s="22"/>
      <c r="X71" s="22"/>
      <c r="Y71" s="24"/>
      <c r="Z71" s="24"/>
      <c r="AA71" s="24"/>
      <c r="AB71" s="22"/>
      <c r="AC71" s="22"/>
      <c r="AD71" s="22"/>
      <c r="AE71" s="22"/>
      <c r="AF71" s="22"/>
      <c r="AG71" s="22"/>
      <c r="AH71" s="22"/>
    </row>
    <row r="72" spans="1:34" ht="30.25" customHeight="1" x14ac:dyDescent="0.35">
      <c r="A72" s="209"/>
      <c r="B72" s="44">
        <v>69</v>
      </c>
      <c r="C72" s="206"/>
      <c r="D72" s="46" t="s">
        <v>11</v>
      </c>
      <c r="E72" s="48" t="s">
        <v>8</v>
      </c>
      <c r="F72" s="50" t="s">
        <v>28</v>
      </c>
      <c r="G72" s="44" t="s">
        <v>29</v>
      </c>
      <c r="H72" s="44" t="s">
        <v>8</v>
      </c>
      <c r="I72" s="44" t="s">
        <v>9</v>
      </c>
      <c r="J72" s="47">
        <v>760</v>
      </c>
      <c r="K72" s="27">
        <f>0</f>
        <v>0</v>
      </c>
      <c r="L72" s="127">
        <f t="shared" si="5"/>
        <v>0</v>
      </c>
      <c r="M72" s="127">
        <f t="shared" si="6"/>
        <v>0</v>
      </c>
      <c r="N72" s="128"/>
      <c r="O72" s="129">
        <f t="shared" si="7"/>
        <v>0</v>
      </c>
      <c r="P72" s="128"/>
      <c r="Q72" s="128"/>
      <c r="R72" s="128"/>
      <c r="S72" s="26">
        <f t="shared" si="8"/>
        <v>0</v>
      </c>
      <c r="T72" s="25" t="str">
        <f t="shared" si="9"/>
        <v>OK</v>
      </c>
      <c r="U72" s="22"/>
      <c r="V72" s="22"/>
      <c r="W72" s="22"/>
      <c r="X72" s="22"/>
      <c r="Y72" s="24"/>
      <c r="Z72" s="24"/>
      <c r="AA72" s="24"/>
      <c r="AB72" s="22"/>
      <c r="AC72" s="22"/>
      <c r="AD72" s="22"/>
      <c r="AE72" s="22"/>
      <c r="AF72" s="22"/>
      <c r="AG72" s="22"/>
      <c r="AH72" s="22"/>
    </row>
    <row r="73" spans="1:34" ht="30.25" customHeight="1" x14ac:dyDescent="0.35">
      <c r="A73" s="209"/>
      <c r="B73" s="44">
        <v>70</v>
      </c>
      <c r="C73" s="206"/>
      <c r="D73" s="46" t="s">
        <v>12</v>
      </c>
      <c r="E73" s="48" t="s">
        <v>8</v>
      </c>
      <c r="F73" s="50" t="s">
        <v>28</v>
      </c>
      <c r="G73" s="44" t="s">
        <v>29</v>
      </c>
      <c r="H73" s="44" t="s">
        <v>34</v>
      </c>
      <c r="I73" s="44" t="s">
        <v>9</v>
      </c>
      <c r="J73" s="47">
        <v>70</v>
      </c>
      <c r="K73" s="27">
        <f>0</f>
        <v>0</v>
      </c>
      <c r="L73" s="127">
        <f t="shared" si="5"/>
        <v>0</v>
      </c>
      <c r="M73" s="127">
        <f t="shared" si="6"/>
        <v>0</v>
      </c>
      <c r="N73" s="128"/>
      <c r="O73" s="129">
        <f t="shared" si="7"/>
        <v>0</v>
      </c>
      <c r="P73" s="128"/>
      <c r="Q73" s="128"/>
      <c r="R73" s="128"/>
      <c r="S73" s="26">
        <f t="shared" si="8"/>
        <v>0</v>
      </c>
      <c r="T73" s="25" t="str">
        <f t="shared" si="9"/>
        <v>OK</v>
      </c>
      <c r="U73" s="22"/>
      <c r="V73" s="22"/>
      <c r="W73" s="22"/>
      <c r="X73" s="22"/>
      <c r="Y73" s="24"/>
      <c r="Z73" s="24"/>
      <c r="AA73" s="24"/>
      <c r="AB73" s="22"/>
      <c r="AC73" s="22"/>
      <c r="AD73" s="22"/>
      <c r="AE73" s="22"/>
      <c r="AF73" s="22"/>
      <c r="AG73" s="22"/>
      <c r="AH73" s="22"/>
    </row>
    <row r="74" spans="1:34" ht="30.25" customHeight="1" x14ac:dyDescent="0.35">
      <c r="A74" s="209"/>
      <c r="B74" s="44">
        <v>71</v>
      </c>
      <c r="C74" s="206"/>
      <c r="D74" s="46" t="s">
        <v>156</v>
      </c>
      <c r="E74" s="48" t="s">
        <v>8</v>
      </c>
      <c r="F74" s="50" t="s">
        <v>28</v>
      </c>
      <c r="G74" s="44" t="s">
        <v>29</v>
      </c>
      <c r="H74" s="44" t="s">
        <v>34</v>
      </c>
      <c r="I74" s="44" t="s">
        <v>9</v>
      </c>
      <c r="J74" s="47">
        <v>75</v>
      </c>
      <c r="K74" s="27">
        <f>0</f>
        <v>0</v>
      </c>
      <c r="L74" s="127">
        <f t="shared" si="5"/>
        <v>0</v>
      </c>
      <c r="M74" s="127">
        <f t="shared" si="6"/>
        <v>0</v>
      </c>
      <c r="N74" s="128"/>
      <c r="O74" s="129">
        <f t="shared" si="7"/>
        <v>0</v>
      </c>
      <c r="P74" s="128"/>
      <c r="Q74" s="128"/>
      <c r="R74" s="128"/>
      <c r="S74" s="26">
        <f t="shared" si="8"/>
        <v>0</v>
      </c>
      <c r="T74" s="25" t="str">
        <f t="shared" si="9"/>
        <v>OK</v>
      </c>
      <c r="U74" s="22"/>
      <c r="V74" s="22"/>
      <c r="W74" s="22"/>
      <c r="X74" s="22"/>
      <c r="Y74" s="24"/>
      <c r="Z74" s="24"/>
      <c r="AA74" s="24"/>
      <c r="AB74" s="22"/>
      <c r="AC74" s="22"/>
      <c r="AD74" s="22"/>
      <c r="AE74" s="22"/>
      <c r="AF74" s="22"/>
      <c r="AG74" s="22"/>
      <c r="AH74" s="22"/>
    </row>
    <row r="75" spans="1:34" ht="30.25" customHeight="1" x14ac:dyDescent="0.35">
      <c r="A75" s="209"/>
      <c r="B75" s="44">
        <v>72</v>
      </c>
      <c r="C75" s="206"/>
      <c r="D75" s="46" t="s">
        <v>13</v>
      </c>
      <c r="E75" s="48" t="s">
        <v>8</v>
      </c>
      <c r="F75" s="50" t="s">
        <v>28</v>
      </c>
      <c r="G75" s="44" t="s">
        <v>29</v>
      </c>
      <c r="H75" s="44" t="s">
        <v>34</v>
      </c>
      <c r="I75" s="44" t="s">
        <v>9</v>
      </c>
      <c r="J75" s="47">
        <v>80</v>
      </c>
      <c r="K75" s="27">
        <f>0</f>
        <v>0</v>
      </c>
      <c r="L75" s="127">
        <f t="shared" si="5"/>
        <v>0</v>
      </c>
      <c r="M75" s="127">
        <f t="shared" si="6"/>
        <v>0</v>
      </c>
      <c r="N75" s="128"/>
      <c r="O75" s="129">
        <f t="shared" si="7"/>
        <v>0</v>
      </c>
      <c r="P75" s="128"/>
      <c r="Q75" s="128"/>
      <c r="R75" s="128"/>
      <c r="S75" s="26">
        <f t="shared" si="8"/>
        <v>0</v>
      </c>
      <c r="T75" s="25" t="str">
        <f t="shared" si="9"/>
        <v>OK</v>
      </c>
      <c r="U75" s="22"/>
      <c r="V75" s="22"/>
      <c r="W75" s="22"/>
      <c r="X75" s="22"/>
      <c r="Y75" s="24"/>
      <c r="Z75" s="24"/>
      <c r="AA75" s="24"/>
      <c r="AB75" s="22"/>
      <c r="AC75" s="22"/>
      <c r="AD75" s="22"/>
      <c r="AE75" s="22"/>
      <c r="AF75" s="22"/>
      <c r="AG75" s="22"/>
      <c r="AH75" s="22"/>
    </row>
    <row r="76" spans="1:34" ht="30.25" customHeight="1" x14ac:dyDescent="0.35">
      <c r="A76" s="209"/>
      <c r="B76" s="44">
        <v>73</v>
      </c>
      <c r="C76" s="206"/>
      <c r="D76" s="46" t="s">
        <v>157</v>
      </c>
      <c r="E76" s="48" t="s">
        <v>8</v>
      </c>
      <c r="F76" s="50" t="s">
        <v>28</v>
      </c>
      <c r="G76" s="44" t="s">
        <v>29</v>
      </c>
      <c r="H76" s="44" t="s">
        <v>8</v>
      </c>
      <c r="I76" s="44" t="s">
        <v>9</v>
      </c>
      <c r="J76" s="47">
        <v>150</v>
      </c>
      <c r="K76" s="27">
        <f>0</f>
        <v>0</v>
      </c>
      <c r="L76" s="127">
        <f t="shared" si="5"/>
        <v>0</v>
      </c>
      <c r="M76" s="127">
        <f t="shared" si="6"/>
        <v>0</v>
      </c>
      <c r="N76" s="128"/>
      <c r="O76" s="129">
        <f t="shared" si="7"/>
        <v>0</v>
      </c>
      <c r="P76" s="128"/>
      <c r="Q76" s="128"/>
      <c r="R76" s="128"/>
      <c r="S76" s="26">
        <f t="shared" si="8"/>
        <v>0</v>
      </c>
      <c r="T76" s="25" t="str">
        <f t="shared" si="9"/>
        <v>OK</v>
      </c>
      <c r="U76" s="22"/>
      <c r="V76" s="22"/>
      <c r="W76" s="22"/>
      <c r="X76" s="22"/>
      <c r="Y76" s="24"/>
      <c r="Z76" s="24"/>
      <c r="AA76" s="24"/>
      <c r="AB76" s="22"/>
      <c r="AC76" s="22"/>
      <c r="AD76" s="22"/>
      <c r="AE76" s="22"/>
      <c r="AF76" s="22"/>
      <c r="AG76" s="22"/>
      <c r="AH76" s="22"/>
    </row>
    <row r="77" spans="1:34" ht="30.25" customHeight="1" x14ac:dyDescent="0.35">
      <c r="A77" s="209"/>
      <c r="B77" s="44">
        <v>74</v>
      </c>
      <c r="C77" s="206"/>
      <c r="D77" s="46" t="s">
        <v>30</v>
      </c>
      <c r="E77" s="48" t="s">
        <v>8</v>
      </c>
      <c r="F77" s="50" t="s">
        <v>28</v>
      </c>
      <c r="G77" s="44" t="s">
        <v>29</v>
      </c>
      <c r="H77" s="44" t="s">
        <v>8</v>
      </c>
      <c r="I77" s="44" t="s">
        <v>9</v>
      </c>
      <c r="J77" s="47">
        <v>150</v>
      </c>
      <c r="K77" s="27">
        <f>0</f>
        <v>0</v>
      </c>
      <c r="L77" s="127">
        <f t="shared" si="5"/>
        <v>0</v>
      </c>
      <c r="M77" s="127">
        <f t="shared" si="6"/>
        <v>0</v>
      </c>
      <c r="N77" s="128"/>
      <c r="O77" s="129">
        <f t="shared" si="7"/>
        <v>0</v>
      </c>
      <c r="P77" s="128"/>
      <c r="Q77" s="128"/>
      <c r="R77" s="128"/>
      <c r="S77" s="26">
        <f t="shared" si="8"/>
        <v>0</v>
      </c>
      <c r="T77" s="25" t="str">
        <f t="shared" si="9"/>
        <v>OK</v>
      </c>
      <c r="U77" s="22"/>
      <c r="V77" s="22"/>
      <c r="W77" s="22"/>
      <c r="X77" s="22"/>
      <c r="Y77" s="24"/>
      <c r="Z77" s="24"/>
      <c r="AA77" s="24"/>
      <c r="AB77" s="22"/>
      <c r="AC77" s="22"/>
      <c r="AD77" s="22"/>
      <c r="AE77" s="22"/>
      <c r="AF77" s="22"/>
      <c r="AG77" s="22"/>
      <c r="AH77" s="22"/>
    </row>
    <row r="78" spans="1:34" ht="30.25" customHeight="1" x14ac:dyDescent="0.35">
      <c r="A78" s="210"/>
      <c r="B78" s="44">
        <v>75</v>
      </c>
      <c r="C78" s="207"/>
      <c r="D78" s="46" t="s">
        <v>165</v>
      </c>
      <c r="E78" s="48" t="s">
        <v>8</v>
      </c>
      <c r="F78" s="50" t="s">
        <v>28</v>
      </c>
      <c r="G78" s="44" t="s">
        <v>29</v>
      </c>
      <c r="H78" s="44" t="s">
        <v>8</v>
      </c>
      <c r="I78" s="44" t="s">
        <v>9</v>
      </c>
      <c r="J78" s="47">
        <v>300</v>
      </c>
      <c r="K78" s="27">
        <f>0</f>
        <v>0</v>
      </c>
      <c r="L78" s="127">
        <f t="shared" si="5"/>
        <v>0</v>
      </c>
      <c r="M78" s="127">
        <f t="shared" si="6"/>
        <v>0</v>
      </c>
      <c r="N78" s="128"/>
      <c r="O78" s="129">
        <f t="shared" si="7"/>
        <v>0</v>
      </c>
      <c r="P78" s="128"/>
      <c r="Q78" s="128"/>
      <c r="R78" s="128"/>
      <c r="S78" s="26">
        <f t="shared" si="8"/>
        <v>0</v>
      </c>
      <c r="T78" s="25" t="str">
        <f t="shared" si="9"/>
        <v>OK</v>
      </c>
      <c r="U78" s="22"/>
      <c r="V78" s="22"/>
      <c r="W78" s="22"/>
      <c r="X78" s="22"/>
      <c r="Y78" s="24"/>
      <c r="Z78" s="24"/>
      <c r="AA78" s="24"/>
      <c r="AB78" s="22"/>
      <c r="AC78" s="22"/>
      <c r="AD78" s="22"/>
      <c r="AE78" s="22"/>
      <c r="AF78" s="22"/>
      <c r="AG78" s="22"/>
      <c r="AH78" s="22"/>
    </row>
    <row r="79" spans="1:34" ht="30.25" customHeight="1" x14ac:dyDescent="0.35">
      <c r="A79" s="198" t="s">
        <v>166</v>
      </c>
      <c r="B79" s="37">
        <v>76</v>
      </c>
      <c r="C79" s="195" t="s">
        <v>33</v>
      </c>
      <c r="D79" s="34" t="s">
        <v>7</v>
      </c>
      <c r="E79" s="41" t="s">
        <v>8</v>
      </c>
      <c r="F79" s="43" t="s">
        <v>28</v>
      </c>
      <c r="G79" s="37" t="s">
        <v>29</v>
      </c>
      <c r="H79" s="37" t="s">
        <v>8</v>
      </c>
      <c r="I79" s="37" t="s">
        <v>9</v>
      </c>
      <c r="J79" s="36">
        <v>1001</v>
      </c>
      <c r="K79" s="27">
        <f>0</f>
        <v>0</v>
      </c>
      <c r="L79" s="127">
        <f t="shared" si="5"/>
        <v>0</v>
      </c>
      <c r="M79" s="127">
        <f t="shared" si="6"/>
        <v>0</v>
      </c>
      <c r="N79" s="128"/>
      <c r="O79" s="129">
        <f t="shared" si="7"/>
        <v>0</v>
      </c>
      <c r="P79" s="128"/>
      <c r="Q79" s="128"/>
      <c r="R79" s="128"/>
      <c r="S79" s="26">
        <f t="shared" si="8"/>
        <v>0</v>
      </c>
      <c r="T79" s="25" t="str">
        <f t="shared" si="9"/>
        <v>OK</v>
      </c>
      <c r="U79" s="22"/>
      <c r="V79" s="22"/>
      <c r="W79" s="22"/>
      <c r="X79" s="22"/>
      <c r="Y79" s="24"/>
      <c r="Z79" s="24"/>
      <c r="AA79" s="24"/>
      <c r="AB79" s="22"/>
      <c r="AC79" s="22"/>
      <c r="AD79" s="22"/>
      <c r="AE79" s="22"/>
      <c r="AF79" s="22"/>
      <c r="AG79" s="22"/>
      <c r="AH79" s="22"/>
    </row>
    <row r="80" spans="1:34" ht="30.25" customHeight="1" x14ac:dyDescent="0.35">
      <c r="A80" s="199"/>
      <c r="B80" s="37">
        <v>77</v>
      </c>
      <c r="C80" s="196"/>
      <c r="D80" s="34" t="s">
        <v>12</v>
      </c>
      <c r="E80" s="41" t="s">
        <v>8</v>
      </c>
      <c r="F80" s="43" t="s">
        <v>28</v>
      </c>
      <c r="G80" s="37" t="s">
        <v>29</v>
      </c>
      <c r="H80" s="37" t="s">
        <v>34</v>
      </c>
      <c r="I80" s="37" t="s">
        <v>9</v>
      </c>
      <c r="J80" s="36">
        <v>130</v>
      </c>
      <c r="K80" s="27">
        <f>0</f>
        <v>0</v>
      </c>
      <c r="L80" s="127">
        <f t="shared" si="5"/>
        <v>0</v>
      </c>
      <c r="M80" s="127">
        <f t="shared" si="6"/>
        <v>0</v>
      </c>
      <c r="N80" s="128"/>
      <c r="O80" s="129">
        <f t="shared" si="7"/>
        <v>0</v>
      </c>
      <c r="P80" s="128"/>
      <c r="Q80" s="128"/>
      <c r="R80" s="128"/>
      <c r="S80" s="26">
        <f t="shared" si="8"/>
        <v>0</v>
      </c>
      <c r="T80" s="25" t="str">
        <f t="shared" si="9"/>
        <v>OK</v>
      </c>
      <c r="U80" s="22"/>
      <c r="V80" s="22"/>
      <c r="W80" s="22"/>
      <c r="X80" s="22"/>
      <c r="Y80" s="24"/>
      <c r="Z80" s="24"/>
      <c r="AA80" s="24"/>
      <c r="AB80" s="22"/>
      <c r="AC80" s="22"/>
      <c r="AD80" s="22"/>
      <c r="AE80" s="22"/>
      <c r="AF80" s="22"/>
      <c r="AG80" s="22"/>
      <c r="AH80" s="22"/>
    </row>
    <row r="81" spans="1:34" ht="30.25" customHeight="1" x14ac:dyDescent="0.35">
      <c r="A81" s="200"/>
      <c r="B81" s="37">
        <v>78</v>
      </c>
      <c r="C81" s="197"/>
      <c r="D81" s="34" t="s">
        <v>157</v>
      </c>
      <c r="E81" s="41" t="s">
        <v>8</v>
      </c>
      <c r="F81" s="43" t="s">
        <v>28</v>
      </c>
      <c r="G81" s="37" t="s">
        <v>29</v>
      </c>
      <c r="H81" s="37" t="s">
        <v>8</v>
      </c>
      <c r="I81" s="37" t="s">
        <v>9</v>
      </c>
      <c r="J81" s="36">
        <v>200</v>
      </c>
      <c r="K81" s="27">
        <f>0</f>
        <v>0</v>
      </c>
      <c r="L81" s="127">
        <f t="shared" si="5"/>
        <v>0</v>
      </c>
      <c r="M81" s="127">
        <f t="shared" si="6"/>
        <v>0</v>
      </c>
      <c r="N81" s="128"/>
      <c r="O81" s="129">
        <f t="shared" si="7"/>
        <v>0</v>
      </c>
      <c r="P81" s="128"/>
      <c r="Q81" s="128"/>
      <c r="R81" s="128"/>
      <c r="S81" s="26">
        <f t="shared" si="8"/>
        <v>0</v>
      </c>
      <c r="T81" s="25" t="str">
        <f t="shared" si="9"/>
        <v>OK</v>
      </c>
      <c r="U81" s="22"/>
      <c r="V81" s="22"/>
      <c r="W81" s="22"/>
      <c r="X81" s="22"/>
      <c r="Y81" s="24"/>
      <c r="Z81" s="24"/>
      <c r="AA81" s="24"/>
      <c r="AB81" s="22"/>
      <c r="AC81" s="22"/>
      <c r="AD81" s="22"/>
      <c r="AE81" s="22"/>
      <c r="AF81" s="22"/>
      <c r="AG81" s="22"/>
      <c r="AH81" s="22"/>
    </row>
    <row r="82" spans="1:34" ht="15" thickBot="1" x14ac:dyDescent="0.4">
      <c r="K82" s="4">
        <f>SUM(K4:K81)</f>
        <v>98</v>
      </c>
      <c r="N82" s="132"/>
      <c r="O82" s="132">
        <f t="shared" si="7"/>
        <v>24</v>
      </c>
      <c r="P82" s="132"/>
      <c r="Q82" s="132"/>
      <c r="R82" s="132"/>
      <c r="S82" s="12">
        <f>SUM(S4:S81)</f>
        <v>98</v>
      </c>
      <c r="U82" s="30">
        <f t="shared" ref="U82:AH82" si="10">SUMPRODUCT($J$4:$J$81,U4:U81)</f>
        <v>0</v>
      </c>
      <c r="V82" s="30">
        <f t="shared" si="10"/>
        <v>0</v>
      </c>
      <c r="W82" s="30">
        <f t="shared" si="10"/>
        <v>0</v>
      </c>
      <c r="X82" s="30">
        <f t="shared" si="10"/>
        <v>0</v>
      </c>
      <c r="Y82" s="30">
        <f t="shared" si="10"/>
        <v>0</v>
      </c>
      <c r="Z82" s="30">
        <f t="shared" si="10"/>
        <v>0</v>
      </c>
      <c r="AA82" s="30">
        <f t="shared" si="10"/>
        <v>0</v>
      </c>
      <c r="AB82" s="30">
        <f t="shared" si="10"/>
        <v>0</v>
      </c>
      <c r="AC82" s="30">
        <f t="shared" si="10"/>
        <v>0</v>
      </c>
      <c r="AD82" s="30">
        <f t="shared" si="10"/>
        <v>0</v>
      </c>
      <c r="AE82" s="30">
        <f t="shared" si="10"/>
        <v>0</v>
      </c>
      <c r="AF82" s="30">
        <f t="shared" si="10"/>
        <v>0</v>
      </c>
      <c r="AG82" s="30">
        <f t="shared" si="10"/>
        <v>0</v>
      </c>
      <c r="AH82" s="30">
        <f t="shared" si="10"/>
        <v>0</v>
      </c>
    </row>
    <row r="83" spans="1:34" ht="14.5" x14ac:dyDescent="0.35">
      <c r="D83" s="31" t="s">
        <v>53</v>
      </c>
      <c r="K83" s="132">
        <f>SUMPRODUCT($J$4:$J$81,K4:K81)</f>
        <v>64671.78</v>
      </c>
      <c r="L83" s="132">
        <f>SUMPRODUCT($J$4:$J$81,L4:L81)</f>
        <v>0</v>
      </c>
      <c r="M83" s="132">
        <f>SUMPRODUCT($J$4:$J$81,M4:M81)</f>
        <v>0</v>
      </c>
      <c r="R83" s="126"/>
    </row>
    <row r="84" spans="1:34" ht="58" x14ac:dyDescent="0.35">
      <c r="D84" s="32" t="s">
        <v>54</v>
      </c>
      <c r="R84" s="125"/>
    </row>
    <row r="85" spans="1:34" ht="44" thickBot="1" x14ac:dyDescent="0.4">
      <c r="D85" s="33" t="s">
        <v>55</v>
      </c>
      <c r="R85" s="125"/>
    </row>
    <row r="86" spans="1:34" ht="14.5" x14ac:dyDescent="0.35"/>
    <row r="87" spans="1:34" ht="14.5" x14ac:dyDescent="0.35"/>
    <row r="88" spans="1:34" ht="14.5" x14ac:dyDescent="0.35"/>
    <row r="89" spans="1:34" ht="14.5" x14ac:dyDescent="0.35"/>
    <row r="90" spans="1:34" ht="14.5" x14ac:dyDescent="0.35"/>
    <row r="91" spans="1:34" ht="14.5" x14ac:dyDescent="0.35"/>
    <row r="92" spans="1:34" ht="14.5" x14ac:dyDescent="0.35"/>
  </sheetData>
  <mergeCells count="29">
    <mergeCell ref="A69:A78"/>
    <mergeCell ref="C69:C78"/>
    <mergeCell ref="A79:A81"/>
    <mergeCell ref="C79:C81"/>
    <mergeCell ref="A38:A48"/>
    <mergeCell ref="C38:C48"/>
    <mergeCell ref="A49:A59"/>
    <mergeCell ref="C49:C59"/>
    <mergeCell ref="A60:A68"/>
    <mergeCell ref="C60:C68"/>
    <mergeCell ref="AD1:AD2"/>
    <mergeCell ref="AE1:AE2"/>
    <mergeCell ref="AF1:AF2"/>
    <mergeCell ref="AG1:AG2"/>
    <mergeCell ref="AH1:AH2"/>
    <mergeCell ref="AA1:AA2"/>
    <mergeCell ref="AB1:AB2"/>
    <mergeCell ref="AC1:AC2"/>
    <mergeCell ref="A1:C1"/>
    <mergeCell ref="D1:J1"/>
    <mergeCell ref="K1:T1"/>
    <mergeCell ref="U1:U2"/>
    <mergeCell ref="V1:V2"/>
    <mergeCell ref="W1:W2"/>
    <mergeCell ref="A2:J2"/>
    <mergeCell ref="K2:T2"/>
    <mergeCell ref="X1:X2"/>
    <mergeCell ref="Y1:Y2"/>
    <mergeCell ref="Z1:Z2"/>
  </mergeCells>
  <conditionalFormatting sqref="T1 T3:T1048576">
    <cfRule type="cellIs" dxfId="26" priority="2" operator="equal">
      <formula>"ATENÇÃO"</formula>
    </cfRule>
  </conditionalFormatting>
  <conditionalFormatting sqref="U4:AH81">
    <cfRule type="cellIs" dxfId="25" priority="1" operator="greaterThan">
      <formula>0</formula>
    </cfRule>
  </conditionalFormatting>
  <pageMargins left="0.511811024" right="0.511811024" top="0.78740157499999996" bottom="0.78740157499999996" header="0.31496062000000002" footer="0.31496062000000002"/>
  <pageSetup paperSize="9" scale="60" orientation="landscape" r:id="rId1"/>
  <colBreaks count="1" manualBreakCount="1">
    <brk id="24" max="1048575" man="1"/>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5BE75-3898-496A-A5B3-18C93CEF98F7}">
  <dimension ref="A1:AG92"/>
  <sheetViews>
    <sheetView topLeftCell="A36" zoomScale="80" zoomScaleNormal="80" workbookViewId="0">
      <selection activeCell="B45" sqref="B45"/>
    </sheetView>
  </sheetViews>
  <sheetFormatPr defaultColWidth="9.7265625" defaultRowHeight="30.25" customHeight="1" x14ac:dyDescent="0.35"/>
  <cols>
    <col min="1" max="1" width="8.26953125" style="1" customWidth="1"/>
    <col min="2" max="2" width="6.453125" style="1" customWidth="1"/>
    <col min="3" max="3" width="9.453125" style="1" customWidth="1"/>
    <col min="4" max="4" width="14.7265625" style="3" customWidth="1"/>
    <col min="5" max="5" width="11" style="1" customWidth="1"/>
    <col min="6" max="6" width="2.81640625" style="1" customWidth="1"/>
    <col min="7" max="7" width="2.1796875" style="1" customWidth="1"/>
    <col min="8" max="8" width="8.26953125" style="1" customWidth="1"/>
    <col min="9" max="9" width="12.7265625" style="1" customWidth="1"/>
    <col min="10" max="10" width="14.1796875" style="3" customWidth="1"/>
    <col min="11" max="11" width="9.7265625" style="4" customWidth="1"/>
    <col min="12" max="12" width="12.1796875" style="4" customWidth="1"/>
    <col min="13" max="13" width="10.1796875" style="4" customWidth="1"/>
    <col min="14" max="14" width="12.453125" style="4" customWidth="1"/>
    <col min="15" max="15" width="9.54296875" style="4" customWidth="1"/>
    <col min="16" max="16" width="8.54296875" style="4" customWidth="1"/>
    <col min="17" max="18" width="8.7265625" style="4" customWidth="1"/>
    <col min="19" max="19" width="10.26953125" style="12" customWidth="1"/>
    <col min="20" max="20" width="12.453125" style="5" customWidth="1"/>
    <col min="21" max="21" width="13.453125" style="6" customWidth="1"/>
    <col min="22" max="22" width="14.81640625" style="6" customWidth="1"/>
    <col min="23" max="23" width="15.54296875" style="6" customWidth="1"/>
    <col min="24" max="25" width="14.1796875" style="6" customWidth="1"/>
    <col min="26" max="26" width="12.453125" style="6" customWidth="1"/>
    <col min="27" max="27" width="13.26953125" style="6" customWidth="1"/>
    <col min="28" max="28" width="12.7265625" style="6" customWidth="1"/>
    <col min="29" max="29" width="13.453125" style="6" customWidth="1"/>
    <col min="30" max="30" width="13.81640625" style="6" customWidth="1"/>
    <col min="31" max="31" width="13.453125" style="6" customWidth="1"/>
    <col min="32" max="32" width="12.453125" style="2" customWidth="1"/>
    <col min="33" max="33" width="13.7265625" style="2" customWidth="1"/>
    <col min="34" max="16384" width="9.7265625" style="2"/>
  </cols>
  <sheetData>
    <row r="1" spans="1:33" ht="40.15" customHeight="1" x14ac:dyDescent="0.35">
      <c r="A1" s="202" t="s">
        <v>52</v>
      </c>
      <c r="B1" s="203"/>
      <c r="C1" s="204"/>
      <c r="D1" s="211" t="s">
        <v>48</v>
      </c>
      <c r="E1" s="212"/>
      <c r="F1" s="212"/>
      <c r="G1" s="212"/>
      <c r="H1" s="212"/>
      <c r="I1" s="212"/>
      <c r="J1" s="213"/>
      <c r="K1" s="201" t="s">
        <v>49</v>
      </c>
      <c r="L1" s="201"/>
      <c r="M1" s="201"/>
      <c r="N1" s="201"/>
      <c r="O1" s="201"/>
      <c r="P1" s="201"/>
      <c r="Q1" s="201"/>
      <c r="R1" s="201"/>
      <c r="S1" s="201"/>
      <c r="T1" s="201"/>
      <c r="U1" s="221" t="s">
        <v>263</v>
      </c>
      <c r="V1" s="221" t="s">
        <v>264</v>
      </c>
      <c r="W1" s="221" t="s">
        <v>265</v>
      </c>
      <c r="X1" s="221" t="s">
        <v>266</v>
      </c>
      <c r="Y1" s="221" t="s">
        <v>267</v>
      </c>
      <c r="Z1" s="219" t="s">
        <v>343</v>
      </c>
      <c r="AA1" s="219" t="s">
        <v>344</v>
      </c>
      <c r="AB1" s="219" t="s">
        <v>345</v>
      </c>
      <c r="AC1" s="219" t="s">
        <v>346</v>
      </c>
      <c r="AD1" s="217" t="s">
        <v>51</v>
      </c>
      <c r="AE1" s="217" t="s">
        <v>51</v>
      </c>
      <c r="AF1" s="217" t="s">
        <v>51</v>
      </c>
      <c r="AG1" s="217" t="s">
        <v>51</v>
      </c>
    </row>
    <row r="2" spans="1:33" ht="25" customHeight="1" x14ac:dyDescent="0.35">
      <c r="A2" s="211" t="s">
        <v>43</v>
      </c>
      <c r="B2" s="212"/>
      <c r="C2" s="212"/>
      <c r="D2" s="212"/>
      <c r="E2" s="212"/>
      <c r="F2" s="212"/>
      <c r="G2" s="212"/>
      <c r="H2" s="212"/>
      <c r="I2" s="212"/>
      <c r="J2" s="213"/>
      <c r="K2" s="214" t="s">
        <v>62</v>
      </c>
      <c r="L2" s="215"/>
      <c r="M2" s="215"/>
      <c r="N2" s="215"/>
      <c r="O2" s="215"/>
      <c r="P2" s="215"/>
      <c r="Q2" s="215"/>
      <c r="R2" s="215"/>
      <c r="S2" s="215"/>
      <c r="T2" s="216"/>
      <c r="U2" s="222"/>
      <c r="V2" s="222"/>
      <c r="W2" s="222"/>
      <c r="X2" s="222"/>
      <c r="Y2" s="222"/>
      <c r="Z2" s="220"/>
      <c r="AA2" s="220"/>
      <c r="AB2" s="220"/>
      <c r="AC2" s="220"/>
      <c r="AD2" s="218"/>
      <c r="AE2" s="218"/>
      <c r="AF2" s="218"/>
      <c r="AG2" s="218"/>
    </row>
    <row r="3" spans="1:33" s="3" customFormat="1" ht="30.25" customHeight="1" x14ac:dyDescent="0.25">
      <c r="A3" s="7" t="s">
        <v>3</v>
      </c>
      <c r="B3" s="7" t="s">
        <v>56</v>
      </c>
      <c r="C3" s="7" t="s">
        <v>57</v>
      </c>
      <c r="D3" s="8" t="s">
        <v>58</v>
      </c>
      <c r="E3" s="8" t="s">
        <v>59</v>
      </c>
      <c r="F3" s="8" t="s">
        <v>18</v>
      </c>
      <c r="G3" s="8" t="s">
        <v>19</v>
      </c>
      <c r="H3" s="8" t="s">
        <v>60</v>
      </c>
      <c r="I3" s="8" t="s">
        <v>61</v>
      </c>
      <c r="J3" s="9" t="s">
        <v>50</v>
      </c>
      <c r="K3" s="10" t="s">
        <v>4</v>
      </c>
      <c r="L3" s="52" t="s">
        <v>207</v>
      </c>
      <c r="M3" s="52" t="s">
        <v>208</v>
      </c>
      <c r="N3" s="52" t="s">
        <v>209</v>
      </c>
      <c r="O3" s="52" t="s">
        <v>210</v>
      </c>
      <c r="P3" s="52" t="s">
        <v>211</v>
      </c>
      <c r="Q3" s="52" t="s">
        <v>213</v>
      </c>
      <c r="R3" s="52" t="s">
        <v>214</v>
      </c>
      <c r="S3" s="11" t="s">
        <v>0</v>
      </c>
      <c r="T3" s="7" t="s">
        <v>2</v>
      </c>
      <c r="U3" s="149">
        <v>45530</v>
      </c>
      <c r="V3" s="149">
        <v>45530</v>
      </c>
      <c r="W3" s="149">
        <v>45530</v>
      </c>
      <c r="X3" s="149">
        <v>45530</v>
      </c>
      <c r="Y3" s="149">
        <v>45572</v>
      </c>
      <c r="Z3" s="58">
        <v>45614</v>
      </c>
      <c r="AA3" s="58">
        <v>45614</v>
      </c>
      <c r="AB3" s="58">
        <v>45617</v>
      </c>
      <c r="AC3" s="58">
        <v>45716</v>
      </c>
      <c r="AD3" s="23" t="s">
        <v>1</v>
      </c>
      <c r="AE3" s="23" t="s">
        <v>1</v>
      </c>
      <c r="AF3" s="23" t="s">
        <v>1</v>
      </c>
      <c r="AG3" s="23" t="s">
        <v>1</v>
      </c>
    </row>
    <row r="4" spans="1:33" ht="30.25" customHeight="1" x14ac:dyDescent="0.35">
      <c r="A4" s="37">
        <v>1</v>
      </c>
      <c r="B4" s="37">
        <v>1</v>
      </c>
      <c r="C4" s="35" t="s">
        <v>63</v>
      </c>
      <c r="D4" s="34" t="s">
        <v>64</v>
      </c>
      <c r="E4" s="35" t="s">
        <v>65</v>
      </c>
      <c r="F4" s="35" t="s">
        <v>20</v>
      </c>
      <c r="G4" s="35" t="s">
        <v>66</v>
      </c>
      <c r="H4" s="35" t="s">
        <v>5</v>
      </c>
      <c r="I4" s="35" t="s">
        <v>6</v>
      </c>
      <c r="J4" s="36">
        <v>1670</v>
      </c>
      <c r="K4" s="27">
        <f>0</f>
        <v>0</v>
      </c>
      <c r="L4" s="127">
        <f t="shared" ref="L4:L35" si="0">IF(SUM(U4:AK4)&gt;K4+N4,K4+N4,SUM(U4:AK4))</f>
        <v>0</v>
      </c>
      <c r="M4" s="127">
        <f t="shared" ref="M4:M35" si="1">(SUM(U4:AK4))</f>
        <v>0</v>
      </c>
      <c r="N4" s="183"/>
      <c r="O4" s="129">
        <f>ROUND(IF(K4*0.25-0.5&lt;0,0,K4*0.25-0.5),0)-R4-P4</f>
        <v>0</v>
      </c>
      <c r="P4" s="128"/>
      <c r="Q4" s="128"/>
      <c r="R4" s="128"/>
      <c r="S4" s="26">
        <f t="shared" ref="S4:S35" si="2">K4-SUM(U4:AG4)+N4</f>
        <v>0</v>
      </c>
      <c r="T4" s="25" t="str">
        <f>IF(S4&lt;0,"ATENÇÃO","OK")</f>
        <v>OK</v>
      </c>
      <c r="U4" s="138"/>
      <c r="V4" s="138"/>
      <c r="W4" s="138"/>
      <c r="X4" s="138"/>
      <c r="Y4" s="139"/>
      <c r="Z4" s="174"/>
      <c r="AA4" s="174"/>
      <c r="AB4" s="173"/>
      <c r="AC4" s="173"/>
      <c r="AD4" s="22"/>
      <c r="AE4" s="22"/>
      <c r="AF4" s="22"/>
      <c r="AG4" s="22"/>
    </row>
    <row r="5" spans="1:33" ht="30.25" customHeight="1" x14ac:dyDescent="0.35">
      <c r="A5" s="44">
        <v>2</v>
      </c>
      <c r="B5" s="44">
        <v>2</v>
      </c>
      <c r="C5" s="45" t="s">
        <v>67</v>
      </c>
      <c r="D5" s="46" t="s">
        <v>68</v>
      </c>
      <c r="E5" s="45" t="s">
        <v>69</v>
      </c>
      <c r="F5" s="45" t="s">
        <v>20</v>
      </c>
      <c r="G5" s="45" t="s">
        <v>66</v>
      </c>
      <c r="H5" s="45" t="s">
        <v>5</v>
      </c>
      <c r="I5" s="45" t="s">
        <v>6</v>
      </c>
      <c r="J5" s="47">
        <v>1651.67</v>
      </c>
      <c r="K5" s="27">
        <f>3</f>
        <v>3</v>
      </c>
      <c r="L5" s="127">
        <f t="shared" si="0"/>
        <v>3</v>
      </c>
      <c r="M5" s="127">
        <f t="shared" si="1"/>
        <v>3</v>
      </c>
      <c r="N5" s="183"/>
      <c r="O5" s="129">
        <f t="shared" ref="O5:O68" si="3">ROUND(IF(K5*0.25-0.5&lt;0,0,K5*0.25-0.5),0)-R5-P5</f>
        <v>0</v>
      </c>
      <c r="P5" s="128"/>
      <c r="Q5" s="128"/>
      <c r="R5" s="128"/>
      <c r="S5" s="26">
        <f t="shared" si="2"/>
        <v>0</v>
      </c>
      <c r="T5" s="25" t="str">
        <f t="shared" ref="T5:T68" si="4">IF(S5&lt;0,"ATENÇÃO","OK")</f>
        <v>OK</v>
      </c>
      <c r="U5" s="140">
        <v>3</v>
      </c>
      <c r="V5" s="138"/>
      <c r="W5" s="138"/>
      <c r="X5" s="138"/>
      <c r="Y5" s="139"/>
      <c r="Z5" s="174"/>
      <c r="AA5" s="174"/>
      <c r="AB5" s="173"/>
      <c r="AC5" s="173"/>
      <c r="AD5" s="22"/>
      <c r="AE5" s="22"/>
      <c r="AF5" s="22"/>
      <c r="AG5" s="22"/>
    </row>
    <row r="6" spans="1:33" ht="30.25" customHeight="1" x14ac:dyDescent="0.35">
      <c r="A6" s="37">
        <v>3</v>
      </c>
      <c r="B6" s="37">
        <v>3</v>
      </c>
      <c r="C6" s="35" t="s">
        <v>63</v>
      </c>
      <c r="D6" s="34" t="s">
        <v>70</v>
      </c>
      <c r="E6" s="35" t="s">
        <v>71</v>
      </c>
      <c r="F6" s="35" t="s">
        <v>20</v>
      </c>
      <c r="G6" s="35" t="s">
        <v>72</v>
      </c>
      <c r="H6" s="35" t="s">
        <v>5</v>
      </c>
      <c r="I6" s="35" t="s">
        <v>6</v>
      </c>
      <c r="J6" s="36">
        <v>1802</v>
      </c>
      <c r="K6" s="27">
        <f>0</f>
        <v>0</v>
      </c>
      <c r="L6" s="127">
        <f t="shared" si="0"/>
        <v>0</v>
      </c>
      <c r="M6" s="127">
        <f t="shared" si="1"/>
        <v>0</v>
      </c>
      <c r="N6" s="183"/>
      <c r="O6" s="129">
        <f t="shared" si="3"/>
        <v>0</v>
      </c>
      <c r="P6" s="128"/>
      <c r="Q6" s="128"/>
      <c r="R6" s="128"/>
      <c r="S6" s="26">
        <f t="shared" si="2"/>
        <v>0</v>
      </c>
      <c r="T6" s="25" t="str">
        <f t="shared" si="4"/>
        <v>OK</v>
      </c>
      <c r="U6" s="138"/>
      <c r="V6" s="138"/>
      <c r="W6" s="138"/>
      <c r="X6" s="138"/>
      <c r="Y6" s="139"/>
      <c r="Z6" s="174"/>
      <c r="AA6" s="174"/>
      <c r="AB6" s="173"/>
      <c r="AC6" s="173"/>
      <c r="AD6" s="22"/>
      <c r="AE6" s="22"/>
      <c r="AF6" s="22"/>
      <c r="AG6" s="22"/>
    </row>
    <row r="7" spans="1:33" ht="30.25" customHeight="1" x14ac:dyDescent="0.35">
      <c r="A7" s="44">
        <v>4</v>
      </c>
      <c r="B7" s="44">
        <v>4</v>
      </c>
      <c r="C7" s="45" t="s">
        <v>67</v>
      </c>
      <c r="D7" s="46" t="s">
        <v>73</v>
      </c>
      <c r="E7" s="45" t="s">
        <v>74</v>
      </c>
      <c r="F7" s="45" t="s">
        <v>20</v>
      </c>
      <c r="G7" s="45" t="s">
        <v>75</v>
      </c>
      <c r="H7" s="45" t="s">
        <v>5</v>
      </c>
      <c r="I7" s="45" t="s">
        <v>6</v>
      </c>
      <c r="J7" s="47">
        <v>1800</v>
      </c>
      <c r="K7" s="27">
        <f>8</f>
        <v>8</v>
      </c>
      <c r="L7" s="127">
        <f t="shared" si="0"/>
        <v>8</v>
      </c>
      <c r="M7" s="127">
        <f t="shared" si="1"/>
        <v>8</v>
      </c>
      <c r="N7" s="183"/>
      <c r="O7" s="129">
        <f t="shared" si="3"/>
        <v>2</v>
      </c>
      <c r="P7" s="128"/>
      <c r="Q7" s="128"/>
      <c r="R7" s="128"/>
      <c r="S7" s="26">
        <f t="shared" si="2"/>
        <v>0</v>
      </c>
      <c r="T7" s="25" t="str">
        <f t="shared" si="4"/>
        <v>OK</v>
      </c>
      <c r="U7" s="140">
        <v>8</v>
      </c>
      <c r="V7" s="138"/>
      <c r="W7" s="138"/>
      <c r="X7" s="138"/>
      <c r="Y7" s="139"/>
      <c r="Z7" s="174"/>
      <c r="AA7" s="174"/>
      <c r="AB7" s="173"/>
      <c r="AC7" s="173"/>
      <c r="AD7" s="22"/>
      <c r="AE7" s="22"/>
      <c r="AF7" s="22"/>
      <c r="AG7" s="22"/>
    </row>
    <row r="8" spans="1:33" ht="30.25" customHeight="1" x14ac:dyDescent="0.35">
      <c r="A8" s="37">
        <v>5</v>
      </c>
      <c r="B8" s="37">
        <v>5</v>
      </c>
      <c r="C8" s="35" t="s">
        <v>63</v>
      </c>
      <c r="D8" s="34" t="s">
        <v>76</v>
      </c>
      <c r="E8" s="35" t="s">
        <v>77</v>
      </c>
      <c r="F8" s="35" t="s">
        <v>20</v>
      </c>
      <c r="G8" s="35" t="s">
        <v>78</v>
      </c>
      <c r="H8" s="35" t="s">
        <v>5</v>
      </c>
      <c r="I8" s="35" t="s">
        <v>6</v>
      </c>
      <c r="J8" s="36">
        <v>2686</v>
      </c>
      <c r="K8" s="27">
        <f>1</f>
        <v>1</v>
      </c>
      <c r="L8" s="127">
        <f t="shared" si="0"/>
        <v>1</v>
      </c>
      <c r="M8" s="127">
        <f t="shared" si="1"/>
        <v>1</v>
      </c>
      <c r="N8" s="183"/>
      <c r="O8" s="129">
        <f t="shared" si="3"/>
        <v>0</v>
      </c>
      <c r="P8" s="128"/>
      <c r="Q8" s="128"/>
      <c r="R8" s="128"/>
      <c r="S8" s="26">
        <f t="shared" si="2"/>
        <v>0</v>
      </c>
      <c r="T8" s="25" t="str">
        <f t="shared" si="4"/>
        <v>OK</v>
      </c>
      <c r="U8" s="138"/>
      <c r="V8" s="140">
        <v>1</v>
      </c>
      <c r="W8" s="138"/>
      <c r="X8" s="138"/>
      <c r="Y8" s="139"/>
      <c r="Z8" s="174"/>
      <c r="AA8" s="174"/>
      <c r="AB8" s="173"/>
      <c r="AC8" s="173"/>
      <c r="AD8" s="22"/>
      <c r="AE8" s="22"/>
      <c r="AF8" s="22"/>
      <c r="AG8" s="22"/>
    </row>
    <row r="9" spans="1:33" ht="55.75" customHeight="1" x14ac:dyDescent="0.35">
      <c r="A9" s="80">
        <v>6</v>
      </c>
      <c r="B9" s="80">
        <v>6</v>
      </c>
      <c r="C9" s="81" t="s">
        <v>67</v>
      </c>
      <c r="D9" s="82" t="s">
        <v>79</v>
      </c>
      <c r="E9" s="87" t="s">
        <v>182</v>
      </c>
      <c r="F9" s="81" t="s">
        <v>20</v>
      </c>
      <c r="G9" s="81" t="s">
        <v>21</v>
      </c>
      <c r="H9" s="81" t="s">
        <v>5</v>
      </c>
      <c r="I9" s="81" t="s">
        <v>6</v>
      </c>
      <c r="J9" s="83">
        <v>2821.51</v>
      </c>
      <c r="K9" s="27">
        <f>7</f>
        <v>7</v>
      </c>
      <c r="L9" s="127">
        <f t="shared" si="0"/>
        <v>7</v>
      </c>
      <c r="M9" s="127">
        <f t="shared" si="1"/>
        <v>7</v>
      </c>
      <c r="N9" s="183"/>
      <c r="O9" s="129">
        <f t="shared" si="3"/>
        <v>1</v>
      </c>
      <c r="P9" s="128"/>
      <c r="Q9" s="128"/>
      <c r="R9" s="128"/>
      <c r="S9" s="26">
        <f t="shared" si="2"/>
        <v>0</v>
      </c>
      <c r="T9" s="25" t="str">
        <f t="shared" si="4"/>
        <v>OK</v>
      </c>
      <c r="U9" s="140">
        <v>7</v>
      </c>
      <c r="V9" s="138"/>
      <c r="W9" s="138"/>
      <c r="X9" s="138"/>
      <c r="Y9" s="139"/>
      <c r="Z9" s="174"/>
      <c r="AA9" s="174"/>
      <c r="AB9" s="173"/>
      <c r="AC9" s="173"/>
      <c r="AD9" s="22"/>
      <c r="AE9" s="22"/>
      <c r="AF9" s="22"/>
      <c r="AG9" s="22"/>
    </row>
    <row r="10" spans="1:33" ht="30.25" customHeight="1" x14ac:dyDescent="0.35">
      <c r="A10" s="37">
        <v>7</v>
      </c>
      <c r="B10" s="37">
        <v>7</v>
      </c>
      <c r="C10" s="35" t="s">
        <v>63</v>
      </c>
      <c r="D10" s="34" t="s">
        <v>80</v>
      </c>
      <c r="E10" s="35" t="s">
        <v>81</v>
      </c>
      <c r="F10" s="35" t="s">
        <v>20</v>
      </c>
      <c r="G10" s="35" t="s">
        <v>21</v>
      </c>
      <c r="H10" s="35" t="s">
        <v>5</v>
      </c>
      <c r="I10" s="35" t="s">
        <v>6</v>
      </c>
      <c r="J10" s="36">
        <v>7446</v>
      </c>
      <c r="K10" s="27">
        <f>0</f>
        <v>0</v>
      </c>
      <c r="L10" s="127">
        <f t="shared" si="0"/>
        <v>0</v>
      </c>
      <c r="M10" s="127">
        <f t="shared" si="1"/>
        <v>0</v>
      </c>
      <c r="N10" s="183"/>
      <c r="O10" s="129">
        <f t="shared" si="3"/>
        <v>0</v>
      </c>
      <c r="P10" s="128"/>
      <c r="Q10" s="128"/>
      <c r="R10" s="128"/>
      <c r="S10" s="26">
        <f t="shared" si="2"/>
        <v>0</v>
      </c>
      <c r="T10" s="25" t="str">
        <f t="shared" si="4"/>
        <v>OK</v>
      </c>
      <c r="U10" s="138"/>
      <c r="V10" s="138"/>
      <c r="W10" s="138"/>
      <c r="X10" s="138"/>
      <c r="Y10" s="139"/>
      <c r="Z10" s="174"/>
      <c r="AA10" s="174"/>
      <c r="AB10" s="173"/>
      <c r="AC10" s="173"/>
      <c r="AD10" s="22"/>
      <c r="AE10" s="22"/>
      <c r="AF10" s="22"/>
      <c r="AG10" s="22"/>
    </row>
    <row r="11" spans="1:33" ht="30.25" customHeight="1" x14ac:dyDescent="0.35">
      <c r="A11" s="44">
        <v>8</v>
      </c>
      <c r="B11" s="44">
        <v>8</v>
      </c>
      <c r="C11" s="45" t="s">
        <v>63</v>
      </c>
      <c r="D11" s="46" t="s">
        <v>82</v>
      </c>
      <c r="E11" s="45" t="s">
        <v>81</v>
      </c>
      <c r="F11" s="45" t="s">
        <v>20</v>
      </c>
      <c r="G11" s="45" t="s">
        <v>21</v>
      </c>
      <c r="H11" s="45" t="s">
        <v>5</v>
      </c>
      <c r="I11" s="45" t="s">
        <v>6</v>
      </c>
      <c r="J11" s="47">
        <v>7375</v>
      </c>
      <c r="K11" s="27">
        <f>0</f>
        <v>0</v>
      </c>
      <c r="L11" s="127">
        <f t="shared" si="0"/>
        <v>0</v>
      </c>
      <c r="M11" s="127">
        <f t="shared" si="1"/>
        <v>0</v>
      </c>
      <c r="N11" s="183"/>
      <c r="O11" s="129">
        <f t="shared" si="3"/>
        <v>0</v>
      </c>
      <c r="P11" s="128"/>
      <c r="Q11" s="128"/>
      <c r="R11" s="128"/>
      <c r="S11" s="26">
        <f t="shared" si="2"/>
        <v>0</v>
      </c>
      <c r="T11" s="25" t="str">
        <f t="shared" si="4"/>
        <v>OK</v>
      </c>
      <c r="U11" s="138"/>
      <c r="V11" s="138"/>
      <c r="W11" s="138"/>
      <c r="X11" s="138"/>
      <c r="Y11" s="139"/>
      <c r="Z11" s="174"/>
      <c r="AA11" s="174"/>
      <c r="AB11" s="173"/>
      <c r="AC11" s="173"/>
      <c r="AD11" s="22"/>
      <c r="AE11" s="22"/>
      <c r="AF11" s="22"/>
      <c r="AG11" s="22"/>
    </row>
    <row r="12" spans="1:33" ht="30.25" customHeight="1" x14ac:dyDescent="0.35">
      <c r="A12" s="37">
        <v>9</v>
      </c>
      <c r="B12" s="37">
        <v>9</v>
      </c>
      <c r="C12" s="35" t="s">
        <v>83</v>
      </c>
      <c r="D12" s="34" t="s">
        <v>84</v>
      </c>
      <c r="E12" s="35" t="s">
        <v>85</v>
      </c>
      <c r="F12" s="35" t="s">
        <v>20</v>
      </c>
      <c r="G12" s="35" t="s">
        <v>22</v>
      </c>
      <c r="H12" s="35" t="s">
        <v>5</v>
      </c>
      <c r="I12" s="35" t="s">
        <v>6</v>
      </c>
      <c r="J12" s="36">
        <v>6213.51</v>
      </c>
      <c r="K12" s="27">
        <f>0</f>
        <v>0</v>
      </c>
      <c r="L12" s="127">
        <f t="shared" si="0"/>
        <v>0</v>
      </c>
      <c r="M12" s="127">
        <f t="shared" si="1"/>
        <v>0</v>
      </c>
      <c r="N12" s="183"/>
      <c r="O12" s="129">
        <f t="shared" si="3"/>
        <v>0</v>
      </c>
      <c r="P12" s="128"/>
      <c r="Q12" s="128"/>
      <c r="R12" s="128"/>
      <c r="S12" s="26">
        <f t="shared" si="2"/>
        <v>0</v>
      </c>
      <c r="T12" s="25" t="str">
        <f t="shared" si="4"/>
        <v>OK</v>
      </c>
      <c r="U12" s="138"/>
      <c r="V12" s="138"/>
      <c r="W12" s="138"/>
      <c r="X12" s="138"/>
      <c r="Y12" s="139"/>
      <c r="Z12" s="174"/>
      <c r="AA12" s="174"/>
      <c r="AB12" s="173"/>
      <c r="AC12" s="173"/>
      <c r="AD12" s="22"/>
      <c r="AE12" s="22"/>
      <c r="AF12" s="22"/>
      <c r="AG12" s="22"/>
    </row>
    <row r="13" spans="1:33" ht="30.25" customHeight="1" x14ac:dyDescent="0.35">
      <c r="A13" s="44">
        <v>10</v>
      </c>
      <c r="B13" s="44">
        <v>10</v>
      </c>
      <c r="C13" s="45" t="s">
        <v>63</v>
      </c>
      <c r="D13" s="46" t="s">
        <v>86</v>
      </c>
      <c r="E13" s="45" t="s">
        <v>87</v>
      </c>
      <c r="F13" s="45" t="s">
        <v>20</v>
      </c>
      <c r="G13" s="45" t="s">
        <v>22</v>
      </c>
      <c r="H13" s="45" t="s">
        <v>5</v>
      </c>
      <c r="I13" s="45" t="s">
        <v>6</v>
      </c>
      <c r="J13" s="47">
        <v>6689.61</v>
      </c>
      <c r="K13" s="27">
        <f>1</f>
        <v>1</v>
      </c>
      <c r="L13" s="127">
        <f t="shared" si="0"/>
        <v>1</v>
      </c>
      <c r="M13" s="127">
        <f t="shared" si="1"/>
        <v>1</v>
      </c>
      <c r="N13" s="183"/>
      <c r="O13" s="129">
        <f t="shared" si="3"/>
        <v>0</v>
      </c>
      <c r="P13" s="128"/>
      <c r="Q13" s="128"/>
      <c r="R13" s="128"/>
      <c r="S13" s="26">
        <f t="shared" si="2"/>
        <v>0</v>
      </c>
      <c r="T13" s="25" t="str">
        <f t="shared" si="4"/>
        <v>OK</v>
      </c>
      <c r="U13" s="138"/>
      <c r="V13" s="140">
        <v>1</v>
      </c>
      <c r="W13" s="138"/>
      <c r="X13" s="138"/>
      <c r="Y13" s="139"/>
      <c r="Z13" s="174"/>
      <c r="AA13" s="174"/>
      <c r="AB13" s="173"/>
      <c r="AC13" s="173"/>
      <c r="AD13" s="22"/>
      <c r="AE13" s="22"/>
      <c r="AF13" s="22"/>
      <c r="AG13" s="22"/>
    </row>
    <row r="14" spans="1:33" ht="30.25" customHeight="1" x14ac:dyDescent="0.35">
      <c r="A14" s="37">
        <v>11</v>
      </c>
      <c r="B14" s="37">
        <v>11</v>
      </c>
      <c r="C14" s="35" t="s">
        <v>83</v>
      </c>
      <c r="D14" s="34" t="s">
        <v>88</v>
      </c>
      <c r="E14" s="35" t="s">
        <v>89</v>
      </c>
      <c r="F14" s="37" t="s">
        <v>20</v>
      </c>
      <c r="G14" s="35" t="s">
        <v>22</v>
      </c>
      <c r="H14" s="37" t="s">
        <v>5</v>
      </c>
      <c r="I14" s="35" t="s">
        <v>6</v>
      </c>
      <c r="J14" s="36">
        <v>3445.06</v>
      </c>
      <c r="K14" s="27">
        <f>0</f>
        <v>0</v>
      </c>
      <c r="L14" s="127">
        <f t="shared" si="0"/>
        <v>0</v>
      </c>
      <c r="M14" s="127">
        <f t="shared" si="1"/>
        <v>0</v>
      </c>
      <c r="N14" s="183"/>
      <c r="O14" s="129">
        <f t="shared" si="3"/>
        <v>0</v>
      </c>
      <c r="P14" s="128"/>
      <c r="Q14" s="128"/>
      <c r="R14" s="128"/>
      <c r="S14" s="26">
        <f t="shared" si="2"/>
        <v>0</v>
      </c>
      <c r="T14" s="25" t="str">
        <f t="shared" si="4"/>
        <v>OK</v>
      </c>
      <c r="U14" s="138"/>
      <c r="V14" s="138"/>
      <c r="W14" s="138"/>
      <c r="X14" s="138"/>
      <c r="Y14" s="139"/>
      <c r="Z14" s="174"/>
      <c r="AA14" s="174"/>
      <c r="AB14" s="173"/>
      <c r="AC14" s="173"/>
      <c r="AD14" s="22"/>
      <c r="AE14" s="22"/>
      <c r="AF14" s="22"/>
      <c r="AG14" s="22"/>
    </row>
    <row r="15" spans="1:33" ht="30.25" customHeight="1" x14ac:dyDescent="0.35">
      <c r="A15" s="44">
        <v>12</v>
      </c>
      <c r="B15" s="44">
        <v>12</v>
      </c>
      <c r="C15" s="45" t="s">
        <v>83</v>
      </c>
      <c r="D15" s="46" t="s">
        <v>90</v>
      </c>
      <c r="E15" s="45" t="s">
        <v>91</v>
      </c>
      <c r="F15" s="44" t="s">
        <v>20</v>
      </c>
      <c r="G15" s="44" t="s">
        <v>22</v>
      </c>
      <c r="H15" s="44" t="s">
        <v>5</v>
      </c>
      <c r="I15" s="45" t="s">
        <v>6</v>
      </c>
      <c r="J15" s="47">
        <v>3617.48</v>
      </c>
      <c r="K15" s="27">
        <f>0</f>
        <v>0</v>
      </c>
      <c r="L15" s="127">
        <f t="shared" si="0"/>
        <v>0</v>
      </c>
      <c r="M15" s="127">
        <f t="shared" si="1"/>
        <v>0</v>
      </c>
      <c r="N15" s="183"/>
      <c r="O15" s="129">
        <f t="shared" si="3"/>
        <v>0</v>
      </c>
      <c r="P15" s="128"/>
      <c r="Q15" s="128"/>
      <c r="R15" s="128"/>
      <c r="S15" s="26">
        <f t="shared" si="2"/>
        <v>0</v>
      </c>
      <c r="T15" s="25" t="str">
        <f t="shared" si="4"/>
        <v>OK</v>
      </c>
      <c r="U15" s="138"/>
      <c r="V15" s="138"/>
      <c r="W15" s="138"/>
      <c r="X15" s="138"/>
      <c r="Y15" s="139"/>
      <c r="Z15" s="174"/>
      <c r="AA15" s="174"/>
      <c r="AB15" s="173"/>
      <c r="AC15" s="173"/>
      <c r="AD15" s="22"/>
      <c r="AE15" s="22"/>
      <c r="AF15" s="22"/>
      <c r="AG15" s="22"/>
    </row>
    <row r="16" spans="1:33" ht="30.25" customHeight="1" x14ac:dyDescent="0.35">
      <c r="A16" s="37">
        <v>13</v>
      </c>
      <c r="B16" s="37">
        <v>13</v>
      </c>
      <c r="C16" s="35" t="s">
        <v>92</v>
      </c>
      <c r="D16" s="34" t="s">
        <v>93</v>
      </c>
      <c r="E16" s="35" t="s">
        <v>94</v>
      </c>
      <c r="F16" s="37" t="s">
        <v>20</v>
      </c>
      <c r="G16" s="37" t="s">
        <v>22</v>
      </c>
      <c r="H16" s="37" t="s">
        <v>5</v>
      </c>
      <c r="I16" s="35" t="s">
        <v>6</v>
      </c>
      <c r="J16" s="36">
        <v>7453.33</v>
      </c>
      <c r="K16" s="27">
        <f>0</f>
        <v>0</v>
      </c>
      <c r="L16" s="127">
        <f t="shared" si="0"/>
        <v>0</v>
      </c>
      <c r="M16" s="127">
        <f t="shared" si="1"/>
        <v>0</v>
      </c>
      <c r="N16" s="183"/>
      <c r="O16" s="129">
        <f t="shared" si="3"/>
        <v>0</v>
      </c>
      <c r="P16" s="128"/>
      <c r="Q16" s="128"/>
      <c r="R16" s="128"/>
      <c r="S16" s="26">
        <f t="shared" si="2"/>
        <v>0</v>
      </c>
      <c r="T16" s="25" t="str">
        <f t="shared" si="4"/>
        <v>OK</v>
      </c>
      <c r="U16" s="138"/>
      <c r="V16" s="138"/>
      <c r="W16" s="138"/>
      <c r="X16" s="138"/>
      <c r="Y16" s="139"/>
      <c r="Z16" s="174"/>
      <c r="AA16" s="174"/>
      <c r="AB16" s="173"/>
      <c r="AC16" s="173"/>
      <c r="AD16" s="22"/>
      <c r="AE16" s="22"/>
      <c r="AF16" s="22"/>
      <c r="AG16" s="22"/>
    </row>
    <row r="17" spans="1:33" ht="30.25" customHeight="1" x14ac:dyDescent="0.35">
      <c r="A17" s="44">
        <v>14</v>
      </c>
      <c r="B17" s="44">
        <v>14</v>
      </c>
      <c r="C17" s="45" t="s">
        <v>92</v>
      </c>
      <c r="D17" s="46" t="s">
        <v>95</v>
      </c>
      <c r="E17" s="45" t="s">
        <v>94</v>
      </c>
      <c r="F17" s="45" t="s">
        <v>20</v>
      </c>
      <c r="G17" s="45" t="s">
        <v>22</v>
      </c>
      <c r="H17" s="45" t="s">
        <v>5</v>
      </c>
      <c r="I17" s="45" t="s">
        <v>6</v>
      </c>
      <c r="J17" s="47">
        <v>9561.2000000000007</v>
      </c>
      <c r="K17" s="27">
        <f>0</f>
        <v>0</v>
      </c>
      <c r="L17" s="127">
        <f t="shared" si="0"/>
        <v>0</v>
      </c>
      <c r="M17" s="127">
        <f t="shared" si="1"/>
        <v>0</v>
      </c>
      <c r="N17" s="183"/>
      <c r="O17" s="129">
        <f t="shared" si="3"/>
        <v>0</v>
      </c>
      <c r="P17" s="128"/>
      <c r="Q17" s="128"/>
      <c r="R17" s="128"/>
      <c r="S17" s="26">
        <f t="shared" si="2"/>
        <v>0</v>
      </c>
      <c r="T17" s="25" t="str">
        <f t="shared" si="4"/>
        <v>OK</v>
      </c>
      <c r="U17" s="138"/>
      <c r="V17" s="138"/>
      <c r="W17" s="138"/>
      <c r="X17" s="138"/>
      <c r="Y17" s="139"/>
      <c r="Z17" s="174"/>
      <c r="AA17" s="174"/>
      <c r="AB17" s="173"/>
      <c r="AC17" s="173"/>
      <c r="AD17" s="22"/>
      <c r="AE17" s="22"/>
      <c r="AF17" s="22"/>
      <c r="AG17" s="22"/>
    </row>
    <row r="18" spans="1:33" ht="30.25" customHeight="1" x14ac:dyDescent="0.35">
      <c r="A18" s="37">
        <v>15</v>
      </c>
      <c r="B18" s="37">
        <v>15</v>
      </c>
      <c r="C18" s="35" t="s">
        <v>63</v>
      </c>
      <c r="D18" s="34" t="s">
        <v>96</v>
      </c>
      <c r="E18" s="35" t="s">
        <v>97</v>
      </c>
      <c r="F18" s="35" t="s">
        <v>20</v>
      </c>
      <c r="G18" s="35" t="s">
        <v>31</v>
      </c>
      <c r="H18" s="35" t="s">
        <v>5</v>
      </c>
      <c r="I18" s="35" t="s">
        <v>6</v>
      </c>
      <c r="J18" s="36">
        <v>7598</v>
      </c>
      <c r="K18" s="27">
        <f>0</f>
        <v>0</v>
      </c>
      <c r="L18" s="127">
        <f t="shared" si="0"/>
        <v>0</v>
      </c>
      <c r="M18" s="127">
        <f t="shared" si="1"/>
        <v>0</v>
      </c>
      <c r="N18" s="183"/>
      <c r="O18" s="129">
        <f t="shared" si="3"/>
        <v>0</v>
      </c>
      <c r="P18" s="128"/>
      <c r="Q18" s="128"/>
      <c r="R18" s="128"/>
      <c r="S18" s="26">
        <f t="shared" si="2"/>
        <v>0</v>
      </c>
      <c r="T18" s="25" t="str">
        <f t="shared" si="4"/>
        <v>OK</v>
      </c>
      <c r="U18" s="138"/>
      <c r="V18" s="138"/>
      <c r="W18" s="138"/>
      <c r="X18" s="138"/>
      <c r="Y18" s="139"/>
      <c r="Z18" s="174"/>
      <c r="AA18" s="174"/>
      <c r="AB18" s="173"/>
      <c r="AC18" s="173"/>
      <c r="AD18" s="22"/>
      <c r="AE18" s="22"/>
      <c r="AF18" s="22"/>
      <c r="AG18" s="22"/>
    </row>
    <row r="19" spans="1:33" ht="30.25" customHeight="1" x14ac:dyDescent="0.35">
      <c r="A19" s="44">
        <v>16</v>
      </c>
      <c r="B19" s="44">
        <v>16</v>
      </c>
      <c r="C19" s="45" t="s">
        <v>83</v>
      </c>
      <c r="D19" s="46" t="s">
        <v>98</v>
      </c>
      <c r="E19" s="45" t="s">
        <v>99</v>
      </c>
      <c r="F19" s="45" t="s">
        <v>20</v>
      </c>
      <c r="G19" s="45" t="s">
        <v>100</v>
      </c>
      <c r="H19" s="45" t="s">
        <v>5</v>
      </c>
      <c r="I19" s="45" t="s">
        <v>6</v>
      </c>
      <c r="J19" s="47">
        <v>4540.34</v>
      </c>
      <c r="K19" s="27">
        <f>0</f>
        <v>0</v>
      </c>
      <c r="L19" s="127">
        <f t="shared" si="0"/>
        <v>0</v>
      </c>
      <c r="M19" s="127">
        <f t="shared" si="1"/>
        <v>0</v>
      </c>
      <c r="N19" s="183"/>
      <c r="O19" s="129">
        <f t="shared" si="3"/>
        <v>0</v>
      </c>
      <c r="P19" s="128"/>
      <c r="Q19" s="128"/>
      <c r="R19" s="128"/>
      <c r="S19" s="26">
        <f t="shared" si="2"/>
        <v>0</v>
      </c>
      <c r="T19" s="25" t="str">
        <f t="shared" si="4"/>
        <v>OK</v>
      </c>
      <c r="U19" s="138"/>
      <c r="V19" s="138"/>
      <c r="W19" s="138"/>
      <c r="X19" s="138"/>
      <c r="Y19" s="139"/>
      <c r="Z19" s="174"/>
      <c r="AA19" s="174"/>
      <c r="AB19" s="173"/>
      <c r="AC19" s="173"/>
      <c r="AD19" s="22"/>
      <c r="AE19" s="22"/>
      <c r="AF19" s="22"/>
      <c r="AG19" s="22"/>
    </row>
    <row r="20" spans="1:33" ht="30.25" customHeight="1" x14ac:dyDescent="0.35">
      <c r="A20" s="37">
        <v>17</v>
      </c>
      <c r="B20" s="37">
        <v>17</v>
      </c>
      <c r="C20" s="35" t="s">
        <v>63</v>
      </c>
      <c r="D20" s="38" t="s">
        <v>101</v>
      </c>
      <c r="E20" s="39" t="s">
        <v>102</v>
      </c>
      <c r="F20" s="40" t="s">
        <v>20</v>
      </c>
      <c r="G20" s="40" t="s">
        <v>103</v>
      </c>
      <c r="H20" s="40" t="s">
        <v>5</v>
      </c>
      <c r="I20" s="40" t="s">
        <v>6</v>
      </c>
      <c r="J20" s="36">
        <v>7499</v>
      </c>
      <c r="K20" s="27">
        <f>20</f>
        <v>20</v>
      </c>
      <c r="L20" s="127">
        <f t="shared" si="0"/>
        <v>20</v>
      </c>
      <c r="M20" s="127">
        <f t="shared" si="1"/>
        <v>20</v>
      </c>
      <c r="N20" s="183"/>
      <c r="O20" s="129">
        <f t="shared" si="3"/>
        <v>5</v>
      </c>
      <c r="P20" s="128"/>
      <c r="Q20" s="128"/>
      <c r="R20" s="128"/>
      <c r="S20" s="26">
        <f t="shared" si="2"/>
        <v>0</v>
      </c>
      <c r="T20" s="25" t="str">
        <f t="shared" si="4"/>
        <v>OK</v>
      </c>
      <c r="U20" s="138"/>
      <c r="V20" s="140">
        <v>20</v>
      </c>
      <c r="W20" s="138"/>
      <c r="X20" s="138"/>
      <c r="Y20" s="139"/>
      <c r="Z20" s="174"/>
      <c r="AA20" s="174"/>
      <c r="AB20" s="173"/>
      <c r="AC20" s="173"/>
      <c r="AD20" s="22"/>
      <c r="AE20" s="22"/>
      <c r="AF20" s="22"/>
      <c r="AG20" s="22"/>
    </row>
    <row r="21" spans="1:33" ht="30.25" customHeight="1" x14ac:dyDescent="0.35">
      <c r="A21" s="44">
        <v>18</v>
      </c>
      <c r="B21" s="44">
        <v>18</v>
      </c>
      <c r="C21" s="45" t="s">
        <v>104</v>
      </c>
      <c r="D21" s="46" t="s">
        <v>105</v>
      </c>
      <c r="E21" s="48" t="s">
        <v>106</v>
      </c>
      <c r="F21" s="49" t="s">
        <v>20</v>
      </c>
      <c r="G21" s="44" t="s">
        <v>107</v>
      </c>
      <c r="H21" s="44" t="s">
        <v>5</v>
      </c>
      <c r="I21" s="44" t="s">
        <v>6</v>
      </c>
      <c r="J21" s="47">
        <v>9553.2000000000007</v>
      </c>
      <c r="K21" s="27">
        <f>22</f>
        <v>22</v>
      </c>
      <c r="L21" s="127">
        <f t="shared" si="0"/>
        <v>22</v>
      </c>
      <c r="M21" s="127">
        <f t="shared" si="1"/>
        <v>22</v>
      </c>
      <c r="N21" s="183"/>
      <c r="O21" s="129">
        <f t="shared" si="3"/>
        <v>5</v>
      </c>
      <c r="P21" s="128"/>
      <c r="Q21" s="128"/>
      <c r="R21" s="128"/>
      <c r="S21" s="26">
        <f t="shared" si="2"/>
        <v>0</v>
      </c>
      <c r="T21" s="25" t="str">
        <f t="shared" si="4"/>
        <v>OK</v>
      </c>
      <c r="U21" s="138"/>
      <c r="V21" s="138"/>
      <c r="W21" s="140">
        <v>22</v>
      </c>
      <c r="X21" s="138"/>
      <c r="Y21" s="139"/>
      <c r="Z21" s="174"/>
      <c r="AA21" s="174"/>
      <c r="AB21" s="173"/>
      <c r="AC21" s="173"/>
      <c r="AD21" s="22"/>
      <c r="AE21" s="22"/>
      <c r="AF21" s="22"/>
      <c r="AG21" s="22"/>
    </row>
    <row r="22" spans="1:33" ht="30.25" customHeight="1" x14ac:dyDescent="0.35">
      <c r="A22" s="37">
        <v>19</v>
      </c>
      <c r="B22" s="37">
        <v>19</v>
      </c>
      <c r="C22" s="35" t="s">
        <v>63</v>
      </c>
      <c r="D22" s="34" t="s">
        <v>108</v>
      </c>
      <c r="E22" s="41" t="s">
        <v>109</v>
      </c>
      <c r="F22" s="43" t="s">
        <v>20</v>
      </c>
      <c r="G22" s="37" t="s">
        <v>107</v>
      </c>
      <c r="H22" s="37" t="s">
        <v>5</v>
      </c>
      <c r="I22" s="37" t="s">
        <v>6</v>
      </c>
      <c r="J22" s="36">
        <v>8608</v>
      </c>
      <c r="K22" s="27">
        <f>4</f>
        <v>4</v>
      </c>
      <c r="L22" s="127">
        <f t="shared" si="0"/>
        <v>0</v>
      </c>
      <c r="M22" s="127">
        <f t="shared" si="1"/>
        <v>0</v>
      </c>
      <c r="N22" s="183"/>
      <c r="O22" s="129">
        <f t="shared" si="3"/>
        <v>1</v>
      </c>
      <c r="P22" s="128"/>
      <c r="Q22" s="128"/>
      <c r="R22" s="128"/>
      <c r="S22" s="26">
        <f t="shared" si="2"/>
        <v>4</v>
      </c>
      <c r="T22" s="25" t="str">
        <f t="shared" si="4"/>
        <v>OK</v>
      </c>
      <c r="U22" s="138"/>
      <c r="V22" s="138"/>
      <c r="W22" s="138"/>
      <c r="X22" s="138"/>
      <c r="Y22" s="139"/>
      <c r="Z22" s="174"/>
      <c r="AA22" s="174"/>
      <c r="AB22" s="173"/>
      <c r="AC22" s="173"/>
      <c r="AD22" s="22"/>
      <c r="AE22" s="22"/>
      <c r="AF22" s="22"/>
      <c r="AG22" s="22"/>
    </row>
    <row r="23" spans="1:33" ht="30.25" customHeight="1" x14ac:dyDescent="0.35">
      <c r="A23" s="44">
        <v>20</v>
      </c>
      <c r="B23" s="44">
        <v>20</v>
      </c>
      <c r="C23" s="45" t="s">
        <v>63</v>
      </c>
      <c r="D23" s="46" t="s">
        <v>110</v>
      </c>
      <c r="E23" s="48" t="s">
        <v>111</v>
      </c>
      <c r="F23" s="50" t="s">
        <v>20</v>
      </c>
      <c r="G23" s="44" t="s">
        <v>112</v>
      </c>
      <c r="H23" s="44" t="s">
        <v>5</v>
      </c>
      <c r="I23" s="44" t="s">
        <v>6</v>
      </c>
      <c r="J23" s="47">
        <v>10488</v>
      </c>
      <c r="K23" s="27">
        <f>1</f>
        <v>1</v>
      </c>
      <c r="L23" s="127">
        <f t="shared" si="0"/>
        <v>1</v>
      </c>
      <c r="M23" s="127">
        <f t="shared" si="1"/>
        <v>1</v>
      </c>
      <c r="N23" s="183"/>
      <c r="O23" s="129">
        <f t="shared" si="3"/>
        <v>0</v>
      </c>
      <c r="P23" s="128"/>
      <c r="Q23" s="128"/>
      <c r="R23" s="128"/>
      <c r="S23" s="26">
        <f t="shared" si="2"/>
        <v>0</v>
      </c>
      <c r="T23" s="25" t="str">
        <f t="shared" si="4"/>
        <v>OK</v>
      </c>
      <c r="U23" s="138"/>
      <c r="V23" s="140">
        <v>1</v>
      </c>
      <c r="W23" s="138"/>
      <c r="X23" s="138"/>
      <c r="Y23" s="139"/>
      <c r="Z23" s="174"/>
      <c r="AA23" s="174"/>
      <c r="AB23" s="173"/>
      <c r="AC23" s="173"/>
      <c r="AD23" s="22"/>
      <c r="AE23" s="22"/>
      <c r="AF23" s="22"/>
      <c r="AG23" s="22"/>
    </row>
    <row r="24" spans="1:33" ht="30.25" customHeight="1" x14ac:dyDescent="0.35">
      <c r="A24" s="37">
        <v>21</v>
      </c>
      <c r="B24" s="37">
        <v>21</v>
      </c>
      <c r="C24" s="35" t="s">
        <v>63</v>
      </c>
      <c r="D24" s="34" t="s">
        <v>113</v>
      </c>
      <c r="E24" s="41" t="s">
        <v>114</v>
      </c>
      <c r="F24" s="43" t="s">
        <v>20</v>
      </c>
      <c r="G24" s="37" t="s">
        <v>115</v>
      </c>
      <c r="H24" s="37" t="s">
        <v>5</v>
      </c>
      <c r="I24" s="37" t="s">
        <v>6</v>
      </c>
      <c r="J24" s="36">
        <v>10968</v>
      </c>
      <c r="K24" s="27">
        <f>0</f>
        <v>0</v>
      </c>
      <c r="L24" s="127">
        <f t="shared" si="0"/>
        <v>0</v>
      </c>
      <c r="M24" s="127">
        <f t="shared" si="1"/>
        <v>0</v>
      </c>
      <c r="N24" s="183"/>
      <c r="O24" s="129">
        <f t="shared" si="3"/>
        <v>0</v>
      </c>
      <c r="P24" s="128"/>
      <c r="Q24" s="128"/>
      <c r="R24" s="128"/>
      <c r="S24" s="26">
        <f t="shared" si="2"/>
        <v>0</v>
      </c>
      <c r="T24" s="25" t="str">
        <f t="shared" si="4"/>
        <v>OK</v>
      </c>
      <c r="U24" s="138"/>
      <c r="V24" s="138"/>
      <c r="W24" s="138"/>
      <c r="X24" s="138"/>
      <c r="Y24" s="139"/>
      <c r="Z24" s="174"/>
      <c r="AA24" s="174"/>
      <c r="AB24" s="173"/>
      <c r="AC24" s="173"/>
      <c r="AD24" s="22"/>
      <c r="AE24" s="22"/>
      <c r="AF24" s="22"/>
      <c r="AG24" s="22"/>
    </row>
    <row r="25" spans="1:33" ht="30.25" customHeight="1" x14ac:dyDescent="0.35">
      <c r="A25" s="44">
        <v>22</v>
      </c>
      <c r="B25" s="44">
        <v>22</v>
      </c>
      <c r="C25" s="45" t="s">
        <v>32</v>
      </c>
      <c r="D25" s="46" t="s">
        <v>116</v>
      </c>
      <c r="E25" s="48" t="s">
        <v>117</v>
      </c>
      <c r="F25" s="50" t="s">
        <v>20</v>
      </c>
      <c r="G25" s="44" t="s">
        <v>118</v>
      </c>
      <c r="H25" s="44" t="s">
        <v>5</v>
      </c>
      <c r="I25" s="44" t="s">
        <v>6</v>
      </c>
      <c r="J25" s="47">
        <v>13446</v>
      </c>
      <c r="K25" s="27">
        <f>0</f>
        <v>0</v>
      </c>
      <c r="L25" s="127">
        <f t="shared" si="0"/>
        <v>0</v>
      </c>
      <c r="M25" s="127">
        <f t="shared" si="1"/>
        <v>0</v>
      </c>
      <c r="N25" s="183"/>
      <c r="O25" s="129">
        <f t="shared" si="3"/>
        <v>0</v>
      </c>
      <c r="P25" s="128"/>
      <c r="Q25" s="128"/>
      <c r="R25" s="128"/>
      <c r="S25" s="26">
        <f t="shared" si="2"/>
        <v>0</v>
      </c>
      <c r="T25" s="25" t="str">
        <f t="shared" si="4"/>
        <v>OK</v>
      </c>
      <c r="U25" s="138"/>
      <c r="V25" s="138"/>
      <c r="W25" s="138"/>
      <c r="X25" s="138"/>
      <c r="Y25" s="139"/>
      <c r="Z25" s="174"/>
      <c r="AA25" s="174"/>
      <c r="AB25" s="173"/>
      <c r="AC25" s="173"/>
      <c r="AD25" s="22"/>
      <c r="AE25" s="22"/>
      <c r="AF25" s="22"/>
      <c r="AG25" s="22"/>
    </row>
    <row r="26" spans="1:33" ht="30.25" customHeight="1" x14ac:dyDescent="0.35">
      <c r="A26" s="37">
        <v>23</v>
      </c>
      <c r="B26" s="37">
        <v>23</v>
      </c>
      <c r="C26" s="35" t="s">
        <v>119</v>
      </c>
      <c r="D26" s="34" t="s">
        <v>120</v>
      </c>
      <c r="E26" s="41" t="s">
        <v>121</v>
      </c>
      <c r="F26" s="43" t="s">
        <v>20</v>
      </c>
      <c r="G26" s="37" t="s">
        <v>115</v>
      </c>
      <c r="H26" s="37" t="s">
        <v>5</v>
      </c>
      <c r="I26" s="37" t="s">
        <v>6</v>
      </c>
      <c r="J26" s="36">
        <v>11764.7</v>
      </c>
      <c r="K26" s="27">
        <f>1</f>
        <v>1</v>
      </c>
      <c r="L26" s="127">
        <f t="shared" si="0"/>
        <v>1</v>
      </c>
      <c r="M26" s="127">
        <f t="shared" si="1"/>
        <v>1</v>
      </c>
      <c r="N26" s="183"/>
      <c r="O26" s="129">
        <f t="shared" si="3"/>
        <v>0</v>
      </c>
      <c r="P26" s="128"/>
      <c r="Q26" s="128"/>
      <c r="R26" s="128"/>
      <c r="S26" s="26">
        <f t="shared" si="2"/>
        <v>0</v>
      </c>
      <c r="T26" s="25" t="str">
        <f t="shared" si="4"/>
        <v>OK</v>
      </c>
      <c r="U26" s="138"/>
      <c r="V26" s="138"/>
      <c r="W26" s="138"/>
      <c r="X26" s="140">
        <v>1</v>
      </c>
      <c r="Y26" s="139"/>
      <c r="Z26" s="174"/>
      <c r="AA26" s="174"/>
      <c r="AB26" s="173"/>
      <c r="AC26" s="173"/>
      <c r="AD26" s="22"/>
      <c r="AE26" s="22"/>
      <c r="AF26" s="22"/>
      <c r="AG26" s="22"/>
    </row>
    <row r="27" spans="1:33" ht="30.25" customHeight="1" x14ac:dyDescent="0.35">
      <c r="A27" s="44">
        <v>24</v>
      </c>
      <c r="B27" s="44">
        <v>24</v>
      </c>
      <c r="C27" s="45" t="s">
        <v>32</v>
      </c>
      <c r="D27" s="46" t="s">
        <v>122</v>
      </c>
      <c r="E27" s="48" t="s">
        <v>123</v>
      </c>
      <c r="F27" s="50" t="s">
        <v>20</v>
      </c>
      <c r="G27" s="44" t="s">
        <v>124</v>
      </c>
      <c r="H27" s="44" t="s">
        <v>60</v>
      </c>
      <c r="I27" s="44" t="s">
        <v>6</v>
      </c>
      <c r="J27" s="47">
        <v>13333.33</v>
      </c>
      <c r="K27" s="27">
        <f>0</f>
        <v>0</v>
      </c>
      <c r="L27" s="127">
        <f t="shared" si="0"/>
        <v>0</v>
      </c>
      <c r="M27" s="127">
        <f t="shared" si="1"/>
        <v>0</v>
      </c>
      <c r="N27" s="183"/>
      <c r="O27" s="129">
        <f t="shared" si="3"/>
        <v>0</v>
      </c>
      <c r="P27" s="128"/>
      <c r="Q27" s="128"/>
      <c r="R27" s="128"/>
      <c r="S27" s="26">
        <f t="shared" si="2"/>
        <v>0</v>
      </c>
      <c r="T27" s="25" t="str">
        <f t="shared" si="4"/>
        <v>OK</v>
      </c>
      <c r="U27" s="138"/>
      <c r="V27" s="138"/>
      <c r="W27" s="138"/>
      <c r="X27" s="138"/>
      <c r="Y27" s="139"/>
      <c r="Z27" s="174"/>
      <c r="AA27" s="174"/>
      <c r="AB27" s="173"/>
      <c r="AC27" s="173"/>
      <c r="AD27" s="22"/>
      <c r="AE27" s="22"/>
      <c r="AF27" s="22"/>
      <c r="AG27" s="22"/>
    </row>
    <row r="28" spans="1:33" ht="30.25" customHeight="1" x14ac:dyDescent="0.35">
      <c r="A28" s="37">
        <v>25</v>
      </c>
      <c r="B28" s="37">
        <v>25</v>
      </c>
      <c r="C28" s="35" t="s">
        <v>125</v>
      </c>
      <c r="D28" s="34" t="s">
        <v>126</v>
      </c>
      <c r="E28" s="41" t="s">
        <v>127</v>
      </c>
      <c r="F28" s="43" t="s">
        <v>24</v>
      </c>
      <c r="G28" s="37" t="s">
        <v>25</v>
      </c>
      <c r="H28" s="37" t="s">
        <v>5</v>
      </c>
      <c r="I28" s="37" t="s">
        <v>26</v>
      </c>
      <c r="J28" s="36">
        <v>1320</v>
      </c>
      <c r="K28" s="27">
        <f>0</f>
        <v>0</v>
      </c>
      <c r="L28" s="127">
        <f t="shared" si="0"/>
        <v>0</v>
      </c>
      <c r="M28" s="127">
        <f t="shared" si="1"/>
        <v>0</v>
      </c>
      <c r="N28" s="183"/>
      <c r="O28" s="129">
        <f t="shared" si="3"/>
        <v>0</v>
      </c>
      <c r="P28" s="128"/>
      <c r="Q28" s="128"/>
      <c r="R28" s="128"/>
      <c r="S28" s="26">
        <f t="shared" si="2"/>
        <v>0</v>
      </c>
      <c r="T28" s="25" t="str">
        <f t="shared" si="4"/>
        <v>OK</v>
      </c>
      <c r="U28" s="138"/>
      <c r="V28" s="138"/>
      <c r="W28" s="138"/>
      <c r="X28" s="138"/>
      <c r="Y28" s="139"/>
      <c r="Z28" s="174"/>
      <c r="AA28" s="174"/>
      <c r="AB28" s="173"/>
      <c r="AC28" s="173"/>
      <c r="AD28" s="22"/>
      <c r="AE28" s="22"/>
      <c r="AF28" s="22"/>
      <c r="AG28" s="22"/>
    </row>
    <row r="29" spans="1:33" ht="30.25" customHeight="1" x14ac:dyDescent="0.35">
      <c r="A29" s="44">
        <v>26</v>
      </c>
      <c r="B29" s="44">
        <v>26</v>
      </c>
      <c r="C29" s="45" t="s">
        <v>119</v>
      </c>
      <c r="D29" s="46" t="s">
        <v>14</v>
      </c>
      <c r="E29" s="48" t="s">
        <v>128</v>
      </c>
      <c r="F29" s="50" t="s">
        <v>23</v>
      </c>
      <c r="G29" s="44" t="s">
        <v>129</v>
      </c>
      <c r="H29" s="44" t="s">
        <v>5</v>
      </c>
      <c r="I29" s="44" t="s">
        <v>6</v>
      </c>
      <c r="J29" s="47">
        <v>650</v>
      </c>
      <c r="K29" s="27">
        <f>10</f>
        <v>10</v>
      </c>
      <c r="L29" s="127">
        <f t="shared" si="0"/>
        <v>2</v>
      </c>
      <c r="M29" s="127">
        <f t="shared" si="1"/>
        <v>2</v>
      </c>
      <c r="N29" s="183"/>
      <c r="O29" s="129">
        <f t="shared" si="3"/>
        <v>2</v>
      </c>
      <c r="P29" s="128"/>
      <c r="Q29" s="128"/>
      <c r="R29" s="128"/>
      <c r="S29" s="26">
        <f t="shared" si="2"/>
        <v>8</v>
      </c>
      <c r="T29" s="25" t="str">
        <f t="shared" si="4"/>
        <v>OK</v>
      </c>
      <c r="U29" s="138"/>
      <c r="V29" s="138"/>
      <c r="W29" s="138"/>
      <c r="X29" s="140">
        <v>2</v>
      </c>
      <c r="Y29" s="139"/>
      <c r="Z29" s="174"/>
      <c r="AA29" s="174"/>
      <c r="AB29" s="173"/>
      <c r="AC29" s="173"/>
      <c r="AD29" s="22"/>
      <c r="AE29" s="22"/>
      <c r="AF29" s="22"/>
      <c r="AG29" s="22"/>
    </row>
    <row r="30" spans="1:33" ht="30.25" customHeight="1" x14ac:dyDescent="0.35">
      <c r="A30" s="37">
        <v>27</v>
      </c>
      <c r="B30" s="37">
        <v>27</v>
      </c>
      <c r="C30" s="35" t="s">
        <v>130</v>
      </c>
      <c r="D30" s="34" t="s">
        <v>131</v>
      </c>
      <c r="E30" s="41" t="s">
        <v>132</v>
      </c>
      <c r="F30" s="43" t="s">
        <v>28</v>
      </c>
      <c r="G30" s="37" t="s">
        <v>29</v>
      </c>
      <c r="H30" s="37" t="s">
        <v>8</v>
      </c>
      <c r="I30" s="37" t="s">
        <v>26</v>
      </c>
      <c r="J30" s="36">
        <v>39.78</v>
      </c>
      <c r="K30" s="27">
        <f>0</f>
        <v>0</v>
      </c>
      <c r="L30" s="127">
        <f t="shared" si="0"/>
        <v>0</v>
      </c>
      <c r="M30" s="127">
        <f t="shared" si="1"/>
        <v>0</v>
      </c>
      <c r="N30" s="183"/>
      <c r="O30" s="129">
        <f t="shared" si="3"/>
        <v>0</v>
      </c>
      <c r="P30" s="128"/>
      <c r="Q30" s="128"/>
      <c r="R30" s="128"/>
      <c r="S30" s="26">
        <f t="shared" si="2"/>
        <v>0</v>
      </c>
      <c r="T30" s="25" t="str">
        <f t="shared" si="4"/>
        <v>OK</v>
      </c>
      <c r="U30" s="138"/>
      <c r="V30" s="138"/>
      <c r="W30" s="138"/>
      <c r="X30" s="138"/>
      <c r="Y30" s="139"/>
      <c r="Z30" s="174"/>
      <c r="AA30" s="174"/>
      <c r="AB30" s="173"/>
      <c r="AC30" s="173"/>
      <c r="AD30" s="22"/>
      <c r="AE30" s="22"/>
      <c r="AF30" s="22"/>
      <c r="AG30" s="22"/>
    </row>
    <row r="31" spans="1:33" ht="30.25" customHeight="1" x14ac:dyDescent="0.35">
      <c r="A31" s="44">
        <v>28</v>
      </c>
      <c r="B31" s="44">
        <v>28</v>
      </c>
      <c r="C31" s="45" t="s">
        <v>133</v>
      </c>
      <c r="D31" s="46" t="s">
        <v>134</v>
      </c>
      <c r="E31" s="48" t="s">
        <v>135</v>
      </c>
      <c r="F31" s="50" t="s">
        <v>136</v>
      </c>
      <c r="G31" s="44" t="s">
        <v>137</v>
      </c>
      <c r="H31" s="44" t="s">
        <v>5</v>
      </c>
      <c r="I31" s="44" t="s">
        <v>6</v>
      </c>
      <c r="J31" s="47">
        <v>2259.91</v>
      </c>
      <c r="K31" s="27">
        <f>0</f>
        <v>0</v>
      </c>
      <c r="L31" s="127">
        <f t="shared" si="0"/>
        <v>0</v>
      </c>
      <c r="M31" s="127">
        <f t="shared" si="1"/>
        <v>0</v>
      </c>
      <c r="N31" s="183"/>
      <c r="O31" s="129">
        <f t="shared" si="3"/>
        <v>0</v>
      </c>
      <c r="P31" s="128"/>
      <c r="Q31" s="128"/>
      <c r="R31" s="128"/>
      <c r="S31" s="26">
        <f t="shared" si="2"/>
        <v>0</v>
      </c>
      <c r="T31" s="25" t="str">
        <f t="shared" si="4"/>
        <v>OK</v>
      </c>
      <c r="U31" s="138"/>
      <c r="V31" s="138"/>
      <c r="W31" s="138"/>
      <c r="X31" s="138"/>
      <c r="Y31" s="139"/>
      <c r="Z31" s="174"/>
      <c r="AA31" s="174"/>
      <c r="AB31" s="173"/>
      <c r="AC31" s="173"/>
      <c r="AD31" s="22"/>
      <c r="AE31" s="22"/>
      <c r="AF31" s="22"/>
      <c r="AG31" s="22"/>
    </row>
    <row r="32" spans="1:33" ht="30.25" customHeight="1" x14ac:dyDescent="0.35">
      <c r="A32" s="37">
        <v>29</v>
      </c>
      <c r="B32" s="37">
        <v>29</v>
      </c>
      <c r="C32" s="35" t="s">
        <v>138</v>
      </c>
      <c r="D32" s="34" t="s">
        <v>139</v>
      </c>
      <c r="E32" s="41" t="s">
        <v>140</v>
      </c>
      <c r="F32" s="43" t="s">
        <v>136</v>
      </c>
      <c r="G32" s="37" t="s">
        <v>137</v>
      </c>
      <c r="H32" s="37" t="s">
        <v>5</v>
      </c>
      <c r="I32" s="37" t="s">
        <v>6</v>
      </c>
      <c r="J32" s="36">
        <v>3391.3</v>
      </c>
      <c r="K32" s="27">
        <f>0</f>
        <v>0</v>
      </c>
      <c r="L32" s="127">
        <f t="shared" si="0"/>
        <v>0</v>
      </c>
      <c r="M32" s="127">
        <f t="shared" si="1"/>
        <v>0</v>
      </c>
      <c r="N32" s="183"/>
      <c r="O32" s="129">
        <f t="shared" si="3"/>
        <v>0</v>
      </c>
      <c r="P32" s="128"/>
      <c r="Q32" s="128"/>
      <c r="R32" s="128"/>
      <c r="S32" s="26">
        <f t="shared" si="2"/>
        <v>0</v>
      </c>
      <c r="T32" s="25" t="str">
        <f t="shared" si="4"/>
        <v>OK</v>
      </c>
      <c r="U32" s="138"/>
      <c r="V32" s="138"/>
      <c r="W32" s="138"/>
      <c r="X32" s="138"/>
      <c r="Y32" s="139"/>
      <c r="Z32" s="174"/>
      <c r="AA32" s="174"/>
      <c r="AB32" s="173"/>
      <c r="AC32" s="173"/>
      <c r="AD32" s="22"/>
      <c r="AE32" s="22"/>
      <c r="AF32" s="22"/>
      <c r="AG32" s="22"/>
    </row>
    <row r="33" spans="1:33" ht="30.25" customHeight="1" x14ac:dyDescent="0.35">
      <c r="A33" s="44">
        <v>30</v>
      </c>
      <c r="B33" s="44">
        <v>30</v>
      </c>
      <c r="C33" s="45" t="s">
        <v>141</v>
      </c>
      <c r="D33" s="46" t="s">
        <v>142</v>
      </c>
      <c r="E33" s="48" t="s">
        <v>143</v>
      </c>
      <c r="F33" s="50" t="s">
        <v>136</v>
      </c>
      <c r="G33" s="44" t="s">
        <v>137</v>
      </c>
      <c r="H33" s="44" t="s">
        <v>5</v>
      </c>
      <c r="I33" s="44" t="s">
        <v>6</v>
      </c>
      <c r="J33" s="47">
        <v>9961.5300000000007</v>
      </c>
      <c r="K33" s="27">
        <f>10</f>
        <v>10</v>
      </c>
      <c r="L33" s="127">
        <f t="shared" si="0"/>
        <v>10</v>
      </c>
      <c r="M33" s="127">
        <f t="shared" si="1"/>
        <v>10</v>
      </c>
      <c r="N33" s="183"/>
      <c r="O33" s="129">
        <f t="shared" si="3"/>
        <v>2</v>
      </c>
      <c r="P33" s="128"/>
      <c r="Q33" s="128"/>
      <c r="R33" s="128"/>
      <c r="S33" s="26">
        <f t="shared" si="2"/>
        <v>0</v>
      </c>
      <c r="T33" s="25" t="str">
        <f t="shared" si="4"/>
        <v>OK</v>
      </c>
      <c r="U33" s="138"/>
      <c r="V33" s="138"/>
      <c r="W33" s="138"/>
      <c r="X33" s="138"/>
      <c r="Y33" s="139"/>
      <c r="Z33" s="174">
        <v>1</v>
      </c>
      <c r="AA33" s="174">
        <v>9</v>
      </c>
      <c r="AB33" s="173"/>
      <c r="AC33" s="173"/>
      <c r="AD33" s="22"/>
      <c r="AE33" s="22"/>
      <c r="AF33" s="22"/>
      <c r="AG33" s="22"/>
    </row>
    <row r="34" spans="1:33" ht="30.25" customHeight="1" x14ac:dyDescent="0.35">
      <c r="A34" s="37">
        <v>31</v>
      </c>
      <c r="B34" s="37">
        <v>31</v>
      </c>
      <c r="C34" s="35" t="s">
        <v>144</v>
      </c>
      <c r="D34" s="34" t="s">
        <v>145</v>
      </c>
      <c r="E34" s="41" t="s">
        <v>146</v>
      </c>
      <c r="F34" s="43" t="s">
        <v>20</v>
      </c>
      <c r="G34" s="37" t="s">
        <v>147</v>
      </c>
      <c r="H34" s="37" t="s">
        <v>60</v>
      </c>
      <c r="I34" s="37">
        <v>44905212</v>
      </c>
      <c r="J34" s="36">
        <v>630</v>
      </c>
      <c r="K34" s="27">
        <f>0</f>
        <v>0</v>
      </c>
      <c r="L34" s="127">
        <f t="shared" si="0"/>
        <v>0</v>
      </c>
      <c r="M34" s="127">
        <f t="shared" si="1"/>
        <v>0</v>
      </c>
      <c r="N34" s="183"/>
      <c r="O34" s="129">
        <f t="shared" si="3"/>
        <v>0</v>
      </c>
      <c r="P34" s="128"/>
      <c r="Q34" s="128"/>
      <c r="R34" s="128"/>
      <c r="S34" s="26">
        <f t="shared" si="2"/>
        <v>0</v>
      </c>
      <c r="T34" s="25" t="str">
        <f t="shared" si="4"/>
        <v>OK</v>
      </c>
      <c r="U34" s="138"/>
      <c r="V34" s="138"/>
      <c r="W34" s="138"/>
      <c r="X34" s="138"/>
      <c r="Y34" s="139"/>
      <c r="Z34" s="174"/>
      <c r="AA34" s="174"/>
      <c r="AB34" s="173"/>
      <c r="AC34" s="173"/>
      <c r="AD34" s="22"/>
      <c r="AE34" s="22"/>
      <c r="AF34" s="22"/>
      <c r="AG34" s="22"/>
    </row>
    <row r="35" spans="1:33" ht="30.25" customHeight="1" x14ac:dyDescent="0.35">
      <c r="A35" s="44">
        <v>32</v>
      </c>
      <c r="B35" s="44">
        <v>32</v>
      </c>
      <c r="C35" s="45" t="s">
        <v>144</v>
      </c>
      <c r="D35" s="46" t="s">
        <v>148</v>
      </c>
      <c r="E35" s="48" t="s">
        <v>149</v>
      </c>
      <c r="F35" s="50" t="s">
        <v>20</v>
      </c>
      <c r="G35" s="44" t="s">
        <v>147</v>
      </c>
      <c r="H35" s="44" t="s">
        <v>60</v>
      </c>
      <c r="I35" s="44">
        <v>44905212</v>
      </c>
      <c r="J35" s="47">
        <v>1550</v>
      </c>
      <c r="K35" s="27">
        <f>0</f>
        <v>0</v>
      </c>
      <c r="L35" s="127">
        <f t="shared" si="0"/>
        <v>0</v>
      </c>
      <c r="M35" s="127">
        <f t="shared" si="1"/>
        <v>0</v>
      </c>
      <c r="N35" s="183"/>
      <c r="O35" s="129">
        <f t="shared" si="3"/>
        <v>0</v>
      </c>
      <c r="P35" s="128"/>
      <c r="Q35" s="128"/>
      <c r="R35" s="128"/>
      <c r="S35" s="26">
        <f t="shared" si="2"/>
        <v>0</v>
      </c>
      <c r="T35" s="25" t="str">
        <f t="shared" si="4"/>
        <v>OK</v>
      </c>
      <c r="U35" s="138"/>
      <c r="V35" s="138"/>
      <c r="W35" s="138"/>
      <c r="X35" s="138"/>
      <c r="Y35" s="139"/>
      <c r="Z35" s="174"/>
      <c r="AA35" s="174"/>
      <c r="AB35" s="173"/>
      <c r="AC35" s="173"/>
      <c r="AD35" s="22"/>
      <c r="AE35" s="22"/>
      <c r="AF35" s="22"/>
      <c r="AG35" s="22"/>
    </row>
    <row r="36" spans="1:33" ht="30.25" customHeight="1" x14ac:dyDescent="0.35">
      <c r="A36" s="37">
        <v>33</v>
      </c>
      <c r="B36" s="37">
        <v>33</v>
      </c>
      <c r="C36" s="35" t="s">
        <v>150</v>
      </c>
      <c r="D36" s="34" t="s">
        <v>151</v>
      </c>
      <c r="E36" s="41" t="s">
        <v>152</v>
      </c>
      <c r="F36" s="43" t="s">
        <v>20</v>
      </c>
      <c r="G36" s="37" t="s">
        <v>147</v>
      </c>
      <c r="H36" s="37" t="s">
        <v>60</v>
      </c>
      <c r="I36" s="37">
        <v>44905212</v>
      </c>
      <c r="J36" s="36">
        <v>930</v>
      </c>
      <c r="K36" s="27">
        <f>0</f>
        <v>0</v>
      </c>
      <c r="L36" s="127">
        <f t="shared" ref="L36:L67" si="5">IF(SUM(U36:AK36)&gt;K36+N36,K36+N36,SUM(U36:AK36))</f>
        <v>0</v>
      </c>
      <c r="M36" s="127">
        <f t="shared" ref="M36:M67" si="6">(SUM(U36:AK36))</f>
        <v>0</v>
      </c>
      <c r="N36" s="183"/>
      <c r="O36" s="129">
        <f t="shared" si="3"/>
        <v>0</v>
      </c>
      <c r="P36" s="128"/>
      <c r="Q36" s="128"/>
      <c r="R36" s="128"/>
      <c r="S36" s="26">
        <f t="shared" ref="S36:S67" si="7">K36-SUM(U36:AG36)+N36</f>
        <v>0</v>
      </c>
      <c r="T36" s="25" t="str">
        <f t="shared" si="4"/>
        <v>OK</v>
      </c>
      <c r="U36" s="138"/>
      <c r="V36" s="138"/>
      <c r="W36" s="138"/>
      <c r="X36" s="138"/>
      <c r="Y36" s="139"/>
      <c r="Z36" s="174"/>
      <c r="AA36" s="174"/>
      <c r="AB36" s="173"/>
      <c r="AC36" s="173"/>
      <c r="AD36" s="22"/>
      <c r="AE36" s="22"/>
      <c r="AF36" s="22"/>
      <c r="AG36" s="22"/>
    </row>
    <row r="37" spans="1:33" ht="30.25" customHeight="1" x14ac:dyDescent="0.35">
      <c r="A37" s="44">
        <v>34</v>
      </c>
      <c r="B37" s="44">
        <v>34</v>
      </c>
      <c r="C37" s="45" t="s">
        <v>150</v>
      </c>
      <c r="D37" s="46" t="s">
        <v>153</v>
      </c>
      <c r="E37" s="48" t="s">
        <v>154</v>
      </c>
      <c r="F37" s="50" t="s">
        <v>20</v>
      </c>
      <c r="G37" s="44" t="s">
        <v>147</v>
      </c>
      <c r="H37" s="44" t="s">
        <v>60</v>
      </c>
      <c r="I37" s="44">
        <v>44905212</v>
      </c>
      <c r="J37" s="47">
        <v>2560</v>
      </c>
      <c r="K37" s="27">
        <f>0</f>
        <v>0</v>
      </c>
      <c r="L37" s="127">
        <f t="shared" si="5"/>
        <v>0</v>
      </c>
      <c r="M37" s="127">
        <f t="shared" si="6"/>
        <v>0</v>
      </c>
      <c r="N37" s="183"/>
      <c r="O37" s="129">
        <f t="shared" si="3"/>
        <v>0</v>
      </c>
      <c r="P37" s="128"/>
      <c r="Q37" s="128"/>
      <c r="R37" s="128"/>
      <c r="S37" s="26">
        <f t="shared" si="7"/>
        <v>0</v>
      </c>
      <c r="T37" s="25" t="str">
        <f t="shared" si="4"/>
        <v>OK</v>
      </c>
      <c r="U37" s="138"/>
      <c r="V37" s="138"/>
      <c r="W37" s="138"/>
      <c r="X37" s="138"/>
      <c r="Y37" s="139"/>
      <c r="Z37" s="174"/>
      <c r="AA37" s="174"/>
      <c r="AB37" s="173"/>
      <c r="AC37" s="173"/>
      <c r="AD37" s="22"/>
      <c r="AE37" s="22"/>
      <c r="AF37" s="22"/>
      <c r="AG37" s="22"/>
    </row>
    <row r="38" spans="1:33" ht="30.25" customHeight="1" x14ac:dyDescent="0.35">
      <c r="A38" s="198" t="s">
        <v>155</v>
      </c>
      <c r="B38" s="37">
        <v>35</v>
      </c>
      <c r="C38" s="195" t="s">
        <v>33</v>
      </c>
      <c r="D38" s="34" t="s">
        <v>27</v>
      </c>
      <c r="E38" s="41" t="s">
        <v>8</v>
      </c>
      <c r="F38" s="42" t="s">
        <v>28</v>
      </c>
      <c r="G38" s="37" t="s">
        <v>29</v>
      </c>
      <c r="H38" s="37" t="s">
        <v>8</v>
      </c>
      <c r="I38" s="37" t="s">
        <v>9</v>
      </c>
      <c r="J38" s="36">
        <v>150.13999999999999</v>
      </c>
      <c r="K38" s="27">
        <f>10</f>
        <v>10</v>
      </c>
      <c r="L38" s="127">
        <f t="shared" si="5"/>
        <v>12</v>
      </c>
      <c r="M38" s="127">
        <f t="shared" si="6"/>
        <v>12</v>
      </c>
      <c r="N38" s="183">
        <f>2+3</f>
        <v>5</v>
      </c>
      <c r="O38" s="129">
        <f t="shared" si="3"/>
        <v>2</v>
      </c>
      <c r="P38" s="128"/>
      <c r="Q38" s="128"/>
      <c r="R38" s="128"/>
      <c r="S38" s="26">
        <f t="shared" si="7"/>
        <v>3</v>
      </c>
      <c r="T38" s="25" t="str">
        <f t="shared" si="4"/>
        <v>OK</v>
      </c>
      <c r="U38" s="138"/>
      <c r="V38" s="138"/>
      <c r="W38" s="138"/>
      <c r="X38" s="138"/>
      <c r="Y38" s="140">
        <v>10</v>
      </c>
      <c r="Z38" s="174"/>
      <c r="AA38" s="174"/>
      <c r="AB38" s="173"/>
      <c r="AC38" s="173">
        <v>2</v>
      </c>
      <c r="AD38" s="22"/>
      <c r="AE38" s="22"/>
      <c r="AF38" s="22"/>
      <c r="AG38" s="22"/>
    </row>
    <row r="39" spans="1:33" ht="27.5" customHeight="1" x14ac:dyDescent="0.35">
      <c r="A39" s="199"/>
      <c r="B39" s="37">
        <v>36</v>
      </c>
      <c r="C39" s="196"/>
      <c r="D39" s="34" t="s">
        <v>7</v>
      </c>
      <c r="E39" s="41" t="s">
        <v>8</v>
      </c>
      <c r="F39" s="43" t="s">
        <v>28</v>
      </c>
      <c r="G39" s="37" t="s">
        <v>29</v>
      </c>
      <c r="H39" s="37" t="s">
        <v>8</v>
      </c>
      <c r="I39" s="37" t="s">
        <v>9</v>
      </c>
      <c r="J39" s="36">
        <v>1076</v>
      </c>
      <c r="K39" s="27">
        <f>20</f>
        <v>20</v>
      </c>
      <c r="L39" s="127">
        <f t="shared" si="5"/>
        <v>28</v>
      </c>
      <c r="M39" s="127">
        <f t="shared" si="6"/>
        <v>28</v>
      </c>
      <c r="N39" s="183">
        <f>6+8+25+4-6-4</f>
        <v>33</v>
      </c>
      <c r="O39" s="129">
        <f t="shared" si="3"/>
        <v>5</v>
      </c>
      <c r="P39" s="128"/>
      <c r="Q39" s="128"/>
      <c r="R39" s="128"/>
      <c r="S39" s="26">
        <f>K39-SUM(U39:AG39)+N39</f>
        <v>25</v>
      </c>
      <c r="T39" s="25" t="str">
        <f t="shared" si="4"/>
        <v>OK</v>
      </c>
      <c r="U39" s="138"/>
      <c r="V39" s="138"/>
      <c r="W39" s="138"/>
      <c r="X39" s="138"/>
      <c r="Y39" s="140">
        <v>20</v>
      </c>
      <c r="Z39" s="174"/>
      <c r="AA39" s="174"/>
      <c r="AB39" s="173"/>
      <c r="AC39" s="173">
        <v>8</v>
      </c>
      <c r="AD39" s="22"/>
      <c r="AE39" s="22"/>
      <c r="AF39" s="22"/>
      <c r="AG39" s="22"/>
    </row>
    <row r="40" spans="1:33" ht="30.25" customHeight="1" x14ac:dyDescent="0.35">
      <c r="A40" s="199"/>
      <c r="B40" s="37">
        <v>37</v>
      </c>
      <c r="C40" s="196"/>
      <c r="D40" s="34" t="s">
        <v>156</v>
      </c>
      <c r="E40" s="41" t="s">
        <v>8</v>
      </c>
      <c r="F40" s="43" t="s">
        <v>28</v>
      </c>
      <c r="G40" s="37" t="s">
        <v>29</v>
      </c>
      <c r="H40" s="37" t="s">
        <v>34</v>
      </c>
      <c r="I40" s="37" t="s">
        <v>9</v>
      </c>
      <c r="J40" s="36">
        <v>75</v>
      </c>
      <c r="K40" s="27">
        <f>170</f>
        <v>170</v>
      </c>
      <c r="L40" s="127">
        <f t="shared" si="5"/>
        <v>188</v>
      </c>
      <c r="M40" s="127">
        <f t="shared" si="6"/>
        <v>188</v>
      </c>
      <c r="N40" s="183">
        <f>8+10+10+5+200</f>
        <v>233</v>
      </c>
      <c r="O40" s="129">
        <f t="shared" si="3"/>
        <v>42</v>
      </c>
      <c r="P40" s="128"/>
      <c r="Q40" s="128"/>
      <c r="R40" s="128"/>
      <c r="S40" s="26">
        <f t="shared" si="7"/>
        <v>215</v>
      </c>
      <c r="T40" s="25" t="str">
        <f t="shared" si="4"/>
        <v>OK</v>
      </c>
      <c r="U40" s="138"/>
      <c r="V40" s="138"/>
      <c r="W40" s="138"/>
      <c r="X40" s="138"/>
      <c r="Y40" s="140">
        <v>170</v>
      </c>
      <c r="Z40" s="174"/>
      <c r="AA40" s="174"/>
      <c r="AB40" s="173">
        <v>8</v>
      </c>
      <c r="AC40" s="173">
        <v>10</v>
      </c>
      <c r="AD40" s="22"/>
      <c r="AE40" s="22"/>
      <c r="AF40" s="22"/>
      <c r="AG40" s="22"/>
    </row>
    <row r="41" spans="1:33" ht="30.25" customHeight="1" x14ac:dyDescent="0.35">
      <c r="A41" s="199"/>
      <c r="B41" s="37">
        <v>38</v>
      </c>
      <c r="C41" s="196"/>
      <c r="D41" s="34" t="s">
        <v>11</v>
      </c>
      <c r="E41" s="41" t="s">
        <v>8</v>
      </c>
      <c r="F41" s="43" t="s">
        <v>28</v>
      </c>
      <c r="G41" s="37" t="s">
        <v>29</v>
      </c>
      <c r="H41" s="37" t="s">
        <v>8</v>
      </c>
      <c r="I41" s="37" t="s">
        <v>9</v>
      </c>
      <c r="J41" s="36">
        <v>1400</v>
      </c>
      <c r="K41" s="27">
        <f>2</f>
        <v>2</v>
      </c>
      <c r="L41" s="127">
        <f t="shared" si="5"/>
        <v>4</v>
      </c>
      <c r="M41" s="127">
        <f t="shared" si="6"/>
        <v>4</v>
      </c>
      <c r="N41" s="183">
        <v>2</v>
      </c>
      <c r="O41" s="129">
        <f t="shared" si="3"/>
        <v>0</v>
      </c>
      <c r="P41" s="128"/>
      <c r="Q41" s="128"/>
      <c r="R41" s="128"/>
      <c r="S41" s="26">
        <f t="shared" si="7"/>
        <v>0</v>
      </c>
      <c r="T41" s="25" t="str">
        <f t="shared" si="4"/>
        <v>OK</v>
      </c>
      <c r="U41" s="138"/>
      <c r="V41" s="138"/>
      <c r="W41" s="138"/>
      <c r="X41" s="138"/>
      <c r="Y41" s="140">
        <v>2</v>
      </c>
      <c r="Z41" s="174"/>
      <c r="AA41" s="174"/>
      <c r="AB41" s="173"/>
      <c r="AC41" s="173">
        <v>2</v>
      </c>
      <c r="AD41" s="22"/>
      <c r="AE41" s="22"/>
      <c r="AF41" s="22"/>
      <c r="AG41" s="22"/>
    </row>
    <row r="42" spans="1:33" ht="30.25" customHeight="1" x14ac:dyDescent="0.35">
      <c r="A42" s="199"/>
      <c r="B42" s="84">
        <v>39</v>
      </c>
      <c r="C42" s="196"/>
      <c r="D42" s="34" t="s">
        <v>12</v>
      </c>
      <c r="E42" s="41" t="s">
        <v>8</v>
      </c>
      <c r="F42" s="43" t="s">
        <v>28</v>
      </c>
      <c r="G42" s="37" t="s">
        <v>29</v>
      </c>
      <c r="H42" s="37" t="s">
        <v>34</v>
      </c>
      <c r="I42" s="37" t="s">
        <v>9</v>
      </c>
      <c r="J42" s="36">
        <v>75.5</v>
      </c>
      <c r="K42" s="27">
        <f>140</f>
        <v>140</v>
      </c>
      <c r="L42" s="127">
        <f t="shared" si="5"/>
        <v>153</v>
      </c>
      <c r="M42" s="127">
        <f t="shared" si="6"/>
        <v>153</v>
      </c>
      <c r="N42" s="183">
        <f>3+15+10+7+100+42-42</f>
        <v>135</v>
      </c>
      <c r="O42" s="129">
        <f t="shared" si="3"/>
        <v>35</v>
      </c>
      <c r="P42" s="128"/>
      <c r="Q42" s="128"/>
      <c r="R42" s="128"/>
      <c r="S42" s="26">
        <f t="shared" si="7"/>
        <v>122</v>
      </c>
      <c r="T42" s="25" t="str">
        <f t="shared" si="4"/>
        <v>OK</v>
      </c>
      <c r="U42" s="138"/>
      <c r="V42" s="138"/>
      <c r="W42" s="138"/>
      <c r="X42" s="138"/>
      <c r="Y42" s="140">
        <v>140</v>
      </c>
      <c r="Z42" s="174"/>
      <c r="AA42" s="174"/>
      <c r="AB42" s="173">
        <v>3</v>
      </c>
      <c r="AC42" s="173">
        <v>10</v>
      </c>
      <c r="AD42" s="22"/>
      <c r="AE42" s="22"/>
      <c r="AF42" s="22"/>
      <c r="AG42" s="22"/>
    </row>
    <row r="43" spans="1:33" ht="30.25" customHeight="1" x14ac:dyDescent="0.35">
      <c r="A43" s="199"/>
      <c r="B43" s="37">
        <v>40</v>
      </c>
      <c r="C43" s="196"/>
      <c r="D43" s="34" t="s">
        <v>10</v>
      </c>
      <c r="E43" s="41" t="s">
        <v>8</v>
      </c>
      <c r="F43" s="43" t="s">
        <v>28</v>
      </c>
      <c r="G43" s="37" t="s">
        <v>29</v>
      </c>
      <c r="H43" s="37" t="s">
        <v>8</v>
      </c>
      <c r="I43" s="37" t="s">
        <v>9</v>
      </c>
      <c r="J43" s="36">
        <v>1600</v>
      </c>
      <c r="K43" s="27">
        <f>4</f>
        <v>4</v>
      </c>
      <c r="L43" s="127">
        <f t="shared" si="5"/>
        <v>9</v>
      </c>
      <c r="M43" s="127">
        <f t="shared" si="6"/>
        <v>9</v>
      </c>
      <c r="N43" s="183">
        <f>20+5+25</f>
        <v>50</v>
      </c>
      <c r="O43" s="129">
        <f t="shared" si="3"/>
        <v>1</v>
      </c>
      <c r="P43" s="128"/>
      <c r="Q43" s="128"/>
      <c r="R43" s="128"/>
      <c r="S43" s="26">
        <f t="shared" si="7"/>
        <v>45</v>
      </c>
      <c r="T43" s="25" t="str">
        <f t="shared" si="4"/>
        <v>OK</v>
      </c>
      <c r="U43" s="138"/>
      <c r="V43" s="138"/>
      <c r="W43" s="138"/>
      <c r="X43" s="138"/>
      <c r="Y43" s="140">
        <v>4</v>
      </c>
      <c r="Z43" s="174"/>
      <c r="AA43" s="174"/>
      <c r="AB43" s="173"/>
      <c r="AC43" s="173">
        <v>5</v>
      </c>
      <c r="AD43" s="22"/>
      <c r="AE43" s="22"/>
      <c r="AF43" s="22"/>
      <c r="AG43" s="22"/>
    </row>
    <row r="44" spans="1:33" ht="30.25" customHeight="1" x14ac:dyDescent="0.35">
      <c r="A44" s="199"/>
      <c r="B44" s="37">
        <v>41</v>
      </c>
      <c r="C44" s="196"/>
      <c r="D44" s="34" t="s">
        <v>13</v>
      </c>
      <c r="E44" s="41" t="s">
        <v>8</v>
      </c>
      <c r="F44" s="43" t="s">
        <v>28</v>
      </c>
      <c r="G44" s="37" t="s">
        <v>29</v>
      </c>
      <c r="H44" s="37" t="s">
        <v>34</v>
      </c>
      <c r="I44" s="37" t="s">
        <v>9</v>
      </c>
      <c r="J44" s="36">
        <v>75</v>
      </c>
      <c r="K44" s="27">
        <f>24</f>
        <v>24</v>
      </c>
      <c r="L44" s="127">
        <f t="shared" si="5"/>
        <v>49</v>
      </c>
      <c r="M44" s="127">
        <f t="shared" si="6"/>
        <v>49</v>
      </c>
      <c r="N44" s="183">
        <f>10+5+10+6+10</f>
        <v>41</v>
      </c>
      <c r="O44" s="129">
        <f t="shared" si="3"/>
        <v>6</v>
      </c>
      <c r="P44" s="128"/>
      <c r="Q44" s="128"/>
      <c r="R44" s="128"/>
      <c r="S44" s="26">
        <f t="shared" si="7"/>
        <v>16</v>
      </c>
      <c r="T44" s="25" t="str">
        <f t="shared" si="4"/>
        <v>OK</v>
      </c>
      <c r="U44" s="138"/>
      <c r="V44" s="138"/>
      <c r="W44" s="138"/>
      <c r="X44" s="138"/>
      <c r="Y44" s="140">
        <v>24</v>
      </c>
      <c r="Z44" s="174"/>
      <c r="AA44" s="174"/>
      <c r="AB44" s="173">
        <v>10</v>
      </c>
      <c r="AC44" s="173">
        <v>15</v>
      </c>
      <c r="AD44" s="22"/>
      <c r="AE44" s="22"/>
      <c r="AF44" s="22"/>
      <c r="AG44" s="22"/>
    </row>
    <row r="45" spans="1:33" ht="30.25" customHeight="1" x14ac:dyDescent="0.35">
      <c r="A45" s="199"/>
      <c r="B45" s="84">
        <v>42</v>
      </c>
      <c r="C45" s="196"/>
      <c r="D45" s="34" t="s">
        <v>157</v>
      </c>
      <c r="E45" s="41" t="s">
        <v>8</v>
      </c>
      <c r="F45" s="43" t="s">
        <v>28</v>
      </c>
      <c r="G45" s="37" t="s">
        <v>29</v>
      </c>
      <c r="H45" s="37" t="s">
        <v>8</v>
      </c>
      <c r="I45" s="37" t="s">
        <v>9</v>
      </c>
      <c r="J45" s="36">
        <v>350</v>
      </c>
      <c r="K45" s="27">
        <f>38</f>
        <v>38</v>
      </c>
      <c r="L45" s="127">
        <f t="shared" si="5"/>
        <v>51</v>
      </c>
      <c r="M45" s="127">
        <f t="shared" si="6"/>
        <v>51</v>
      </c>
      <c r="N45" s="183">
        <f>8+5+5+20+25-25</f>
        <v>38</v>
      </c>
      <c r="O45" s="129">
        <f t="shared" si="3"/>
        <v>9</v>
      </c>
      <c r="P45" s="128"/>
      <c r="Q45" s="128"/>
      <c r="R45" s="128"/>
      <c r="S45" s="26">
        <f t="shared" si="7"/>
        <v>25</v>
      </c>
      <c r="T45" s="25" t="str">
        <f t="shared" si="4"/>
        <v>OK</v>
      </c>
      <c r="U45" s="138"/>
      <c r="V45" s="138"/>
      <c r="W45" s="138"/>
      <c r="X45" s="138"/>
      <c r="Y45" s="140">
        <v>38</v>
      </c>
      <c r="Z45" s="174"/>
      <c r="AA45" s="174"/>
      <c r="AB45" s="173">
        <v>8</v>
      </c>
      <c r="AC45" s="173">
        <v>5</v>
      </c>
      <c r="AD45" s="22"/>
      <c r="AE45" s="22"/>
      <c r="AF45" s="22"/>
      <c r="AG45" s="22"/>
    </row>
    <row r="46" spans="1:33" ht="30.25" customHeight="1" x14ac:dyDescent="0.35">
      <c r="A46" s="199"/>
      <c r="B46" s="37">
        <v>43</v>
      </c>
      <c r="C46" s="196"/>
      <c r="D46" s="34" t="s">
        <v>30</v>
      </c>
      <c r="E46" s="41" t="s">
        <v>8</v>
      </c>
      <c r="F46" s="43" t="s">
        <v>28</v>
      </c>
      <c r="G46" s="37" t="s">
        <v>29</v>
      </c>
      <c r="H46" s="37" t="s">
        <v>8</v>
      </c>
      <c r="I46" s="37" t="s">
        <v>9</v>
      </c>
      <c r="J46" s="36">
        <v>100.25</v>
      </c>
      <c r="K46" s="27">
        <f>0</f>
        <v>0</v>
      </c>
      <c r="L46" s="127">
        <f t="shared" si="5"/>
        <v>4</v>
      </c>
      <c r="M46" s="127">
        <f t="shared" si="6"/>
        <v>4</v>
      </c>
      <c r="N46" s="183">
        <f>4+4+5+4+3</f>
        <v>20</v>
      </c>
      <c r="O46" s="129">
        <f t="shared" si="3"/>
        <v>0</v>
      </c>
      <c r="P46" s="128"/>
      <c r="Q46" s="128"/>
      <c r="R46" s="128"/>
      <c r="S46" s="26">
        <f t="shared" si="7"/>
        <v>16</v>
      </c>
      <c r="T46" s="25" t="str">
        <f t="shared" si="4"/>
        <v>OK</v>
      </c>
      <c r="U46" s="138"/>
      <c r="V46" s="138"/>
      <c r="W46" s="138"/>
      <c r="X46" s="138"/>
      <c r="Y46" s="139"/>
      <c r="Z46" s="174"/>
      <c r="AA46" s="174"/>
      <c r="AB46" s="173">
        <v>4</v>
      </c>
      <c r="AC46" s="173"/>
      <c r="AD46" s="22"/>
      <c r="AE46" s="22"/>
      <c r="AF46" s="22"/>
      <c r="AG46" s="22"/>
    </row>
    <row r="47" spans="1:33" ht="30.25" customHeight="1" x14ac:dyDescent="0.35">
      <c r="A47" s="199"/>
      <c r="B47" s="37">
        <v>44</v>
      </c>
      <c r="C47" s="196"/>
      <c r="D47" s="34" t="s">
        <v>158</v>
      </c>
      <c r="E47" s="41" t="s">
        <v>8</v>
      </c>
      <c r="F47" s="42" t="s">
        <v>28</v>
      </c>
      <c r="G47" s="37" t="s">
        <v>159</v>
      </c>
      <c r="H47" s="37" t="s">
        <v>8</v>
      </c>
      <c r="I47" s="37" t="s">
        <v>9</v>
      </c>
      <c r="J47" s="36">
        <v>1424</v>
      </c>
      <c r="K47" s="27">
        <f>0</f>
        <v>0</v>
      </c>
      <c r="L47" s="127">
        <f t="shared" si="5"/>
        <v>0</v>
      </c>
      <c r="M47" s="127">
        <f t="shared" si="6"/>
        <v>0</v>
      </c>
      <c r="N47" s="183">
        <v>3</v>
      </c>
      <c r="O47" s="129">
        <f t="shared" si="3"/>
        <v>0</v>
      </c>
      <c r="P47" s="128"/>
      <c r="Q47" s="128"/>
      <c r="R47" s="128"/>
      <c r="S47" s="26">
        <f t="shared" si="7"/>
        <v>3</v>
      </c>
      <c r="T47" s="25" t="str">
        <f t="shared" si="4"/>
        <v>OK</v>
      </c>
      <c r="U47" s="138"/>
      <c r="V47" s="138"/>
      <c r="W47" s="138"/>
      <c r="X47" s="138"/>
      <c r="Y47" s="139"/>
      <c r="Z47" s="174"/>
      <c r="AA47" s="174"/>
      <c r="AB47" s="173"/>
      <c r="AC47" s="173"/>
      <c r="AD47" s="22"/>
      <c r="AE47" s="22"/>
      <c r="AF47" s="22"/>
      <c r="AG47" s="22"/>
    </row>
    <row r="48" spans="1:33" ht="30.25" customHeight="1" x14ac:dyDescent="0.35">
      <c r="A48" s="200"/>
      <c r="B48" s="37">
        <v>45</v>
      </c>
      <c r="C48" s="197"/>
      <c r="D48" s="34" t="s">
        <v>160</v>
      </c>
      <c r="E48" s="41" t="s">
        <v>8</v>
      </c>
      <c r="F48" s="43" t="s">
        <v>28</v>
      </c>
      <c r="G48" s="37" t="s">
        <v>29</v>
      </c>
      <c r="H48" s="37" t="s">
        <v>8</v>
      </c>
      <c r="I48" s="37" t="s">
        <v>9</v>
      </c>
      <c r="J48" s="36">
        <v>2503.0100000000002</v>
      </c>
      <c r="K48" s="27">
        <f>0</f>
        <v>0</v>
      </c>
      <c r="L48" s="127">
        <f t="shared" si="5"/>
        <v>0</v>
      </c>
      <c r="M48" s="127">
        <f t="shared" si="6"/>
        <v>0</v>
      </c>
      <c r="N48" s="183">
        <v>2</v>
      </c>
      <c r="O48" s="129">
        <f t="shared" si="3"/>
        <v>0</v>
      </c>
      <c r="P48" s="128"/>
      <c r="Q48" s="128"/>
      <c r="R48" s="128"/>
      <c r="S48" s="26">
        <f t="shared" si="7"/>
        <v>2</v>
      </c>
      <c r="T48" s="25" t="str">
        <f t="shared" si="4"/>
        <v>OK</v>
      </c>
      <c r="U48" s="138"/>
      <c r="V48" s="138"/>
      <c r="W48" s="138"/>
      <c r="X48" s="138"/>
      <c r="Y48" s="139"/>
      <c r="Z48" s="174"/>
      <c r="AA48" s="174"/>
      <c r="AB48" s="173"/>
      <c r="AC48" s="173"/>
      <c r="AD48" s="22"/>
      <c r="AE48" s="22"/>
      <c r="AF48" s="22"/>
      <c r="AG48" s="22"/>
    </row>
    <row r="49" spans="1:33" ht="30.25" customHeight="1" x14ac:dyDescent="0.35">
      <c r="A49" s="208" t="s">
        <v>161</v>
      </c>
      <c r="B49" s="44">
        <v>46</v>
      </c>
      <c r="C49" s="205" t="s">
        <v>33</v>
      </c>
      <c r="D49" s="46" t="s">
        <v>27</v>
      </c>
      <c r="E49" s="48" t="s">
        <v>8</v>
      </c>
      <c r="F49" s="50" t="s">
        <v>28</v>
      </c>
      <c r="G49" s="44" t="s">
        <v>29</v>
      </c>
      <c r="H49" s="44" t="s">
        <v>8</v>
      </c>
      <c r="I49" s="44" t="s">
        <v>9</v>
      </c>
      <c r="J49" s="47">
        <v>80</v>
      </c>
      <c r="K49" s="27">
        <f>0</f>
        <v>0</v>
      </c>
      <c r="L49" s="127">
        <f t="shared" si="5"/>
        <v>0</v>
      </c>
      <c r="M49" s="127">
        <f t="shared" si="6"/>
        <v>0</v>
      </c>
      <c r="N49" s="183"/>
      <c r="O49" s="129">
        <f t="shared" si="3"/>
        <v>0</v>
      </c>
      <c r="P49" s="128"/>
      <c r="Q49" s="128"/>
      <c r="R49" s="128"/>
      <c r="S49" s="26">
        <f t="shared" si="7"/>
        <v>0</v>
      </c>
      <c r="T49" s="25" t="str">
        <f t="shared" si="4"/>
        <v>OK</v>
      </c>
      <c r="U49" s="138"/>
      <c r="V49" s="138"/>
      <c r="W49" s="138"/>
      <c r="X49" s="138"/>
      <c r="Y49" s="139"/>
      <c r="Z49" s="174"/>
      <c r="AA49" s="174"/>
      <c r="AB49" s="173"/>
      <c r="AC49" s="173"/>
      <c r="AD49" s="22"/>
      <c r="AE49" s="22"/>
      <c r="AF49" s="22"/>
      <c r="AG49" s="22"/>
    </row>
    <row r="50" spans="1:33" ht="30.25" customHeight="1" x14ac:dyDescent="0.35">
      <c r="A50" s="209"/>
      <c r="B50" s="44">
        <v>47</v>
      </c>
      <c r="C50" s="206"/>
      <c r="D50" s="46" t="s">
        <v>7</v>
      </c>
      <c r="E50" s="48" t="s">
        <v>8</v>
      </c>
      <c r="F50" s="50" t="s">
        <v>28</v>
      </c>
      <c r="G50" s="44" t="s">
        <v>29</v>
      </c>
      <c r="H50" s="44" t="s">
        <v>8</v>
      </c>
      <c r="I50" s="44" t="s">
        <v>9</v>
      </c>
      <c r="J50" s="47">
        <v>550</v>
      </c>
      <c r="K50" s="27">
        <f>0</f>
        <v>0</v>
      </c>
      <c r="L50" s="127">
        <f t="shared" si="5"/>
        <v>0</v>
      </c>
      <c r="M50" s="127">
        <f t="shared" si="6"/>
        <v>0</v>
      </c>
      <c r="N50" s="183"/>
      <c r="O50" s="129">
        <f t="shared" si="3"/>
        <v>0</v>
      </c>
      <c r="P50" s="128"/>
      <c r="Q50" s="128"/>
      <c r="R50" s="128"/>
      <c r="S50" s="26">
        <f t="shared" si="7"/>
        <v>0</v>
      </c>
      <c r="T50" s="25" t="str">
        <f t="shared" si="4"/>
        <v>OK</v>
      </c>
      <c r="U50" s="138"/>
      <c r="V50" s="138"/>
      <c r="W50" s="138"/>
      <c r="X50" s="138"/>
      <c r="Y50" s="139"/>
      <c r="Z50" s="174"/>
      <c r="AA50" s="174"/>
      <c r="AB50" s="173"/>
      <c r="AC50" s="173"/>
      <c r="AD50" s="22"/>
      <c r="AE50" s="22"/>
      <c r="AF50" s="22"/>
      <c r="AG50" s="22"/>
    </row>
    <row r="51" spans="1:33" ht="30.25" customHeight="1" x14ac:dyDescent="0.35">
      <c r="A51" s="209"/>
      <c r="B51" s="44">
        <v>48</v>
      </c>
      <c r="C51" s="206"/>
      <c r="D51" s="46" t="s">
        <v>10</v>
      </c>
      <c r="E51" s="48" t="s">
        <v>8</v>
      </c>
      <c r="F51" s="50" t="s">
        <v>28</v>
      </c>
      <c r="G51" s="44" t="s">
        <v>29</v>
      </c>
      <c r="H51" s="44" t="s">
        <v>8</v>
      </c>
      <c r="I51" s="44" t="s">
        <v>9</v>
      </c>
      <c r="J51" s="47">
        <v>850</v>
      </c>
      <c r="K51" s="27">
        <f>0</f>
        <v>0</v>
      </c>
      <c r="L51" s="127">
        <f t="shared" si="5"/>
        <v>0</v>
      </c>
      <c r="M51" s="127">
        <f t="shared" si="6"/>
        <v>0</v>
      </c>
      <c r="N51" s="183"/>
      <c r="O51" s="129">
        <f t="shared" si="3"/>
        <v>0</v>
      </c>
      <c r="P51" s="128"/>
      <c r="Q51" s="128"/>
      <c r="R51" s="128"/>
      <c r="S51" s="26">
        <f t="shared" si="7"/>
        <v>0</v>
      </c>
      <c r="T51" s="25" t="str">
        <f t="shared" si="4"/>
        <v>OK</v>
      </c>
      <c r="U51" s="138"/>
      <c r="V51" s="138"/>
      <c r="W51" s="138"/>
      <c r="X51" s="138"/>
      <c r="Y51" s="139"/>
      <c r="Z51" s="174"/>
      <c r="AA51" s="174"/>
      <c r="AB51" s="173"/>
      <c r="AC51" s="173"/>
      <c r="AD51" s="22"/>
      <c r="AE51" s="22"/>
      <c r="AF51" s="22"/>
      <c r="AG51" s="22"/>
    </row>
    <row r="52" spans="1:33" ht="30.25" customHeight="1" x14ac:dyDescent="0.35">
      <c r="A52" s="209"/>
      <c r="B52" s="44">
        <v>49</v>
      </c>
      <c r="C52" s="206"/>
      <c r="D52" s="46" t="s">
        <v>11</v>
      </c>
      <c r="E52" s="48" t="s">
        <v>8</v>
      </c>
      <c r="F52" s="50" t="s">
        <v>28</v>
      </c>
      <c r="G52" s="44" t="s">
        <v>29</v>
      </c>
      <c r="H52" s="44" t="s">
        <v>8</v>
      </c>
      <c r="I52" s="44" t="s">
        <v>9</v>
      </c>
      <c r="J52" s="47">
        <v>800</v>
      </c>
      <c r="K52" s="27">
        <f>0</f>
        <v>0</v>
      </c>
      <c r="L52" s="127">
        <f t="shared" si="5"/>
        <v>0</v>
      </c>
      <c r="M52" s="127">
        <f t="shared" si="6"/>
        <v>0</v>
      </c>
      <c r="N52" s="183"/>
      <c r="O52" s="129">
        <f t="shared" si="3"/>
        <v>0</v>
      </c>
      <c r="P52" s="128"/>
      <c r="Q52" s="128"/>
      <c r="R52" s="128"/>
      <c r="S52" s="26">
        <f t="shared" si="7"/>
        <v>0</v>
      </c>
      <c r="T52" s="25" t="str">
        <f t="shared" si="4"/>
        <v>OK</v>
      </c>
      <c r="U52" s="138"/>
      <c r="V52" s="138"/>
      <c r="W52" s="138"/>
      <c r="X52" s="138"/>
      <c r="Y52" s="139"/>
      <c r="Z52" s="174"/>
      <c r="AA52" s="174"/>
      <c r="AB52" s="173"/>
      <c r="AC52" s="173"/>
      <c r="AD52" s="22"/>
      <c r="AE52" s="22"/>
      <c r="AF52" s="22"/>
      <c r="AG52" s="22"/>
    </row>
    <row r="53" spans="1:33" ht="30.25" customHeight="1" x14ac:dyDescent="0.35">
      <c r="A53" s="209"/>
      <c r="B53" s="44">
        <v>50</v>
      </c>
      <c r="C53" s="206"/>
      <c r="D53" s="46" t="s">
        <v>12</v>
      </c>
      <c r="E53" s="48" t="s">
        <v>8</v>
      </c>
      <c r="F53" s="50" t="s">
        <v>28</v>
      </c>
      <c r="G53" s="44" t="s">
        <v>29</v>
      </c>
      <c r="H53" s="44" t="s">
        <v>34</v>
      </c>
      <c r="I53" s="44" t="s">
        <v>9</v>
      </c>
      <c r="J53" s="47">
        <v>50</v>
      </c>
      <c r="K53" s="27">
        <f>0</f>
        <v>0</v>
      </c>
      <c r="L53" s="127">
        <f t="shared" si="5"/>
        <v>0</v>
      </c>
      <c r="M53" s="127">
        <f t="shared" si="6"/>
        <v>0</v>
      </c>
      <c r="N53" s="183"/>
      <c r="O53" s="129">
        <f t="shared" si="3"/>
        <v>0</v>
      </c>
      <c r="P53" s="128"/>
      <c r="Q53" s="128"/>
      <c r="R53" s="128"/>
      <c r="S53" s="26">
        <f t="shared" si="7"/>
        <v>0</v>
      </c>
      <c r="T53" s="25" t="str">
        <f t="shared" si="4"/>
        <v>OK</v>
      </c>
      <c r="U53" s="138"/>
      <c r="V53" s="138"/>
      <c r="W53" s="138"/>
      <c r="X53" s="138"/>
      <c r="Y53" s="139"/>
      <c r="Z53" s="174"/>
      <c r="AA53" s="174"/>
      <c r="AB53" s="173"/>
      <c r="AC53" s="173"/>
      <c r="AD53" s="22"/>
      <c r="AE53" s="22"/>
      <c r="AF53" s="22"/>
      <c r="AG53" s="22"/>
    </row>
    <row r="54" spans="1:33" ht="30.25" customHeight="1" x14ac:dyDescent="0.35">
      <c r="A54" s="209"/>
      <c r="B54" s="44">
        <v>51</v>
      </c>
      <c r="C54" s="206"/>
      <c r="D54" s="46" t="s">
        <v>156</v>
      </c>
      <c r="E54" s="48" t="s">
        <v>8</v>
      </c>
      <c r="F54" s="50" t="s">
        <v>28</v>
      </c>
      <c r="G54" s="44" t="s">
        <v>29</v>
      </c>
      <c r="H54" s="44" t="s">
        <v>34</v>
      </c>
      <c r="I54" s="44" t="s">
        <v>9</v>
      </c>
      <c r="J54" s="47">
        <v>50</v>
      </c>
      <c r="K54" s="27">
        <f>0</f>
        <v>0</v>
      </c>
      <c r="L54" s="127">
        <f t="shared" si="5"/>
        <v>0</v>
      </c>
      <c r="M54" s="127">
        <f t="shared" si="6"/>
        <v>0</v>
      </c>
      <c r="N54" s="183"/>
      <c r="O54" s="129">
        <f t="shared" si="3"/>
        <v>0</v>
      </c>
      <c r="P54" s="128"/>
      <c r="Q54" s="128"/>
      <c r="R54" s="128"/>
      <c r="S54" s="26">
        <f t="shared" si="7"/>
        <v>0</v>
      </c>
      <c r="T54" s="25" t="str">
        <f t="shared" si="4"/>
        <v>OK</v>
      </c>
      <c r="U54" s="138"/>
      <c r="V54" s="138"/>
      <c r="W54" s="138"/>
      <c r="X54" s="138"/>
      <c r="Y54" s="139"/>
      <c r="Z54" s="174"/>
      <c r="AA54" s="174"/>
      <c r="AB54" s="173"/>
      <c r="AC54" s="173"/>
      <c r="AD54" s="22"/>
      <c r="AE54" s="22"/>
      <c r="AF54" s="22"/>
      <c r="AG54" s="22"/>
    </row>
    <row r="55" spans="1:33" ht="30.25" customHeight="1" x14ac:dyDescent="0.35">
      <c r="A55" s="209"/>
      <c r="B55" s="44">
        <v>52</v>
      </c>
      <c r="C55" s="206"/>
      <c r="D55" s="46" t="s">
        <v>13</v>
      </c>
      <c r="E55" s="48" t="s">
        <v>8</v>
      </c>
      <c r="F55" s="50" t="s">
        <v>28</v>
      </c>
      <c r="G55" s="44" t="s">
        <v>29</v>
      </c>
      <c r="H55" s="44" t="s">
        <v>34</v>
      </c>
      <c r="I55" s="44" t="s">
        <v>9</v>
      </c>
      <c r="J55" s="47">
        <v>50</v>
      </c>
      <c r="K55" s="27">
        <f>0</f>
        <v>0</v>
      </c>
      <c r="L55" s="127">
        <f t="shared" si="5"/>
        <v>0</v>
      </c>
      <c r="M55" s="127">
        <f t="shared" si="6"/>
        <v>0</v>
      </c>
      <c r="N55" s="183"/>
      <c r="O55" s="129">
        <f t="shared" si="3"/>
        <v>0</v>
      </c>
      <c r="P55" s="128"/>
      <c r="Q55" s="128"/>
      <c r="R55" s="128"/>
      <c r="S55" s="26">
        <f t="shared" si="7"/>
        <v>0</v>
      </c>
      <c r="T55" s="25" t="str">
        <f t="shared" si="4"/>
        <v>OK</v>
      </c>
      <c r="U55" s="138"/>
      <c r="V55" s="138"/>
      <c r="W55" s="138"/>
      <c r="X55" s="138"/>
      <c r="Y55" s="139"/>
      <c r="Z55" s="174"/>
      <c r="AA55" s="174"/>
      <c r="AB55" s="173"/>
      <c r="AC55" s="173"/>
      <c r="AD55" s="22"/>
      <c r="AE55" s="22"/>
      <c r="AF55" s="22"/>
      <c r="AG55" s="22"/>
    </row>
    <row r="56" spans="1:33" ht="30.25" customHeight="1" x14ac:dyDescent="0.35">
      <c r="A56" s="209"/>
      <c r="B56" s="44">
        <v>53</v>
      </c>
      <c r="C56" s="206"/>
      <c r="D56" s="46" t="s">
        <v>157</v>
      </c>
      <c r="E56" s="48" t="s">
        <v>8</v>
      </c>
      <c r="F56" s="50" t="s">
        <v>28</v>
      </c>
      <c r="G56" s="44" t="s">
        <v>29</v>
      </c>
      <c r="H56" s="44" t="s">
        <v>8</v>
      </c>
      <c r="I56" s="44" t="s">
        <v>9</v>
      </c>
      <c r="J56" s="47">
        <v>50</v>
      </c>
      <c r="K56" s="27">
        <f>0</f>
        <v>0</v>
      </c>
      <c r="L56" s="127">
        <f t="shared" si="5"/>
        <v>0</v>
      </c>
      <c r="M56" s="127">
        <f t="shared" si="6"/>
        <v>0</v>
      </c>
      <c r="N56" s="183"/>
      <c r="O56" s="129">
        <f t="shared" si="3"/>
        <v>0</v>
      </c>
      <c r="P56" s="128"/>
      <c r="Q56" s="128"/>
      <c r="R56" s="128"/>
      <c r="S56" s="26">
        <f t="shared" si="7"/>
        <v>0</v>
      </c>
      <c r="T56" s="25" t="str">
        <f t="shared" si="4"/>
        <v>OK</v>
      </c>
      <c r="U56" s="138"/>
      <c r="V56" s="138"/>
      <c r="W56" s="138"/>
      <c r="X56" s="138"/>
      <c r="Y56" s="139"/>
      <c r="Z56" s="174"/>
      <c r="AA56" s="174"/>
      <c r="AB56" s="173"/>
      <c r="AC56" s="173"/>
      <c r="AD56" s="22"/>
      <c r="AE56" s="22"/>
      <c r="AF56" s="22"/>
      <c r="AG56" s="22"/>
    </row>
    <row r="57" spans="1:33" ht="30.25" customHeight="1" x14ac:dyDescent="0.35">
      <c r="A57" s="209"/>
      <c r="B57" s="44">
        <v>54</v>
      </c>
      <c r="C57" s="206"/>
      <c r="D57" s="46" t="s">
        <v>30</v>
      </c>
      <c r="E57" s="48" t="s">
        <v>8</v>
      </c>
      <c r="F57" s="50" t="s">
        <v>28</v>
      </c>
      <c r="G57" s="44" t="s">
        <v>29</v>
      </c>
      <c r="H57" s="44" t="s">
        <v>8</v>
      </c>
      <c r="I57" s="44" t="s">
        <v>9</v>
      </c>
      <c r="J57" s="47">
        <v>80</v>
      </c>
      <c r="K57" s="27">
        <f>0</f>
        <v>0</v>
      </c>
      <c r="L57" s="127">
        <f t="shared" si="5"/>
        <v>0</v>
      </c>
      <c r="M57" s="127">
        <f t="shared" si="6"/>
        <v>0</v>
      </c>
      <c r="N57" s="183"/>
      <c r="O57" s="129">
        <f t="shared" si="3"/>
        <v>0</v>
      </c>
      <c r="P57" s="128"/>
      <c r="Q57" s="128"/>
      <c r="R57" s="128"/>
      <c r="S57" s="26">
        <f t="shared" si="7"/>
        <v>0</v>
      </c>
      <c r="T57" s="25" t="str">
        <f t="shared" si="4"/>
        <v>OK</v>
      </c>
      <c r="U57" s="138"/>
      <c r="V57" s="138"/>
      <c r="W57" s="138"/>
      <c r="X57" s="138"/>
      <c r="Y57" s="139"/>
      <c r="Z57" s="174"/>
      <c r="AA57" s="174"/>
      <c r="AB57" s="173"/>
      <c r="AC57" s="173"/>
      <c r="AD57" s="22"/>
      <c r="AE57" s="22"/>
      <c r="AF57" s="22"/>
      <c r="AG57" s="22"/>
    </row>
    <row r="58" spans="1:33" ht="30.25" customHeight="1" x14ac:dyDescent="0.35">
      <c r="A58" s="209"/>
      <c r="B58" s="44">
        <v>55</v>
      </c>
      <c r="C58" s="206"/>
      <c r="D58" s="46" t="s">
        <v>162</v>
      </c>
      <c r="E58" s="48" t="s">
        <v>8</v>
      </c>
      <c r="F58" s="50" t="s">
        <v>28</v>
      </c>
      <c r="G58" s="44" t="s">
        <v>159</v>
      </c>
      <c r="H58" s="44" t="s">
        <v>8</v>
      </c>
      <c r="I58" s="44" t="s">
        <v>9</v>
      </c>
      <c r="J58" s="47">
        <v>1114</v>
      </c>
      <c r="K58" s="27">
        <f>0</f>
        <v>0</v>
      </c>
      <c r="L58" s="127">
        <f t="shared" si="5"/>
        <v>0</v>
      </c>
      <c r="M58" s="127">
        <f t="shared" si="6"/>
        <v>0</v>
      </c>
      <c r="N58" s="183"/>
      <c r="O58" s="129">
        <f t="shared" si="3"/>
        <v>0</v>
      </c>
      <c r="P58" s="128"/>
      <c r="Q58" s="128"/>
      <c r="R58" s="128"/>
      <c r="S58" s="26">
        <f t="shared" si="7"/>
        <v>0</v>
      </c>
      <c r="T58" s="25" t="str">
        <f t="shared" si="4"/>
        <v>OK</v>
      </c>
      <c r="U58" s="138"/>
      <c r="V58" s="138"/>
      <c r="W58" s="138"/>
      <c r="X58" s="138"/>
      <c r="Y58" s="139"/>
      <c r="Z58" s="174"/>
      <c r="AA58" s="174"/>
      <c r="AB58" s="173"/>
      <c r="AC58" s="173"/>
      <c r="AD58" s="22"/>
      <c r="AE58" s="22"/>
      <c r="AF58" s="22"/>
      <c r="AG58" s="22"/>
    </row>
    <row r="59" spans="1:33" ht="30.25" customHeight="1" x14ac:dyDescent="0.35">
      <c r="A59" s="210"/>
      <c r="B59" s="44">
        <v>56</v>
      </c>
      <c r="C59" s="207"/>
      <c r="D59" s="46" t="s">
        <v>160</v>
      </c>
      <c r="E59" s="48" t="s">
        <v>8</v>
      </c>
      <c r="F59" s="50" t="s">
        <v>28</v>
      </c>
      <c r="G59" s="44" t="s">
        <v>29</v>
      </c>
      <c r="H59" s="44" t="s">
        <v>8</v>
      </c>
      <c r="I59" s="44" t="s">
        <v>9</v>
      </c>
      <c r="J59" s="47">
        <v>2000</v>
      </c>
      <c r="K59" s="27">
        <f>0</f>
        <v>0</v>
      </c>
      <c r="L59" s="127">
        <f t="shared" si="5"/>
        <v>0</v>
      </c>
      <c r="M59" s="127">
        <f t="shared" si="6"/>
        <v>0</v>
      </c>
      <c r="N59" s="183"/>
      <c r="O59" s="129">
        <f t="shared" si="3"/>
        <v>0</v>
      </c>
      <c r="P59" s="128"/>
      <c r="Q59" s="128"/>
      <c r="R59" s="128"/>
      <c r="S59" s="26">
        <f t="shared" si="7"/>
        <v>0</v>
      </c>
      <c r="T59" s="25" t="str">
        <f t="shared" si="4"/>
        <v>OK</v>
      </c>
      <c r="U59" s="138"/>
      <c r="V59" s="138"/>
      <c r="W59" s="138"/>
      <c r="X59" s="138"/>
      <c r="Y59" s="139"/>
      <c r="Z59" s="174"/>
      <c r="AA59" s="174"/>
      <c r="AB59" s="173"/>
      <c r="AC59" s="173"/>
      <c r="AD59" s="22"/>
      <c r="AE59" s="22"/>
      <c r="AF59" s="22"/>
      <c r="AG59" s="22"/>
    </row>
    <row r="60" spans="1:33" ht="30.25" customHeight="1" x14ac:dyDescent="0.35">
      <c r="A60" s="198" t="s">
        <v>163</v>
      </c>
      <c r="B60" s="37">
        <v>57</v>
      </c>
      <c r="C60" s="195" t="s">
        <v>33</v>
      </c>
      <c r="D60" s="34" t="s">
        <v>27</v>
      </c>
      <c r="E60" s="41" t="s">
        <v>8</v>
      </c>
      <c r="F60" s="43" t="s">
        <v>28</v>
      </c>
      <c r="G60" s="37" t="s">
        <v>29</v>
      </c>
      <c r="H60" s="37" t="s">
        <v>8</v>
      </c>
      <c r="I60" s="37" t="s">
        <v>9</v>
      </c>
      <c r="J60" s="36">
        <v>250.5</v>
      </c>
      <c r="K60" s="27">
        <f>0</f>
        <v>0</v>
      </c>
      <c r="L60" s="127">
        <f t="shared" si="5"/>
        <v>0</v>
      </c>
      <c r="M60" s="127">
        <f t="shared" si="6"/>
        <v>0</v>
      </c>
      <c r="N60" s="183"/>
      <c r="O60" s="129">
        <f t="shared" si="3"/>
        <v>0</v>
      </c>
      <c r="P60" s="128"/>
      <c r="Q60" s="128"/>
      <c r="R60" s="128"/>
      <c r="S60" s="26">
        <f t="shared" si="7"/>
        <v>0</v>
      </c>
      <c r="T60" s="25" t="str">
        <f t="shared" si="4"/>
        <v>OK</v>
      </c>
      <c r="U60" s="138"/>
      <c r="V60" s="138"/>
      <c r="W60" s="138"/>
      <c r="X60" s="138"/>
      <c r="Y60" s="139"/>
      <c r="Z60" s="174"/>
      <c r="AA60" s="174"/>
      <c r="AB60" s="173"/>
      <c r="AC60" s="173"/>
      <c r="AD60" s="22"/>
      <c r="AE60" s="22"/>
      <c r="AF60" s="22"/>
      <c r="AG60" s="22"/>
    </row>
    <row r="61" spans="1:33" ht="30.25" customHeight="1" x14ac:dyDescent="0.35">
      <c r="A61" s="199"/>
      <c r="B61" s="37">
        <v>58</v>
      </c>
      <c r="C61" s="196"/>
      <c r="D61" s="34" t="s">
        <v>7</v>
      </c>
      <c r="E61" s="41" t="s">
        <v>8</v>
      </c>
      <c r="F61" s="43" t="s">
        <v>28</v>
      </c>
      <c r="G61" s="37" t="s">
        <v>29</v>
      </c>
      <c r="H61" s="37" t="s">
        <v>8</v>
      </c>
      <c r="I61" s="37" t="s">
        <v>9</v>
      </c>
      <c r="J61" s="36">
        <v>1000</v>
      </c>
      <c r="K61" s="27">
        <f>0</f>
        <v>0</v>
      </c>
      <c r="L61" s="127">
        <f t="shared" si="5"/>
        <v>0</v>
      </c>
      <c r="M61" s="127">
        <f t="shared" si="6"/>
        <v>0</v>
      </c>
      <c r="N61" s="183"/>
      <c r="O61" s="129">
        <f t="shared" si="3"/>
        <v>0</v>
      </c>
      <c r="P61" s="128"/>
      <c r="Q61" s="128"/>
      <c r="R61" s="128"/>
      <c r="S61" s="26">
        <f t="shared" si="7"/>
        <v>0</v>
      </c>
      <c r="T61" s="25" t="str">
        <f t="shared" si="4"/>
        <v>OK</v>
      </c>
      <c r="U61" s="138"/>
      <c r="V61" s="138"/>
      <c r="W61" s="138"/>
      <c r="X61" s="138"/>
      <c r="Y61" s="139"/>
      <c r="Z61" s="174"/>
      <c r="AA61" s="174"/>
      <c r="AB61" s="173"/>
      <c r="AC61" s="173"/>
      <c r="AD61" s="22"/>
      <c r="AE61" s="22"/>
      <c r="AF61" s="22"/>
      <c r="AG61" s="22"/>
    </row>
    <row r="62" spans="1:33" ht="30.25" customHeight="1" x14ac:dyDescent="0.35">
      <c r="A62" s="199"/>
      <c r="B62" s="37">
        <v>59</v>
      </c>
      <c r="C62" s="196"/>
      <c r="D62" s="34" t="s">
        <v>10</v>
      </c>
      <c r="E62" s="41" t="s">
        <v>8</v>
      </c>
      <c r="F62" s="43" t="s">
        <v>28</v>
      </c>
      <c r="G62" s="37" t="s">
        <v>29</v>
      </c>
      <c r="H62" s="37" t="s">
        <v>8</v>
      </c>
      <c r="I62" s="37" t="s">
        <v>9</v>
      </c>
      <c r="J62" s="36">
        <v>1500</v>
      </c>
      <c r="K62" s="27">
        <f>0</f>
        <v>0</v>
      </c>
      <c r="L62" s="127">
        <f t="shared" si="5"/>
        <v>0</v>
      </c>
      <c r="M62" s="127">
        <f t="shared" si="6"/>
        <v>0</v>
      </c>
      <c r="N62" s="183"/>
      <c r="O62" s="129">
        <f t="shared" si="3"/>
        <v>0</v>
      </c>
      <c r="P62" s="128"/>
      <c r="Q62" s="128"/>
      <c r="R62" s="128"/>
      <c r="S62" s="26">
        <f t="shared" si="7"/>
        <v>0</v>
      </c>
      <c r="T62" s="25" t="str">
        <f t="shared" si="4"/>
        <v>OK</v>
      </c>
      <c r="U62" s="138"/>
      <c r="V62" s="138"/>
      <c r="W62" s="138"/>
      <c r="X62" s="138"/>
      <c r="Y62" s="139"/>
      <c r="Z62" s="174"/>
      <c r="AA62" s="174"/>
      <c r="AB62" s="173"/>
      <c r="AC62" s="173"/>
      <c r="AD62" s="22"/>
      <c r="AE62" s="22"/>
      <c r="AF62" s="22"/>
      <c r="AG62" s="22"/>
    </row>
    <row r="63" spans="1:33" ht="30.25" customHeight="1" x14ac:dyDescent="0.35">
      <c r="A63" s="199"/>
      <c r="B63" s="37">
        <v>60</v>
      </c>
      <c r="C63" s="196"/>
      <c r="D63" s="34" t="s">
        <v>11</v>
      </c>
      <c r="E63" s="41" t="s">
        <v>8</v>
      </c>
      <c r="F63" s="43" t="s">
        <v>28</v>
      </c>
      <c r="G63" s="37" t="s">
        <v>29</v>
      </c>
      <c r="H63" s="37" t="s">
        <v>8</v>
      </c>
      <c r="I63" s="37" t="s">
        <v>9</v>
      </c>
      <c r="J63" s="36">
        <v>1731</v>
      </c>
      <c r="K63" s="27">
        <f>0</f>
        <v>0</v>
      </c>
      <c r="L63" s="127">
        <f t="shared" si="5"/>
        <v>0</v>
      </c>
      <c r="M63" s="127">
        <f t="shared" si="6"/>
        <v>0</v>
      </c>
      <c r="N63" s="183"/>
      <c r="O63" s="129">
        <f t="shared" si="3"/>
        <v>0</v>
      </c>
      <c r="P63" s="128"/>
      <c r="Q63" s="128"/>
      <c r="R63" s="128"/>
      <c r="S63" s="26">
        <f t="shared" si="7"/>
        <v>0</v>
      </c>
      <c r="T63" s="25" t="str">
        <f t="shared" si="4"/>
        <v>OK</v>
      </c>
      <c r="U63" s="138"/>
      <c r="V63" s="138"/>
      <c r="W63" s="138"/>
      <c r="X63" s="138"/>
      <c r="Y63" s="139"/>
      <c r="Z63" s="174"/>
      <c r="AA63" s="174"/>
      <c r="AB63" s="173"/>
      <c r="AC63" s="173"/>
      <c r="AD63" s="22"/>
      <c r="AE63" s="22"/>
      <c r="AF63" s="22"/>
      <c r="AG63" s="22"/>
    </row>
    <row r="64" spans="1:33" ht="30.25" customHeight="1" x14ac:dyDescent="0.35">
      <c r="A64" s="199"/>
      <c r="B64" s="37">
        <v>61</v>
      </c>
      <c r="C64" s="196"/>
      <c r="D64" s="34" t="s">
        <v>12</v>
      </c>
      <c r="E64" s="41" t="s">
        <v>8</v>
      </c>
      <c r="F64" s="43" t="s">
        <v>28</v>
      </c>
      <c r="G64" s="37" t="s">
        <v>29</v>
      </c>
      <c r="H64" s="37" t="s">
        <v>34</v>
      </c>
      <c r="I64" s="37" t="s">
        <v>9</v>
      </c>
      <c r="J64" s="36">
        <v>160</v>
      </c>
      <c r="K64" s="27">
        <f>0</f>
        <v>0</v>
      </c>
      <c r="L64" s="127">
        <f t="shared" si="5"/>
        <v>0</v>
      </c>
      <c r="M64" s="127">
        <f t="shared" si="6"/>
        <v>0</v>
      </c>
      <c r="N64" s="183"/>
      <c r="O64" s="129">
        <f t="shared" si="3"/>
        <v>0</v>
      </c>
      <c r="P64" s="128"/>
      <c r="Q64" s="128"/>
      <c r="R64" s="128"/>
      <c r="S64" s="26">
        <f t="shared" si="7"/>
        <v>0</v>
      </c>
      <c r="T64" s="25" t="str">
        <f t="shared" si="4"/>
        <v>OK</v>
      </c>
      <c r="U64" s="138"/>
      <c r="V64" s="138"/>
      <c r="W64" s="138"/>
      <c r="X64" s="138"/>
      <c r="Y64" s="139"/>
      <c r="Z64" s="174"/>
      <c r="AA64" s="174"/>
      <c r="AB64" s="173"/>
      <c r="AC64" s="173"/>
      <c r="AD64" s="22"/>
      <c r="AE64" s="22"/>
      <c r="AF64" s="22"/>
      <c r="AG64" s="22"/>
    </row>
    <row r="65" spans="1:33" ht="30.25" customHeight="1" x14ac:dyDescent="0.35">
      <c r="A65" s="199"/>
      <c r="B65" s="37">
        <v>62</v>
      </c>
      <c r="C65" s="196"/>
      <c r="D65" s="34" t="s">
        <v>156</v>
      </c>
      <c r="E65" s="41" t="s">
        <v>8</v>
      </c>
      <c r="F65" s="43" t="s">
        <v>28</v>
      </c>
      <c r="G65" s="37" t="s">
        <v>29</v>
      </c>
      <c r="H65" s="37" t="s">
        <v>34</v>
      </c>
      <c r="I65" s="37" t="s">
        <v>9</v>
      </c>
      <c r="J65" s="36">
        <v>135</v>
      </c>
      <c r="K65" s="27">
        <f>0</f>
        <v>0</v>
      </c>
      <c r="L65" s="127">
        <f t="shared" si="5"/>
        <v>0</v>
      </c>
      <c r="M65" s="127">
        <f t="shared" si="6"/>
        <v>0</v>
      </c>
      <c r="N65" s="183"/>
      <c r="O65" s="129">
        <f t="shared" si="3"/>
        <v>0</v>
      </c>
      <c r="P65" s="128"/>
      <c r="Q65" s="128"/>
      <c r="R65" s="128"/>
      <c r="S65" s="26">
        <f t="shared" si="7"/>
        <v>0</v>
      </c>
      <c r="T65" s="25" t="str">
        <f t="shared" si="4"/>
        <v>OK</v>
      </c>
      <c r="U65" s="138"/>
      <c r="V65" s="138"/>
      <c r="W65" s="138"/>
      <c r="X65" s="138"/>
      <c r="Y65" s="139"/>
      <c r="Z65" s="174"/>
      <c r="AA65" s="174"/>
      <c r="AB65" s="173"/>
      <c r="AC65" s="173"/>
      <c r="AD65" s="22"/>
      <c r="AE65" s="22"/>
      <c r="AF65" s="22"/>
      <c r="AG65" s="22"/>
    </row>
    <row r="66" spans="1:33" ht="30.25" customHeight="1" x14ac:dyDescent="0.35">
      <c r="A66" s="199"/>
      <c r="B66" s="37">
        <v>63</v>
      </c>
      <c r="C66" s="196"/>
      <c r="D66" s="34" t="s">
        <v>13</v>
      </c>
      <c r="E66" s="41" t="s">
        <v>8</v>
      </c>
      <c r="F66" s="43" t="s">
        <v>28</v>
      </c>
      <c r="G66" s="37" t="s">
        <v>29</v>
      </c>
      <c r="H66" s="37" t="s">
        <v>34</v>
      </c>
      <c r="I66" s="37" t="s">
        <v>9</v>
      </c>
      <c r="J66" s="36">
        <v>135</v>
      </c>
      <c r="K66" s="27">
        <f>0</f>
        <v>0</v>
      </c>
      <c r="L66" s="127">
        <f t="shared" si="5"/>
        <v>0</v>
      </c>
      <c r="M66" s="127">
        <f t="shared" si="6"/>
        <v>0</v>
      </c>
      <c r="N66" s="183"/>
      <c r="O66" s="129">
        <f t="shared" si="3"/>
        <v>0</v>
      </c>
      <c r="P66" s="128"/>
      <c r="Q66" s="128"/>
      <c r="R66" s="128"/>
      <c r="S66" s="26">
        <f t="shared" si="7"/>
        <v>0</v>
      </c>
      <c r="T66" s="25" t="str">
        <f t="shared" si="4"/>
        <v>OK</v>
      </c>
      <c r="U66" s="138"/>
      <c r="V66" s="138"/>
      <c r="W66" s="138"/>
      <c r="X66" s="138"/>
      <c r="Y66" s="139"/>
      <c r="Z66" s="174"/>
      <c r="AA66" s="174"/>
      <c r="AB66" s="173"/>
      <c r="AC66" s="173"/>
      <c r="AD66" s="22"/>
      <c r="AE66" s="22"/>
      <c r="AF66" s="22"/>
      <c r="AG66" s="22"/>
    </row>
    <row r="67" spans="1:33" ht="30.25" customHeight="1" x14ac:dyDescent="0.35">
      <c r="A67" s="199"/>
      <c r="B67" s="37">
        <v>64</v>
      </c>
      <c r="C67" s="196"/>
      <c r="D67" s="34" t="s">
        <v>157</v>
      </c>
      <c r="E67" s="41" t="s">
        <v>8</v>
      </c>
      <c r="F67" s="43" t="s">
        <v>28</v>
      </c>
      <c r="G67" s="37" t="s">
        <v>29</v>
      </c>
      <c r="H67" s="37" t="s">
        <v>8</v>
      </c>
      <c r="I67" s="37" t="s">
        <v>9</v>
      </c>
      <c r="J67" s="36">
        <v>365</v>
      </c>
      <c r="K67" s="27">
        <f>0</f>
        <v>0</v>
      </c>
      <c r="L67" s="127">
        <f t="shared" si="5"/>
        <v>0</v>
      </c>
      <c r="M67" s="127">
        <f t="shared" si="6"/>
        <v>0</v>
      </c>
      <c r="N67" s="183"/>
      <c r="O67" s="129">
        <f t="shared" si="3"/>
        <v>0</v>
      </c>
      <c r="P67" s="128"/>
      <c r="Q67" s="128"/>
      <c r="R67" s="128"/>
      <c r="S67" s="26">
        <f t="shared" si="7"/>
        <v>0</v>
      </c>
      <c r="T67" s="25" t="str">
        <f t="shared" si="4"/>
        <v>OK</v>
      </c>
      <c r="U67" s="138"/>
      <c r="V67" s="138"/>
      <c r="W67" s="138"/>
      <c r="X67" s="138"/>
      <c r="Y67" s="139"/>
      <c r="Z67" s="174"/>
      <c r="AA67" s="174"/>
      <c r="AB67" s="173"/>
      <c r="AC67" s="173"/>
      <c r="AD67" s="22"/>
      <c r="AE67" s="22"/>
      <c r="AF67" s="22"/>
      <c r="AG67" s="22"/>
    </row>
    <row r="68" spans="1:33" ht="30.25" customHeight="1" x14ac:dyDescent="0.35">
      <c r="A68" s="200"/>
      <c r="B68" s="37">
        <v>65</v>
      </c>
      <c r="C68" s="197"/>
      <c r="D68" s="34" t="s">
        <v>30</v>
      </c>
      <c r="E68" s="41" t="s">
        <v>8</v>
      </c>
      <c r="F68" s="43" t="s">
        <v>28</v>
      </c>
      <c r="G68" s="37" t="s">
        <v>29</v>
      </c>
      <c r="H68" s="37" t="s">
        <v>8</v>
      </c>
      <c r="I68" s="37" t="s">
        <v>9</v>
      </c>
      <c r="J68" s="36">
        <v>100</v>
      </c>
      <c r="K68" s="27">
        <f>0</f>
        <v>0</v>
      </c>
      <c r="L68" s="127">
        <f t="shared" ref="L68:L81" si="8">IF(SUM(U68:AK68)&gt;K68+N68,K68+N68,SUM(U68:AK68))</f>
        <v>0</v>
      </c>
      <c r="M68" s="127">
        <f t="shared" ref="M68:M81" si="9">(SUM(U68:AK68))</f>
        <v>0</v>
      </c>
      <c r="N68" s="183"/>
      <c r="O68" s="129">
        <f t="shared" si="3"/>
        <v>0</v>
      </c>
      <c r="P68" s="128"/>
      <c r="Q68" s="128"/>
      <c r="R68" s="128"/>
      <c r="S68" s="26">
        <f t="shared" ref="S68:S81" si="10">K68-SUM(U68:AG68)+N68</f>
        <v>0</v>
      </c>
      <c r="T68" s="25" t="str">
        <f t="shared" si="4"/>
        <v>OK</v>
      </c>
      <c r="U68" s="138"/>
      <c r="V68" s="138"/>
      <c r="W68" s="138"/>
      <c r="X68" s="138"/>
      <c r="Y68" s="139"/>
      <c r="Z68" s="174"/>
      <c r="AA68" s="174"/>
      <c r="AB68" s="173"/>
      <c r="AC68" s="173"/>
      <c r="AD68" s="22"/>
      <c r="AE68" s="22"/>
      <c r="AF68" s="22"/>
      <c r="AG68" s="22"/>
    </row>
    <row r="69" spans="1:33" ht="30.25" customHeight="1" x14ac:dyDescent="0.35">
      <c r="A69" s="208" t="s">
        <v>164</v>
      </c>
      <c r="B69" s="44">
        <v>66</v>
      </c>
      <c r="C69" s="205" t="s">
        <v>92</v>
      </c>
      <c r="D69" s="46" t="s">
        <v>27</v>
      </c>
      <c r="E69" s="48" t="s">
        <v>8</v>
      </c>
      <c r="F69" s="50" t="s">
        <v>28</v>
      </c>
      <c r="G69" s="44" t="s">
        <v>29</v>
      </c>
      <c r="H69" s="44" t="s">
        <v>8</v>
      </c>
      <c r="I69" s="44" t="s">
        <v>9</v>
      </c>
      <c r="J69" s="47">
        <v>140</v>
      </c>
      <c r="K69" s="27">
        <f>0</f>
        <v>0</v>
      </c>
      <c r="L69" s="127">
        <f t="shared" si="8"/>
        <v>0</v>
      </c>
      <c r="M69" s="127">
        <f t="shared" si="9"/>
        <v>0</v>
      </c>
      <c r="N69" s="183"/>
      <c r="O69" s="129">
        <f t="shared" ref="O69:O82" si="11">ROUND(IF(K69*0.25-0.5&lt;0,0,K69*0.25-0.5),0)-R69-P69</f>
        <v>0</v>
      </c>
      <c r="P69" s="128"/>
      <c r="Q69" s="128"/>
      <c r="R69" s="128"/>
      <c r="S69" s="26">
        <f t="shared" si="10"/>
        <v>0</v>
      </c>
      <c r="T69" s="25" t="str">
        <f t="shared" ref="T69:T82" si="12">IF(S69&lt;0,"ATENÇÃO","OK")</f>
        <v>OK</v>
      </c>
      <c r="U69" s="138"/>
      <c r="V69" s="138"/>
      <c r="W69" s="138"/>
      <c r="X69" s="138"/>
      <c r="Y69" s="139"/>
      <c r="Z69" s="174"/>
      <c r="AA69" s="174"/>
      <c r="AB69" s="173"/>
      <c r="AC69" s="173"/>
      <c r="AD69" s="22"/>
      <c r="AE69" s="22"/>
      <c r="AF69" s="22"/>
      <c r="AG69" s="22"/>
    </row>
    <row r="70" spans="1:33" ht="30.25" customHeight="1" x14ac:dyDescent="0.35">
      <c r="A70" s="209"/>
      <c r="B70" s="44">
        <v>67</v>
      </c>
      <c r="C70" s="206"/>
      <c r="D70" s="46" t="s">
        <v>7</v>
      </c>
      <c r="E70" s="48" t="s">
        <v>8</v>
      </c>
      <c r="F70" s="50" t="s">
        <v>28</v>
      </c>
      <c r="G70" s="44" t="s">
        <v>29</v>
      </c>
      <c r="H70" s="44" t="s">
        <v>8</v>
      </c>
      <c r="I70" s="44" t="s">
        <v>9</v>
      </c>
      <c r="J70" s="47">
        <v>530</v>
      </c>
      <c r="K70" s="27">
        <f>0</f>
        <v>0</v>
      </c>
      <c r="L70" s="127">
        <f t="shared" si="8"/>
        <v>0</v>
      </c>
      <c r="M70" s="127">
        <f t="shared" si="9"/>
        <v>0</v>
      </c>
      <c r="N70" s="183"/>
      <c r="O70" s="129">
        <f t="shared" si="11"/>
        <v>0</v>
      </c>
      <c r="P70" s="128"/>
      <c r="Q70" s="128"/>
      <c r="R70" s="128"/>
      <c r="S70" s="26">
        <f t="shared" si="10"/>
        <v>0</v>
      </c>
      <c r="T70" s="25" t="str">
        <f t="shared" si="12"/>
        <v>OK</v>
      </c>
      <c r="U70" s="138"/>
      <c r="V70" s="138"/>
      <c r="W70" s="138"/>
      <c r="X70" s="138"/>
      <c r="Y70" s="139"/>
      <c r="Z70" s="174"/>
      <c r="AA70" s="174"/>
      <c r="AB70" s="173"/>
      <c r="AC70" s="173"/>
      <c r="AD70" s="22"/>
      <c r="AE70" s="22"/>
      <c r="AF70" s="22"/>
      <c r="AG70" s="22"/>
    </row>
    <row r="71" spans="1:33" ht="30.25" customHeight="1" x14ac:dyDescent="0.35">
      <c r="A71" s="209"/>
      <c r="B71" s="44">
        <v>68</v>
      </c>
      <c r="C71" s="206"/>
      <c r="D71" s="46" t="s">
        <v>10</v>
      </c>
      <c r="E71" s="48" t="s">
        <v>8</v>
      </c>
      <c r="F71" s="50" t="s">
        <v>28</v>
      </c>
      <c r="G71" s="44" t="s">
        <v>29</v>
      </c>
      <c r="H71" s="44" t="s">
        <v>8</v>
      </c>
      <c r="I71" s="44" t="s">
        <v>9</v>
      </c>
      <c r="J71" s="47">
        <v>660</v>
      </c>
      <c r="K71" s="27">
        <f>0</f>
        <v>0</v>
      </c>
      <c r="L71" s="127">
        <f t="shared" si="8"/>
        <v>0</v>
      </c>
      <c r="M71" s="127">
        <f t="shared" si="9"/>
        <v>0</v>
      </c>
      <c r="N71" s="183"/>
      <c r="O71" s="129">
        <f t="shared" si="11"/>
        <v>0</v>
      </c>
      <c r="P71" s="128"/>
      <c r="Q71" s="128"/>
      <c r="R71" s="128"/>
      <c r="S71" s="26">
        <f t="shared" si="10"/>
        <v>0</v>
      </c>
      <c r="T71" s="25" t="str">
        <f t="shared" si="12"/>
        <v>OK</v>
      </c>
      <c r="U71" s="138"/>
      <c r="V71" s="138"/>
      <c r="W71" s="138"/>
      <c r="X71" s="138"/>
      <c r="Y71" s="139"/>
      <c r="Z71" s="174"/>
      <c r="AA71" s="174"/>
      <c r="AB71" s="173"/>
      <c r="AC71" s="173"/>
      <c r="AD71" s="22"/>
      <c r="AE71" s="22"/>
      <c r="AF71" s="22"/>
      <c r="AG71" s="22"/>
    </row>
    <row r="72" spans="1:33" ht="30.25" customHeight="1" x14ac:dyDescent="0.35">
      <c r="A72" s="209"/>
      <c r="B72" s="44">
        <v>69</v>
      </c>
      <c r="C72" s="206"/>
      <c r="D72" s="46" t="s">
        <v>11</v>
      </c>
      <c r="E72" s="48" t="s">
        <v>8</v>
      </c>
      <c r="F72" s="50" t="s">
        <v>28</v>
      </c>
      <c r="G72" s="44" t="s">
        <v>29</v>
      </c>
      <c r="H72" s="44" t="s">
        <v>8</v>
      </c>
      <c r="I72" s="44" t="s">
        <v>9</v>
      </c>
      <c r="J72" s="47">
        <v>760</v>
      </c>
      <c r="K72" s="27">
        <f>0</f>
        <v>0</v>
      </c>
      <c r="L72" s="127">
        <f t="shared" si="8"/>
        <v>0</v>
      </c>
      <c r="M72" s="127">
        <f t="shared" si="9"/>
        <v>0</v>
      </c>
      <c r="N72" s="183"/>
      <c r="O72" s="129">
        <f t="shared" si="11"/>
        <v>0</v>
      </c>
      <c r="P72" s="128"/>
      <c r="Q72" s="128"/>
      <c r="R72" s="128"/>
      <c r="S72" s="26">
        <f t="shared" si="10"/>
        <v>0</v>
      </c>
      <c r="T72" s="25" t="str">
        <f t="shared" si="12"/>
        <v>OK</v>
      </c>
      <c r="U72" s="138"/>
      <c r="V72" s="138"/>
      <c r="W72" s="138"/>
      <c r="X72" s="138"/>
      <c r="Y72" s="139"/>
      <c r="Z72" s="174"/>
      <c r="AA72" s="174"/>
      <c r="AB72" s="173"/>
      <c r="AC72" s="173"/>
      <c r="AD72" s="22"/>
      <c r="AE72" s="22"/>
      <c r="AF72" s="22"/>
      <c r="AG72" s="22"/>
    </row>
    <row r="73" spans="1:33" ht="30.25" customHeight="1" x14ac:dyDescent="0.35">
      <c r="A73" s="209"/>
      <c r="B73" s="44">
        <v>70</v>
      </c>
      <c r="C73" s="206"/>
      <c r="D73" s="46" t="s">
        <v>12</v>
      </c>
      <c r="E73" s="48" t="s">
        <v>8</v>
      </c>
      <c r="F73" s="50" t="s">
        <v>28</v>
      </c>
      <c r="G73" s="44" t="s">
        <v>29</v>
      </c>
      <c r="H73" s="44" t="s">
        <v>34</v>
      </c>
      <c r="I73" s="44" t="s">
        <v>9</v>
      </c>
      <c r="J73" s="47">
        <v>70</v>
      </c>
      <c r="K73" s="27">
        <f>0</f>
        <v>0</v>
      </c>
      <c r="L73" s="127">
        <f t="shared" si="8"/>
        <v>0</v>
      </c>
      <c r="M73" s="127">
        <f t="shared" si="9"/>
        <v>0</v>
      </c>
      <c r="N73" s="183"/>
      <c r="O73" s="129">
        <f t="shared" si="11"/>
        <v>0</v>
      </c>
      <c r="P73" s="128"/>
      <c r="Q73" s="128"/>
      <c r="R73" s="128"/>
      <c r="S73" s="26">
        <f t="shared" si="10"/>
        <v>0</v>
      </c>
      <c r="T73" s="25" t="str">
        <f t="shared" si="12"/>
        <v>OK</v>
      </c>
      <c r="U73" s="138"/>
      <c r="V73" s="138"/>
      <c r="W73" s="138"/>
      <c r="X73" s="138"/>
      <c r="Y73" s="139"/>
      <c r="Z73" s="174"/>
      <c r="AA73" s="174"/>
      <c r="AB73" s="173"/>
      <c r="AC73" s="173"/>
      <c r="AD73" s="22"/>
      <c r="AE73" s="22"/>
      <c r="AF73" s="22"/>
      <c r="AG73" s="22"/>
    </row>
    <row r="74" spans="1:33" ht="30.25" customHeight="1" x14ac:dyDescent="0.35">
      <c r="A74" s="209"/>
      <c r="B74" s="44">
        <v>71</v>
      </c>
      <c r="C74" s="206"/>
      <c r="D74" s="46" t="s">
        <v>156</v>
      </c>
      <c r="E74" s="48" t="s">
        <v>8</v>
      </c>
      <c r="F74" s="50" t="s">
        <v>28</v>
      </c>
      <c r="G74" s="44" t="s">
        <v>29</v>
      </c>
      <c r="H74" s="44" t="s">
        <v>34</v>
      </c>
      <c r="I74" s="44" t="s">
        <v>9</v>
      </c>
      <c r="J74" s="47">
        <v>75</v>
      </c>
      <c r="K74" s="27">
        <f>0</f>
        <v>0</v>
      </c>
      <c r="L74" s="127">
        <f t="shared" si="8"/>
        <v>0</v>
      </c>
      <c r="M74" s="127">
        <f t="shared" si="9"/>
        <v>0</v>
      </c>
      <c r="N74" s="183"/>
      <c r="O74" s="129">
        <f t="shared" si="11"/>
        <v>0</v>
      </c>
      <c r="P74" s="128"/>
      <c r="Q74" s="128"/>
      <c r="R74" s="128"/>
      <c r="S74" s="26">
        <f t="shared" si="10"/>
        <v>0</v>
      </c>
      <c r="T74" s="25" t="str">
        <f t="shared" si="12"/>
        <v>OK</v>
      </c>
      <c r="U74" s="138"/>
      <c r="V74" s="138"/>
      <c r="W74" s="138"/>
      <c r="X74" s="138"/>
      <c r="Y74" s="139"/>
      <c r="Z74" s="174"/>
      <c r="AA74" s="174"/>
      <c r="AB74" s="173"/>
      <c r="AC74" s="173"/>
      <c r="AD74" s="22"/>
      <c r="AE74" s="22"/>
      <c r="AF74" s="22"/>
      <c r="AG74" s="22"/>
    </row>
    <row r="75" spans="1:33" ht="30.25" customHeight="1" x14ac:dyDescent="0.35">
      <c r="A75" s="209"/>
      <c r="B75" s="44">
        <v>72</v>
      </c>
      <c r="C75" s="206"/>
      <c r="D75" s="46" t="s">
        <v>13</v>
      </c>
      <c r="E75" s="48" t="s">
        <v>8</v>
      </c>
      <c r="F75" s="50" t="s">
        <v>28</v>
      </c>
      <c r="G75" s="44" t="s">
        <v>29</v>
      </c>
      <c r="H75" s="44" t="s">
        <v>34</v>
      </c>
      <c r="I75" s="44" t="s">
        <v>9</v>
      </c>
      <c r="J75" s="47">
        <v>80</v>
      </c>
      <c r="K75" s="27">
        <f>0</f>
        <v>0</v>
      </c>
      <c r="L75" s="127">
        <f t="shared" si="8"/>
        <v>0</v>
      </c>
      <c r="M75" s="127">
        <f t="shared" si="9"/>
        <v>0</v>
      </c>
      <c r="N75" s="183"/>
      <c r="O75" s="129">
        <f t="shared" si="11"/>
        <v>0</v>
      </c>
      <c r="P75" s="128"/>
      <c r="Q75" s="128"/>
      <c r="R75" s="128"/>
      <c r="S75" s="26">
        <f t="shared" si="10"/>
        <v>0</v>
      </c>
      <c r="T75" s="25" t="str">
        <f t="shared" si="12"/>
        <v>OK</v>
      </c>
      <c r="U75" s="138"/>
      <c r="V75" s="138"/>
      <c r="W75" s="138"/>
      <c r="X75" s="138"/>
      <c r="Y75" s="139"/>
      <c r="Z75" s="174"/>
      <c r="AA75" s="174"/>
      <c r="AB75" s="173"/>
      <c r="AC75" s="173"/>
      <c r="AD75" s="22"/>
      <c r="AE75" s="22"/>
      <c r="AF75" s="22"/>
      <c r="AG75" s="22"/>
    </row>
    <row r="76" spans="1:33" ht="30.25" customHeight="1" x14ac:dyDescent="0.35">
      <c r="A76" s="209"/>
      <c r="B76" s="44">
        <v>73</v>
      </c>
      <c r="C76" s="206"/>
      <c r="D76" s="46" t="s">
        <v>157</v>
      </c>
      <c r="E76" s="48" t="s">
        <v>8</v>
      </c>
      <c r="F76" s="50" t="s">
        <v>28</v>
      </c>
      <c r="G76" s="44" t="s">
        <v>29</v>
      </c>
      <c r="H76" s="44" t="s">
        <v>8</v>
      </c>
      <c r="I76" s="44" t="s">
        <v>9</v>
      </c>
      <c r="J76" s="47">
        <v>150</v>
      </c>
      <c r="K76" s="27">
        <f>0</f>
        <v>0</v>
      </c>
      <c r="L76" s="127">
        <f t="shared" si="8"/>
        <v>0</v>
      </c>
      <c r="M76" s="127">
        <f t="shared" si="9"/>
        <v>0</v>
      </c>
      <c r="N76" s="183"/>
      <c r="O76" s="129">
        <f t="shared" si="11"/>
        <v>0</v>
      </c>
      <c r="P76" s="128"/>
      <c r="Q76" s="128"/>
      <c r="R76" s="128"/>
      <c r="S76" s="26">
        <f t="shared" si="10"/>
        <v>0</v>
      </c>
      <c r="T76" s="25" t="str">
        <f t="shared" si="12"/>
        <v>OK</v>
      </c>
      <c r="U76" s="138"/>
      <c r="V76" s="138"/>
      <c r="W76" s="138"/>
      <c r="X76" s="138"/>
      <c r="Y76" s="139"/>
      <c r="Z76" s="174"/>
      <c r="AA76" s="174"/>
      <c r="AB76" s="173"/>
      <c r="AC76" s="173"/>
      <c r="AD76" s="22"/>
      <c r="AE76" s="22"/>
      <c r="AF76" s="22"/>
      <c r="AG76" s="22"/>
    </row>
    <row r="77" spans="1:33" ht="30.25" customHeight="1" x14ac:dyDescent="0.35">
      <c r="A77" s="209"/>
      <c r="B77" s="44">
        <v>74</v>
      </c>
      <c r="C77" s="206"/>
      <c r="D77" s="46" t="s">
        <v>30</v>
      </c>
      <c r="E77" s="48" t="s">
        <v>8</v>
      </c>
      <c r="F77" s="50" t="s">
        <v>28</v>
      </c>
      <c r="G77" s="44" t="s">
        <v>29</v>
      </c>
      <c r="H77" s="44" t="s">
        <v>8</v>
      </c>
      <c r="I77" s="44" t="s">
        <v>9</v>
      </c>
      <c r="J77" s="47">
        <v>150</v>
      </c>
      <c r="K77" s="27">
        <f>0</f>
        <v>0</v>
      </c>
      <c r="L77" s="127">
        <f t="shared" si="8"/>
        <v>0</v>
      </c>
      <c r="M77" s="127">
        <f t="shared" si="9"/>
        <v>0</v>
      </c>
      <c r="N77" s="183"/>
      <c r="O77" s="129">
        <f t="shared" si="11"/>
        <v>0</v>
      </c>
      <c r="P77" s="128"/>
      <c r="Q77" s="128"/>
      <c r="R77" s="128"/>
      <c r="S77" s="26">
        <f t="shared" si="10"/>
        <v>0</v>
      </c>
      <c r="T77" s="25" t="str">
        <f t="shared" si="12"/>
        <v>OK</v>
      </c>
      <c r="U77" s="138"/>
      <c r="V77" s="138"/>
      <c r="W77" s="138"/>
      <c r="X77" s="138"/>
      <c r="Y77" s="139"/>
      <c r="Z77" s="174"/>
      <c r="AA77" s="174"/>
      <c r="AB77" s="173"/>
      <c r="AC77" s="173"/>
      <c r="AD77" s="22"/>
      <c r="AE77" s="22"/>
      <c r="AF77" s="22"/>
      <c r="AG77" s="22"/>
    </row>
    <row r="78" spans="1:33" ht="30.25" customHeight="1" x14ac:dyDescent="0.35">
      <c r="A78" s="210"/>
      <c r="B78" s="44">
        <v>75</v>
      </c>
      <c r="C78" s="207"/>
      <c r="D78" s="46" t="s">
        <v>165</v>
      </c>
      <c r="E78" s="48" t="s">
        <v>8</v>
      </c>
      <c r="F78" s="50" t="s">
        <v>28</v>
      </c>
      <c r="G78" s="44" t="s">
        <v>29</v>
      </c>
      <c r="H78" s="44" t="s">
        <v>8</v>
      </c>
      <c r="I78" s="44" t="s">
        <v>9</v>
      </c>
      <c r="J78" s="47">
        <v>300</v>
      </c>
      <c r="K78" s="27">
        <f>0</f>
        <v>0</v>
      </c>
      <c r="L78" s="127">
        <f t="shared" si="8"/>
        <v>0</v>
      </c>
      <c r="M78" s="127">
        <f t="shared" si="9"/>
        <v>0</v>
      </c>
      <c r="N78" s="183"/>
      <c r="O78" s="129">
        <f t="shared" si="11"/>
        <v>0</v>
      </c>
      <c r="P78" s="128"/>
      <c r="Q78" s="128"/>
      <c r="R78" s="128"/>
      <c r="S78" s="26">
        <f t="shared" si="10"/>
        <v>0</v>
      </c>
      <c r="T78" s="25" t="str">
        <f t="shared" si="12"/>
        <v>OK</v>
      </c>
      <c r="U78" s="138"/>
      <c r="V78" s="138"/>
      <c r="W78" s="138"/>
      <c r="X78" s="138"/>
      <c r="Y78" s="139"/>
      <c r="Z78" s="174"/>
      <c r="AA78" s="174"/>
      <c r="AB78" s="173"/>
      <c r="AC78" s="173"/>
      <c r="AD78" s="22"/>
      <c r="AE78" s="22"/>
      <c r="AF78" s="22"/>
      <c r="AG78" s="22"/>
    </row>
    <row r="79" spans="1:33" ht="30.25" customHeight="1" x14ac:dyDescent="0.35">
      <c r="A79" s="198" t="s">
        <v>166</v>
      </c>
      <c r="B79" s="37">
        <v>76</v>
      </c>
      <c r="C79" s="195" t="s">
        <v>33</v>
      </c>
      <c r="D79" s="34" t="s">
        <v>7</v>
      </c>
      <c r="E79" s="41" t="s">
        <v>8</v>
      </c>
      <c r="F79" s="43" t="s">
        <v>28</v>
      </c>
      <c r="G79" s="37" t="s">
        <v>29</v>
      </c>
      <c r="H79" s="37" t="s">
        <v>8</v>
      </c>
      <c r="I79" s="37" t="s">
        <v>9</v>
      </c>
      <c r="J79" s="36">
        <v>1001</v>
      </c>
      <c r="K79" s="27">
        <f>0</f>
        <v>0</v>
      </c>
      <c r="L79" s="127">
        <f t="shared" si="8"/>
        <v>0</v>
      </c>
      <c r="M79" s="127">
        <f t="shared" si="9"/>
        <v>0</v>
      </c>
      <c r="N79" s="183"/>
      <c r="O79" s="129">
        <f t="shared" si="11"/>
        <v>0</v>
      </c>
      <c r="P79" s="128"/>
      <c r="Q79" s="128"/>
      <c r="R79" s="128"/>
      <c r="S79" s="26">
        <f t="shared" si="10"/>
        <v>0</v>
      </c>
      <c r="T79" s="25" t="str">
        <f t="shared" si="12"/>
        <v>OK</v>
      </c>
      <c r="U79" s="138"/>
      <c r="V79" s="138"/>
      <c r="W79" s="138"/>
      <c r="X79" s="138"/>
      <c r="Y79" s="139"/>
      <c r="Z79" s="174"/>
      <c r="AA79" s="174"/>
      <c r="AB79" s="173"/>
      <c r="AC79" s="173"/>
      <c r="AD79" s="22"/>
      <c r="AE79" s="22"/>
      <c r="AF79" s="22"/>
      <c r="AG79" s="22"/>
    </row>
    <row r="80" spans="1:33" ht="30.25" customHeight="1" x14ac:dyDescent="0.35">
      <c r="A80" s="199"/>
      <c r="B80" s="37">
        <v>77</v>
      </c>
      <c r="C80" s="196"/>
      <c r="D80" s="34" t="s">
        <v>12</v>
      </c>
      <c r="E80" s="41" t="s">
        <v>8</v>
      </c>
      <c r="F80" s="43" t="s">
        <v>28</v>
      </c>
      <c r="G80" s="37" t="s">
        <v>29</v>
      </c>
      <c r="H80" s="37" t="s">
        <v>34</v>
      </c>
      <c r="I80" s="37" t="s">
        <v>9</v>
      </c>
      <c r="J80" s="36">
        <v>130</v>
      </c>
      <c r="K80" s="27">
        <f>0</f>
        <v>0</v>
      </c>
      <c r="L80" s="127">
        <f t="shared" si="8"/>
        <v>0</v>
      </c>
      <c r="M80" s="127">
        <f t="shared" si="9"/>
        <v>0</v>
      </c>
      <c r="N80" s="183"/>
      <c r="O80" s="129">
        <f t="shared" si="11"/>
        <v>0</v>
      </c>
      <c r="P80" s="128"/>
      <c r="Q80" s="128"/>
      <c r="R80" s="128"/>
      <c r="S80" s="26">
        <f t="shared" si="10"/>
        <v>0</v>
      </c>
      <c r="T80" s="25" t="str">
        <f t="shared" si="12"/>
        <v>OK</v>
      </c>
      <c r="U80" s="138"/>
      <c r="V80" s="138"/>
      <c r="W80" s="138"/>
      <c r="X80" s="138"/>
      <c r="Y80" s="139"/>
      <c r="Z80" s="174"/>
      <c r="AA80" s="174"/>
      <c r="AB80" s="173"/>
      <c r="AC80" s="173"/>
      <c r="AD80" s="22"/>
      <c r="AE80" s="22"/>
      <c r="AF80" s="22"/>
      <c r="AG80" s="22"/>
    </row>
    <row r="81" spans="1:33" ht="30.25" customHeight="1" x14ac:dyDescent="0.35">
      <c r="A81" s="200"/>
      <c r="B81" s="37">
        <v>78</v>
      </c>
      <c r="C81" s="197"/>
      <c r="D81" s="34" t="s">
        <v>157</v>
      </c>
      <c r="E81" s="41" t="s">
        <v>8</v>
      </c>
      <c r="F81" s="43" t="s">
        <v>28</v>
      </c>
      <c r="G81" s="37" t="s">
        <v>29</v>
      </c>
      <c r="H81" s="37" t="s">
        <v>8</v>
      </c>
      <c r="I81" s="37" t="s">
        <v>9</v>
      </c>
      <c r="J81" s="36">
        <v>200</v>
      </c>
      <c r="K81" s="27">
        <f>0</f>
        <v>0</v>
      </c>
      <c r="L81" s="127">
        <f t="shared" si="8"/>
        <v>0</v>
      </c>
      <c r="M81" s="127">
        <f t="shared" si="9"/>
        <v>0</v>
      </c>
      <c r="N81" s="183"/>
      <c r="O81" s="129">
        <f t="shared" si="11"/>
        <v>0</v>
      </c>
      <c r="P81" s="128"/>
      <c r="Q81" s="128"/>
      <c r="R81" s="128"/>
      <c r="S81" s="26">
        <f t="shared" si="10"/>
        <v>0</v>
      </c>
      <c r="T81" s="25" t="str">
        <f t="shared" si="12"/>
        <v>OK</v>
      </c>
      <c r="U81" s="138"/>
      <c r="V81" s="138"/>
      <c r="W81" s="138"/>
      <c r="X81" s="138"/>
      <c r="Y81" s="139"/>
      <c r="Z81" s="174"/>
      <c r="AA81" s="174"/>
      <c r="AB81" s="173"/>
      <c r="AC81" s="173"/>
      <c r="AD81" s="22"/>
      <c r="AE81" s="22"/>
      <c r="AF81" s="22"/>
      <c r="AG81" s="22"/>
    </row>
    <row r="82" spans="1:33" ht="15" thickBot="1" x14ac:dyDescent="0.4">
      <c r="K82" s="4">
        <f>SUM(K4:K81)</f>
        <v>496</v>
      </c>
      <c r="N82" s="145">
        <f>SUM(N4:N81)</f>
        <v>562</v>
      </c>
      <c r="O82" s="132">
        <f t="shared" si="11"/>
        <v>124</v>
      </c>
      <c r="P82" s="132"/>
      <c r="Q82" s="132"/>
      <c r="R82" s="132"/>
      <c r="S82" s="12">
        <f>SUM(S4:S81)</f>
        <v>484</v>
      </c>
      <c r="T82" s="5" t="str">
        <f t="shared" si="12"/>
        <v>OK</v>
      </c>
      <c r="U82" s="30">
        <f t="shared" ref="U82:AG82" si="13">SUMPRODUCT($J$4:$J$81,U4:U81)</f>
        <v>39105.58</v>
      </c>
      <c r="V82" s="30">
        <f t="shared" si="13"/>
        <v>169843.61</v>
      </c>
      <c r="W82" s="30">
        <f t="shared" si="13"/>
        <v>210170.40000000002</v>
      </c>
      <c r="X82" s="30">
        <f t="shared" si="13"/>
        <v>13064.7</v>
      </c>
      <c r="Y82" s="30">
        <f t="shared" si="13"/>
        <v>70641.399999999994</v>
      </c>
      <c r="Z82" s="30">
        <f t="shared" si="13"/>
        <v>9961.5300000000007</v>
      </c>
      <c r="AA82" s="30">
        <f t="shared" si="13"/>
        <v>89653.77</v>
      </c>
      <c r="AB82" s="30">
        <f t="shared" si="13"/>
        <v>4777.5</v>
      </c>
      <c r="AC82" s="30">
        <f t="shared" si="13"/>
        <v>24088.28</v>
      </c>
      <c r="AD82" s="30">
        <f t="shared" si="13"/>
        <v>0</v>
      </c>
      <c r="AE82" s="30">
        <f t="shared" si="13"/>
        <v>0</v>
      </c>
      <c r="AF82" s="30">
        <f t="shared" si="13"/>
        <v>0</v>
      </c>
      <c r="AG82" s="30">
        <f t="shared" si="13"/>
        <v>0</v>
      </c>
    </row>
    <row r="83" spans="1:33" ht="14.5" x14ac:dyDescent="0.35">
      <c r="D83" s="31" t="s">
        <v>53</v>
      </c>
      <c r="K83" s="132">
        <f>SUMPRODUCT($J$4:$J$81,K4:K81)</f>
        <v>642072.99000000011</v>
      </c>
      <c r="L83" s="132">
        <f>SUMPRODUCT($J$4:$J$81,L4:L81)</f>
        <v>631306.77000000014</v>
      </c>
      <c r="M83" s="132">
        <f>SUMPRODUCT($J$4:$J$81,M4:M81)</f>
        <v>631306.77000000014</v>
      </c>
      <c r="R83" s="126"/>
      <c r="U83" s="142"/>
      <c r="V83" s="142"/>
      <c r="W83" s="142"/>
      <c r="X83" s="142"/>
      <c r="Y83" s="142"/>
    </row>
    <row r="84" spans="1:33" ht="43.5" x14ac:dyDescent="0.35">
      <c r="D84" s="32" t="s">
        <v>54</v>
      </c>
      <c r="R84" s="125"/>
      <c r="U84" s="142"/>
      <c r="V84" s="142"/>
      <c r="W84" s="142"/>
      <c r="X84" s="142"/>
      <c r="Y84" s="142"/>
    </row>
    <row r="85" spans="1:33" ht="15.75" customHeight="1" thickBot="1" x14ac:dyDescent="0.4">
      <c r="D85" s="33" t="s">
        <v>55</v>
      </c>
      <c r="R85" s="125"/>
      <c r="U85" s="142"/>
      <c r="V85" s="142"/>
      <c r="W85" s="142"/>
      <c r="X85" s="142"/>
      <c r="Y85" s="142"/>
    </row>
    <row r="86" spans="1:33" ht="14.5" x14ac:dyDescent="0.35">
      <c r="U86" s="142"/>
      <c r="V86" s="142"/>
      <c r="W86" s="142"/>
      <c r="X86" s="142"/>
      <c r="Y86" s="142"/>
    </row>
    <row r="87" spans="1:33" ht="14.5" x14ac:dyDescent="0.35">
      <c r="U87" s="142"/>
      <c r="V87" s="142"/>
      <c r="W87" s="142"/>
      <c r="X87" s="142"/>
      <c r="Y87" s="142"/>
    </row>
    <row r="88" spans="1:33" ht="14.5" x14ac:dyDescent="0.35">
      <c r="U88" s="142"/>
      <c r="V88" s="142"/>
      <c r="W88" s="142"/>
      <c r="X88" s="142"/>
      <c r="Y88" s="142"/>
    </row>
    <row r="89" spans="1:33" ht="14.5" x14ac:dyDescent="0.35">
      <c r="U89" s="142"/>
      <c r="V89" s="142"/>
      <c r="W89" s="142"/>
      <c r="X89" s="142"/>
      <c r="Y89" s="142"/>
    </row>
    <row r="90" spans="1:33" ht="14.5" x14ac:dyDescent="0.35">
      <c r="U90" s="142"/>
      <c r="V90" s="142"/>
      <c r="W90" s="142"/>
      <c r="X90" s="142"/>
      <c r="Y90" s="142"/>
    </row>
    <row r="91" spans="1:33" ht="14.5" x14ac:dyDescent="0.35">
      <c r="U91" s="142"/>
      <c r="V91" s="142"/>
      <c r="W91" s="142"/>
      <c r="X91" s="142"/>
      <c r="Y91" s="142"/>
    </row>
    <row r="92" spans="1:33" ht="14.5" x14ac:dyDescent="0.35">
      <c r="U92" s="142"/>
      <c r="V92" s="142"/>
      <c r="W92" s="142"/>
      <c r="X92" s="142"/>
      <c r="Y92" s="142"/>
    </row>
  </sheetData>
  <mergeCells count="28">
    <mergeCell ref="AC1:AC2"/>
    <mergeCell ref="Z1:Z2"/>
    <mergeCell ref="A69:A78"/>
    <mergeCell ref="C69:C78"/>
    <mergeCell ref="A79:A81"/>
    <mergeCell ref="C79:C81"/>
    <mergeCell ref="A38:A48"/>
    <mergeCell ref="C38:C48"/>
    <mergeCell ref="A49:A59"/>
    <mergeCell ref="C49:C59"/>
    <mergeCell ref="A60:A68"/>
    <mergeCell ref="C60:C68"/>
    <mergeCell ref="AD1:AD2"/>
    <mergeCell ref="AE1:AE2"/>
    <mergeCell ref="AF1:AF2"/>
    <mergeCell ref="AG1:AG2"/>
    <mergeCell ref="A1:C1"/>
    <mergeCell ref="D1:J1"/>
    <mergeCell ref="K1:T1"/>
    <mergeCell ref="U1:U2"/>
    <mergeCell ref="V1:V2"/>
    <mergeCell ref="W1:W2"/>
    <mergeCell ref="A2:J2"/>
    <mergeCell ref="K2:T2"/>
    <mergeCell ref="X1:X2"/>
    <mergeCell ref="Y1:Y2"/>
    <mergeCell ref="AA1:AA2"/>
    <mergeCell ref="AB1:AB2"/>
  </mergeCells>
  <conditionalFormatting sqref="T1 T3:T1048576">
    <cfRule type="cellIs" dxfId="24" priority="2" operator="equal">
      <formula>"ATENÇÃO"</formula>
    </cfRule>
  </conditionalFormatting>
  <conditionalFormatting sqref="Z4:AG81">
    <cfRule type="cellIs" dxfId="23" priority="1" operator="greaterThan">
      <formula>0</formula>
    </cfRule>
  </conditionalFormatting>
  <pageMargins left="0.511811024" right="0.511811024" top="0.78740157499999996" bottom="0.78740157499999996" header="0.31496062000000002" footer="0.31496062000000002"/>
  <pageSetup paperSize="9" scale="60" orientation="landscape" r:id="rId1"/>
  <colBreaks count="1" manualBreakCount="1">
    <brk id="24" max="1048575" man="1"/>
  </col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C0B23-B39D-4A36-8E36-E2345F6E0625}">
  <dimension ref="A1:AH92"/>
  <sheetViews>
    <sheetView topLeftCell="A33" zoomScale="80" zoomScaleNormal="80" workbookViewId="0">
      <selection activeCell="B45" sqref="A45:XFD45"/>
    </sheetView>
  </sheetViews>
  <sheetFormatPr defaultColWidth="9.7265625" defaultRowHeight="30.25" customHeight="1" x14ac:dyDescent="0.35"/>
  <cols>
    <col min="1" max="1" width="6.1796875" style="1" customWidth="1"/>
    <col min="2" max="2" width="6.453125" style="1" customWidth="1"/>
    <col min="3" max="3" width="21" style="1" customWidth="1"/>
    <col min="4" max="4" width="25.1796875" style="3" customWidth="1"/>
    <col min="5" max="5" width="16.1796875" style="1" customWidth="1"/>
    <col min="6" max="6" width="8.54296875" style="1" customWidth="1"/>
    <col min="7" max="7" width="8.453125" style="1" customWidth="1"/>
    <col min="8" max="8" width="8.26953125" style="1" customWidth="1"/>
    <col min="9" max="9" width="12.7265625" style="1" customWidth="1"/>
    <col min="10" max="10" width="12.1796875" style="3" customWidth="1"/>
    <col min="11" max="11" width="13.54296875" style="4" bestFit="1" customWidth="1"/>
    <col min="12" max="14" width="12.453125" style="4" customWidth="1"/>
    <col min="15" max="15" width="12.1796875" style="4" customWidth="1"/>
    <col min="16" max="17" width="12.453125" style="4" customWidth="1"/>
    <col min="18" max="18" width="13.1796875" style="4" customWidth="1"/>
    <col min="19" max="19" width="13.26953125" style="12" customWidth="1"/>
    <col min="20" max="20" width="12.453125" style="5" customWidth="1"/>
    <col min="21" max="21" width="13.453125" style="6" customWidth="1"/>
    <col min="22" max="22" width="13" style="6" customWidth="1"/>
    <col min="23" max="23" width="13.453125" style="6" customWidth="1"/>
    <col min="24" max="25" width="14.1796875" style="6" customWidth="1"/>
    <col min="26" max="26" width="12.453125" style="6" customWidth="1"/>
    <col min="27" max="27" width="13.26953125" style="6" customWidth="1"/>
    <col min="28" max="28" width="12.7265625" style="6" customWidth="1"/>
    <col min="29" max="29" width="12" style="6" customWidth="1"/>
    <col min="30" max="30" width="12.7265625" style="6" customWidth="1"/>
    <col min="31" max="31" width="13.81640625" style="6" customWidth="1"/>
    <col min="32" max="32" width="13.453125" style="6" customWidth="1"/>
    <col min="33" max="33" width="12.453125" style="2" customWidth="1"/>
    <col min="34" max="34" width="13.7265625" style="2" customWidth="1"/>
    <col min="35" max="16384" width="9.7265625" style="2"/>
  </cols>
  <sheetData>
    <row r="1" spans="1:34" ht="40.15" customHeight="1" x14ac:dyDescent="0.35">
      <c r="A1" s="202" t="s">
        <v>52</v>
      </c>
      <c r="B1" s="203"/>
      <c r="C1" s="204"/>
      <c r="D1" s="211" t="s">
        <v>48</v>
      </c>
      <c r="E1" s="212"/>
      <c r="F1" s="212"/>
      <c r="G1" s="212"/>
      <c r="H1" s="212"/>
      <c r="I1" s="212"/>
      <c r="J1" s="213"/>
      <c r="K1" s="201" t="s">
        <v>49</v>
      </c>
      <c r="L1" s="201"/>
      <c r="M1" s="201"/>
      <c r="N1" s="201"/>
      <c r="O1" s="201"/>
      <c r="P1" s="201"/>
      <c r="Q1" s="201"/>
      <c r="R1" s="201"/>
      <c r="S1" s="201"/>
      <c r="T1" s="201"/>
      <c r="U1" s="223" t="s">
        <v>268</v>
      </c>
      <c r="V1" s="217" t="s">
        <v>51</v>
      </c>
      <c r="W1" s="217" t="s">
        <v>51</v>
      </c>
      <c r="X1" s="217" t="s">
        <v>51</v>
      </c>
      <c r="Y1" s="217" t="s">
        <v>51</v>
      </c>
      <c r="Z1" s="217" t="s">
        <v>51</v>
      </c>
      <c r="AA1" s="217" t="s">
        <v>51</v>
      </c>
      <c r="AB1" s="217" t="s">
        <v>51</v>
      </c>
      <c r="AC1" s="217" t="s">
        <v>51</v>
      </c>
      <c r="AD1" s="217" t="s">
        <v>51</v>
      </c>
      <c r="AE1" s="217" t="s">
        <v>51</v>
      </c>
      <c r="AF1" s="217" t="s">
        <v>51</v>
      </c>
      <c r="AG1" s="217" t="s">
        <v>51</v>
      </c>
      <c r="AH1" s="217" t="s">
        <v>51</v>
      </c>
    </row>
    <row r="2" spans="1:34" ht="25" customHeight="1" x14ac:dyDescent="0.35">
      <c r="A2" s="211" t="s">
        <v>39</v>
      </c>
      <c r="B2" s="212"/>
      <c r="C2" s="212"/>
      <c r="D2" s="212"/>
      <c r="E2" s="212"/>
      <c r="F2" s="212"/>
      <c r="G2" s="212"/>
      <c r="H2" s="212"/>
      <c r="I2" s="212"/>
      <c r="J2" s="213"/>
      <c r="K2" s="214" t="s">
        <v>62</v>
      </c>
      <c r="L2" s="215"/>
      <c r="M2" s="215"/>
      <c r="N2" s="215"/>
      <c r="O2" s="215"/>
      <c r="P2" s="215"/>
      <c r="Q2" s="215"/>
      <c r="R2" s="215"/>
      <c r="S2" s="215"/>
      <c r="T2" s="216"/>
      <c r="U2" s="224"/>
      <c r="V2" s="218"/>
      <c r="W2" s="218"/>
      <c r="X2" s="218"/>
      <c r="Y2" s="218"/>
      <c r="Z2" s="218"/>
      <c r="AA2" s="218"/>
      <c r="AB2" s="218"/>
      <c r="AC2" s="218"/>
      <c r="AD2" s="218"/>
      <c r="AE2" s="218"/>
      <c r="AF2" s="218"/>
      <c r="AG2" s="218"/>
      <c r="AH2" s="218"/>
    </row>
    <row r="3" spans="1:34" s="3" customFormat="1" ht="30.25" customHeight="1" x14ac:dyDescent="0.25">
      <c r="A3" s="7" t="s">
        <v>3</v>
      </c>
      <c r="B3" s="7" t="s">
        <v>56</v>
      </c>
      <c r="C3" s="7" t="s">
        <v>57</v>
      </c>
      <c r="D3" s="8" t="s">
        <v>58</v>
      </c>
      <c r="E3" s="8" t="s">
        <v>59</v>
      </c>
      <c r="F3" s="8" t="s">
        <v>18</v>
      </c>
      <c r="G3" s="8" t="s">
        <v>19</v>
      </c>
      <c r="H3" s="8" t="s">
        <v>60</v>
      </c>
      <c r="I3" s="8" t="s">
        <v>61</v>
      </c>
      <c r="J3" s="9" t="s">
        <v>50</v>
      </c>
      <c r="K3" s="10" t="s">
        <v>4</v>
      </c>
      <c r="L3" s="52" t="s">
        <v>207</v>
      </c>
      <c r="M3" s="52" t="s">
        <v>208</v>
      </c>
      <c r="N3" s="52" t="s">
        <v>209</v>
      </c>
      <c r="O3" s="52" t="s">
        <v>210</v>
      </c>
      <c r="P3" s="52" t="s">
        <v>211</v>
      </c>
      <c r="Q3" s="52" t="s">
        <v>213</v>
      </c>
      <c r="R3" s="52" t="s">
        <v>214</v>
      </c>
      <c r="S3" s="11" t="s">
        <v>0</v>
      </c>
      <c r="T3" s="7" t="s">
        <v>2</v>
      </c>
      <c r="U3" s="137">
        <v>45453</v>
      </c>
      <c r="V3" s="23" t="s">
        <v>1</v>
      </c>
      <c r="W3" s="23" t="s">
        <v>1</v>
      </c>
      <c r="X3" s="23" t="s">
        <v>1</v>
      </c>
      <c r="Y3" s="23" t="s">
        <v>1</v>
      </c>
      <c r="Z3" s="23" t="s">
        <v>1</v>
      </c>
      <c r="AA3" s="23" t="s">
        <v>1</v>
      </c>
      <c r="AB3" s="23" t="s">
        <v>1</v>
      </c>
      <c r="AC3" s="23" t="s">
        <v>1</v>
      </c>
      <c r="AD3" s="23" t="s">
        <v>1</v>
      </c>
      <c r="AE3" s="23" t="s">
        <v>1</v>
      </c>
      <c r="AF3" s="23" t="s">
        <v>1</v>
      </c>
      <c r="AG3" s="23" t="s">
        <v>1</v>
      </c>
      <c r="AH3" s="23" t="s">
        <v>1</v>
      </c>
    </row>
    <row r="4" spans="1:34" ht="30.25" customHeight="1" x14ac:dyDescent="0.35">
      <c r="A4" s="37">
        <v>1</v>
      </c>
      <c r="B4" s="37">
        <v>1</v>
      </c>
      <c r="C4" s="35" t="s">
        <v>63</v>
      </c>
      <c r="D4" s="34" t="s">
        <v>64</v>
      </c>
      <c r="E4" s="35" t="s">
        <v>65</v>
      </c>
      <c r="F4" s="35" t="s">
        <v>20</v>
      </c>
      <c r="G4" s="35" t="s">
        <v>66</v>
      </c>
      <c r="H4" s="35" t="s">
        <v>5</v>
      </c>
      <c r="I4" s="35" t="s">
        <v>6</v>
      </c>
      <c r="J4" s="36">
        <v>1670</v>
      </c>
      <c r="K4" s="27">
        <f>0</f>
        <v>0</v>
      </c>
      <c r="L4" s="127">
        <f>IF(SUM(U4:AL4)&gt;K4+N4,K4+N4,SUM(U4:AL4))</f>
        <v>0</v>
      </c>
      <c r="M4" s="127">
        <f>(SUM(U4:AL4))</f>
        <v>0</v>
      </c>
      <c r="N4" s="128"/>
      <c r="O4" s="129">
        <f>ROUND(IF(K4*0.25-0.5&lt;0,0,K4*0.25-0.5),0)-R4-P4</f>
        <v>0</v>
      </c>
      <c r="P4" s="128"/>
      <c r="Q4" s="128"/>
      <c r="R4" s="128"/>
      <c r="S4" s="26">
        <f>K4-SUM(U4:AH4)+N4</f>
        <v>0</v>
      </c>
      <c r="T4" s="25" t="str">
        <f>IF(S4&lt;0,"ATENÇÃO","OK")</f>
        <v>OK</v>
      </c>
      <c r="U4" s="138"/>
      <c r="V4" s="22"/>
      <c r="W4" s="22"/>
      <c r="X4" s="22"/>
      <c r="Y4" s="24"/>
      <c r="Z4" s="24"/>
      <c r="AA4" s="24"/>
      <c r="AB4" s="22"/>
      <c r="AC4" s="22"/>
      <c r="AD4" s="22"/>
      <c r="AE4" s="22"/>
      <c r="AF4" s="22"/>
      <c r="AG4" s="22"/>
      <c r="AH4" s="22"/>
    </row>
    <row r="5" spans="1:34" ht="30.25" customHeight="1" x14ac:dyDescent="0.35">
      <c r="A5" s="44">
        <v>2</v>
      </c>
      <c r="B5" s="44">
        <v>2</v>
      </c>
      <c r="C5" s="45" t="s">
        <v>67</v>
      </c>
      <c r="D5" s="46" t="s">
        <v>68</v>
      </c>
      <c r="E5" s="45" t="s">
        <v>69</v>
      </c>
      <c r="F5" s="45" t="s">
        <v>20</v>
      </c>
      <c r="G5" s="45" t="s">
        <v>66</v>
      </c>
      <c r="H5" s="45" t="s">
        <v>5</v>
      </c>
      <c r="I5" s="45" t="s">
        <v>6</v>
      </c>
      <c r="J5" s="47">
        <v>1651.67</v>
      </c>
      <c r="K5" s="27">
        <f>2</f>
        <v>2</v>
      </c>
      <c r="L5" s="127">
        <f t="shared" ref="L5:L68" si="0">IF(SUM(U5:AL5)&gt;K5+N5,K5+N5,SUM(U5:AL5))</f>
        <v>0</v>
      </c>
      <c r="M5" s="127">
        <f t="shared" ref="M5:M68" si="1">(SUM(U5:AL5))</f>
        <v>0</v>
      </c>
      <c r="N5" s="128">
        <v>-2</v>
      </c>
      <c r="O5" s="129">
        <f t="shared" ref="O5:O68" si="2">ROUND(IF(K5*0.25-0.5&lt;0,0,K5*0.25-0.5),0)-R5-P5</f>
        <v>0</v>
      </c>
      <c r="P5" s="128"/>
      <c r="Q5" s="128"/>
      <c r="R5" s="128"/>
      <c r="S5" s="26">
        <f t="shared" ref="S5:S68" si="3">K5-SUM(U5:AH5)+N5</f>
        <v>0</v>
      </c>
      <c r="T5" s="25" t="str">
        <f t="shared" ref="T5:T68" si="4">IF(S5&lt;0,"ATENÇÃO","OK")</f>
        <v>OK</v>
      </c>
      <c r="U5" s="138"/>
      <c r="V5" s="22"/>
      <c r="W5" s="22"/>
      <c r="X5" s="22"/>
      <c r="Y5" s="24"/>
      <c r="Z5" s="24"/>
      <c r="AA5" s="24"/>
      <c r="AB5" s="22"/>
      <c r="AC5" s="22"/>
      <c r="AD5" s="22"/>
      <c r="AE5" s="22"/>
      <c r="AF5" s="22"/>
      <c r="AG5" s="22"/>
      <c r="AH5" s="22"/>
    </row>
    <row r="6" spans="1:34" ht="30.25" customHeight="1" x14ac:dyDescent="0.35">
      <c r="A6" s="37">
        <v>3</v>
      </c>
      <c r="B6" s="37">
        <v>3</v>
      </c>
      <c r="C6" s="35" t="s">
        <v>63</v>
      </c>
      <c r="D6" s="34" t="s">
        <v>70</v>
      </c>
      <c r="E6" s="35" t="s">
        <v>71</v>
      </c>
      <c r="F6" s="35" t="s">
        <v>20</v>
      </c>
      <c r="G6" s="35" t="s">
        <v>72</v>
      </c>
      <c r="H6" s="35" t="s">
        <v>5</v>
      </c>
      <c r="I6" s="35" t="s">
        <v>6</v>
      </c>
      <c r="J6" s="36">
        <v>1802</v>
      </c>
      <c r="K6" s="27">
        <f>0</f>
        <v>0</v>
      </c>
      <c r="L6" s="127">
        <f t="shared" si="0"/>
        <v>0</v>
      </c>
      <c r="M6" s="127">
        <f t="shared" si="1"/>
        <v>0</v>
      </c>
      <c r="N6" s="128"/>
      <c r="O6" s="129">
        <f t="shared" si="2"/>
        <v>0</v>
      </c>
      <c r="P6" s="128"/>
      <c r="Q6" s="128"/>
      <c r="R6" s="128"/>
      <c r="S6" s="26">
        <f t="shared" si="3"/>
        <v>0</v>
      </c>
      <c r="T6" s="25" t="str">
        <f t="shared" si="4"/>
        <v>OK</v>
      </c>
      <c r="U6" s="138"/>
      <c r="V6" s="22"/>
      <c r="W6" s="22"/>
      <c r="X6" s="22"/>
      <c r="Y6" s="24"/>
      <c r="Z6" s="24"/>
      <c r="AA6" s="24"/>
      <c r="AB6" s="22"/>
      <c r="AC6" s="22"/>
      <c r="AD6" s="22"/>
      <c r="AE6" s="22"/>
      <c r="AF6" s="22"/>
      <c r="AG6" s="22"/>
      <c r="AH6" s="22"/>
    </row>
    <row r="7" spans="1:34" ht="48.75" customHeight="1" x14ac:dyDescent="0.35">
      <c r="A7" s="44">
        <v>4</v>
      </c>
      <c r="B7" s="44">
        <v>4</v>
      </c>
      <c r="C7" s="45" t="s">
        <v>67</v>
      </c>
      <c r="D7" s="46" t="s">
        <v>73</v>
      </c>
      <c r="E7" s="45" t="s">
        <v>74</v>
      </c>
      <c r="F7" s="45" t="s">
        <v>20</v>
      </c>
      <c r="G7" s="45" t="s">
        <v>75</v>
      </c>
      <c r="H7" s="45" t="s">
        <v>5</v>
      </c>
      <c r="I7" s="45" t="s">
        <v>6</v>
      </c>
      <c r="J7" s="47">
        <v>1800</v>
      </c>
      <c r="K7" s="27">
        <f>2</f>
        <v>2</v>
      </c>
      <c r="L7" s="127">
        <f t="shared" si="0"/>
        <v>0</v>
      </c>
      <c r="M7" s="127">
        <f t="shared" si="1"/>
        <v>0</v>
      </c>
      <c r="N7" s="128">
        <v>-2</v>
      </c>
      <c r="O7" s="129">
        <f t="shared" si="2"/>
        <v>0</v>
      </c>
      <c r="P7" s="128"/>
      <c r="Q7" s="128"/>
      <c r="R7" s="128"/>
      <c r="S7" s="26">
        <f t="shared" si="3"/>
        <v>0</v>
      </c>
      <c r="T7" s="25" t="str">
        <f t="shared" si="4"/>
        <v>OK</v>
      </c>
      <c r="U7" s="138"/>
      <c r="V7" s="22"/>
      <c r="W7" s="22"/>
      <c r="X7" s="22"/>
      <c r="Y7" s="24"/>
      <c r="Z7" s="24"/>
      <c r="AA7" s="24"/>
      <c r="AB7" s="22"/>
      <c r="AC7" s="22"/>
      <c r="AD7" s="22"/>
      <c r="AE7" s="22"/>
      <c r="AF7" s="22"/>
      <c r="AG7" s="22"/>
      <c r="AH7" s="22"/>
    </row>
    <row r="8" spans="1:34" ht="30.25" customHeight="1" x14ac:dyDescent="0.35">
      <c r="A8" s="37">
        <v>5</v>
      </c>
      <c r="B8" s="37">
        <v>5</v>
      </c>
      <c r="C8" s="35" t="s">
        <v>63</v>
      </c>
      <c r="D8" s="34" t="s">
        <v>76</v>
      </c>
      <c r="E8" s="35" t="s">
        <v>77</v>
      </c>
      <c r="F8" s="35" t="s">
        <v>20</v>
      </c>
      <c r="G8" s="35" t="s">
        <v>78</v>
      </c>
      <c r="H8" s="35" t="s">
        <v>5</v>
      </c>
      <c r="I8" s="35" t="s">
        <v>6</v>
      </c>
      <c r="J8" s="36">
        <v>2686</v>
      </c>
      <c r="K8" s="27">
        <f>0</f>
        <v>0</v>
      </c>
      <c r="L8" s="127">
        <f t="shared" si="0"/>
        <v>0</v>
      </c>
      <c r="M8" s="127">
        <f t="shared" si="1"/>
        <v>0</v>
      </c>
      <c r="N8" s="128"/>
      <c r="O8" s="129">
        <f t="shared" si="2"/>
        <v>0</v>
      </c>
      <c r="P8" s="128"/>
      <c r="Q8" s="128"/>
      <c r="R8" s="128"/>
      <c r="S8" s="26">
        <f t="shared" si="3"/>
        <v>0</v>
      </c>
      <c r="T8" s="25" t="str">
        <f t="shared" si="4"/>
        <v>OK</v>
      </c>
      <c r="U8" s="138"/>
      <c r="V8" s="22"/>
      <c r="W8" s="22"/>
      <c r="X8" s="22"/>
      <c r="Y8" s="24"/>
      <c r="Z8" s="24"/>
      <c r="AA8" s="24"/>
      <c r="AB8" s="22"/>
      <c r="AC8" s="22"/>
      <c r="AD8" s="22"/>
      <c r="AE8" s="22"/>
      <c r="AF8" s="22"/>
      <c r="AG8" s="22"/>
      <c r="AH8" s="22"/>
    </row>
    <row r="9" spans="1:34" ht="54.4" customHeight="1" x14ac:dyDescent="0.35">
      <c r="A9" s="80">
        <v>6</v>
      </c>
      <c r="B9" s="80">
        <v>6</v>
      </c>
      <c r="C9" s="81" t="s">
        <v>67</v>
      </c>
      <c r="D9" s="82" t="s">
        <v>79</v>
      </c>
      <c r="E9" s="87" t="s">
        <v>182</v>
      </c>
      <c r="F9" s="81" t="s">
        <v>20</v>
      </c>
      <c r="G9" s="81" t="s">
        <v>21</v>
      </c>
      <c r="H9" s="81" t="s">
        <v>5</v>
      </c>
      <c r="I9" s="81" t="s">
        <v>6</v>
      </c>
      <c r="J9" s="83">
        <v>2821.51</v>
      </c>
      <c r="K9" s="27">
        <f>2</f>
        <v>2</v>
      </c>
      <c r="L9" s="127">
        <f t="shared" si="0"/>
        <v>0</v>
      </c>
      <c r="M9" s="127">
        <f t="shared" si="1"/>
        <v>0</v>
      </c>
      <c r="N9" s="128"/>
      <c r="O9" s="129">
        <f t="shared" si="2"/>
        <v>0</v>
      </c>
      <c r="P9" s="128"/>
      <c r="Q9" s="128"/>
      <c r="R9" s="128"/>
      <c r="S9" s="26">
        <f t="shared" si="3"/>
        <v>2</v>
      </c>
      <c r="T9" s="25" t="str">
        <f t="shared" si="4"/>
        <v>OK</v>
      </c>
      <c r="U9" s="138"/>
      <c r="V9" s="22"/>
      <c r="W9" s="22"/>
      <c r="X9" s="22"/>
      <c r="Y9" s="24"/>
      <c r="Z9" s="24"/>
      <c r="AA9" s="24"/>
      <c r="AB9" s="22"/>
      <c r="AC9" s="22"/>
      <c r="AD9" s="22"/>
      <c r="AE9" s="22"/>
      <c r="AF9" s="22"/>
      <c r="AG9" s="22"/>
      <c r="AH9" s="22"/>
    </row>
    <row r="10" spans="1:34" ht="30.25" customHeight="1" x14ac:dyDescent="0.35">
      <c r="A10" s="37">
        <v>7</v>
      </c>
      <c r="B10" s="37">
        <v>7</v>
      </c>
      <c r="C10" s="35" t="s">
        <v>63</v>
      </c>
      <c r="D10" s="34" t="s">
        <v>80</v>
      </c>
      <c r="E10" s="35" t="s">
        <v>81</v>
      </c>
      <c r="F10" s="35" t="s">
        <v>20</v>
      </c>
      <c r="G10" s="35" t="s">
        <v>21</v>
      </c>
      <c r="H10" s="35" t="s">
        <v>5</v>
      </c>
      <c r="I10" s="35" t="s">
        <v>6</v>
      </c>
      <c r="J10" s="36">
        <v>7446</v>
      </c>
      <c r="K10" s="27">
        <f>0</f>
        <v>0</v>
      </c>
      <c r="L10" s="127">
        <f t="shared" si="0"/>
        <v>0</v>
      </c>
      <c r="M10" s="127">
        <f t="shared" si="1"/>
        <v>0</v>
      </c>
      <c r="N10" s="128"/>
      <c r="O10" s="129">
        <f t="shared" si="2"/>
        <v>0</v>
      </c>
      <c r="P10" s="128"/>
      <c r="Q10" s="128"/>
      <c r="R10" s="128"/>
      <c r="S10" s="26">
        <f t="shared" si="3"/>
        <v>0</v>
      </c>
      <c r="T10" s="25" t="str">
        <f t="shared" si="4"/>
        <v>OK</v>
      </c>
      <c r="U10" s="138"/>
      <c r="V10" s="22"/>
      <c r="W10" s="22"/>
      <c r="X10" s="22"/>
      <c r="Y10" s="24"/>
      <c r="Z10" s="24"/>
      <c r="AA10" s="24"/>
      <c r="AB10" s="22"/>
      <c r="AC10" s="22"/>
      <c r="AD10" s="22"/>
      <c r="AE10" s="22"/>
      <c r="AF10" s="22"/>
      <c r="AG10" s="22"/>
      <c r="AH10" s="22"/>
    </row>
    <row r="11" spans="1:34" ht="30.25" customHeight="1" x14ac:dyDescent="0.35">
      <c r="A11" s="44">
        <v>8</v>
      </c>
      <c r="B11" s="44">
        <v>8</v>
      </c>
      <c r="C11" s="45" t="s">
        <v>63</v>
      </c>
      <c r="D11" s="46" t="s">
        <v>82</v>
      </c>
      <c r="E11" s="45" t="s">
        <v>81</v>
      </c>
      <c r="F11" s="45" t="s">
        <v>20</v>
      </c>
      <c r="G11" s="45" t="s">
        <v>21</v>
      </c>
      <c r="H11" s="45" t="s">
        <v>5</v>
      </c>
      <c r="I11" s="45" t="s">
        <v>6</v>
      </c>
      <c r="J11" s="47">
        <v>7375</v>
      </c>
      <c r="K11" s="27">
        <f>1</f>
        <v>1</v>
      </c>
      <c r="L11" s="127">
        <f t="shared" si="0"/>
        <v>0</v>
      </c>
      <c r="M11" s="127">
        <f t="shared" si="1"/>
        <v>0</v>
      </c>
      <c r="N11" s="128"/>
      <c r="O11" s="129">
        <f t="shared" si="2"/>
        <v>0</v>
      </c>
      <c r="P11" s="128"/>
      <c r="Q11" s="128"/>
      <c r="R11" s="128"/>
      <c r="S11" s="26">
        <f t="shared" si="3"/>
        <v>1</v>
      </c>
      <c r="T11" s="25" t="str">
        <f t="shared" si="4"/>
        <v>OK</v>
      </c>
      <c r="U11" s="138"/>
      <c r="V11" s="22"/>
      <c r="W11" s="22"/>
      <c r="X11" s="22"/>
      <c r="Y11" s="24"/>
      <c r="Z11" s="24"/>
      <c r="AA11" s="24"/>
      <c r="AB11" s="22"/>
      <c r="AC11" s="22"/>
      <c r="AD11" s="22"/>
      <c r="AE11" s="22"/>
      <c r="AF11" s="22"/>
      <c r="AG11" s="22"/>
      <c r="AH11" s="22"/>
    </row>
    <row r="12" spans="1:34" ht="30.25" customHeight="1" x14ac:dyDescent="0.35">
      <c r="A12" s="37">
        <v>9</v>
      </c>
      <c r="B12" s="37">
        <v>9</v>
      </c>
      <c r="C12" s="35" t="s">
        <v>83</v>
      </c>
      <c r="D12" s="34" t="s">
        <v>84</v>
      </c>
      <c r="E12" s="35" t="s">
        <v>85</v>
      </c>
      <c r="F12" s="35" t="s">
        <v>20</v>
      </c>
      <c r="G12" s="35" t="s">
        <v>22</v>
      </c>
      <c r="H12" s="35" t="s">
        <v>5</v>
      </c>
      <c r="I12" s="35" t="s">
        <v>6</v>
      </c>
      <c r="J12" s="36">
        <v>6213.51</v>
      </c>
      <c r="K12" s="27">
        <f>0</f>
        <v>0</v>
      </c>
      <c r="L12" s="127">
        <f t="shared" si="0"/>
        <v>0</v>
      </c>
      <c r="M12" s="127">
        <f t="shared" si="1"/>
        <v>0</v>
      </c>
      <c r="N12" s="128"/>
      <c r="O12" s="129">
        <f t="shared" si="2"/>
        <v>0</v>
      </c>
      <c r="P12" s="128"/>
      <c r="Q12" s="128"/>
      <c r="R12" s="128"/>
      <c r="S12" s="26">
        <f t="shared" si="3"/>
        <v>0</v>
      </c>
      <c r="T12" s="25" t="str">
        <f t="shared" si="4"/>
        <v>OK</v>
      </c>
      <c r="U12" s="138"/>
      <c r="V12" s="22"/>
      <c r="W12" s="22"/>
      <c r="X12" s="22"/>
      <c r="Y12" s="28"/>
      <c r="Z12" s="24"/>
      <c r="AA12" s="24"/>
      <c r="AB12" s="22"/>
      <c r="AC12" s="22"/>
      <c r="AD12" s="22"/>
      <c r="AE12" s="22"/>
      <c r="AF12" s="22"/>
      <c r="AG12" s="22"/>
      <c r="AH12" s="22"/>
    </row>
    <row r="13" spans="1:34" ht="30.25" customHeight="1" x14ac:dyDescent="0.35">
      <c r="A13" s="44">
        <v>10</v>
      </c>
      <c r="B13" s="44">
        <v>10</v>
      </c>
      <c r="C13" s="45" t="s">
        <v>63</v>
      </c>
      <c r="D13" s="46" t="s">
        <v>86</v>
      </c>
      <c r="E13" s="45" t="s">
        <v>87</v>
      </c>
      <c r="F13" s="45" t="s">
        <v>20</v>
      </c>
      <c r="G13" s="45" t="s">
        <v>22</v>
      </c>
      <c r="H13" s="45" t="s">
        <v>5</v>
      </c>
      <c r="I13" s="45" t="s">
        <v>6</v>
      </c>
      <c r="J13" s="47">
        <v>6689.61</v>
      </c>
      <c r="K13" s="27">
        <f>1</f>
        <v>1</v>
      </c>
      <c r="L13" s="127">
        <f t="shared" si="0"/>
        <v>0</v>
      </c>
      <c r="M13" s="127">
        <f t="shared" si="1"/>
        <v>0</v>
      </c>
      <c r="N13" s="128"/>
      <c r="O13" s="129">
        <f t="shared" si="2"/>
        <v>0</v>
      </c>
      <c r="P13" s="128"/>
      <c r="Q13" s="128"/>
      <c r="R13" s="128"/>
      <c r="S13" s="26">
        <f t="shared" si="3"/>
        <v>1</v>
      </c>
      <c r="T13" s="25" t="str">
        <f t="shared" si="4"/>
        <v>OK</v>
      </c>
      <c r="U13" s="138"/>
      <c r="V13" s="22"/>
      <c r="W13" s="22"/>
      <c r="X13" s="22"/>
      <c r="Y13" s="24"/>
      <c r="Z13" s="24"/>
      <c r="AA13" s="24"/>
      <c r="AB13" s="22"/>
      <c r="AC13" s="22"/>
      <c r="AD13" s="22"/>
      <c r="AE13" s="22"/>
      <c r="AF13" s="22"/>
      <c r="AG13" s="22"/>
      <c r="AH13" s="22"/>
    </row>
    <row r="14" spans="1:34" ht="30.25" customHeight="1" x14ac:dyDescent="0.35">
      <c r="A14" s="37">
        <v>11</v>
      </c>
      <c r="B14" s="37">
        <v>11</v>
      </c>
      <c r="C14" s="35" t="s">
        <v>83</v>
      </c>
      <c r="D14" s="34" t="s">
        <v>88</v>
      </c>
      <c r="E14" s="35" t="s">
        <v>89</v>
      </c>
      <c r="F14" s="37" t="s">
        <v>20</v>
      </c>
      <c r="G14" s="35" t="s">
        <v>22</v>
      </c>
      <c r="H14" s="37" t="s">
        <v>5</v>
      </c>
      <c r="I14" s="35" t="s">
        <v>6</v>
      </c>
      <c r="J14" s="36">
        <v>3445.06</v>
      </c>
      <c r="K14" s="27">
        <f>0</f>
        <v>0</v>
      </c>
      <c r="L14" s="127">
        <f t="shared" si="0"/>
        <v>0</v>
      </c>
      <c r="M14" s="127">
        <f t="shared" si="1"/>
        <v>0</v>
      </c>
      <c r="N14" s="128"/>
      <c r="O14" s="129">
        <f t="shared" si="2"/>
        <v>0</v>
      </c>
      <c r="P14" s="128"/>
      <c r="Q14" s="128"/>
      <c r="R14" s="128"/>
      <c r="S14" s="26">
        <f t="shared" si="3"/>
        <v>0</v>
      </c>
      <c r="T14" s="25" t="str">
        <f t="shared" si="4"/>
        <v>OK</v>
      </c>
      <c r="U14" s="138"/>
      <c r="V14" s="22"/>
      <c r="W14" s="22"/>
      <c r="X14" s="22"/>
      <c r="Y14" s="24"/>
      <c r="Z14" s="24"/>
      <c r="AA14" s="24"/>
      <c r="AB14" s="22"/>
      <c r="AC14" s="22"/>
      <c r="AD14" s="22"/>
      <c r="AE14" s="22"/>
      <c r="AF14" s="22"/>
      <c r="AG14" s="22"/>
      <c r="AH14" s="22"/>
    </row>
    <row r="15" spans="1:34" ht="30.25" customHeight="1" x14ac:dyDescent="0.35">
      <c r="A15" s="44">
        <v>12</v>
      </c>
      <c r="B15" s="44">
        <v>12</v>
      </c>
      <c r="C15" s="45" t="s">
        <v>83</v>
      </c>
      <c r="D15" s="46" t="s">
        <v>90</v>
      </c>
      <c r="E15" s="45" t="s">
        <v>91</v>
      </c>
      <c r="F15" s="44" t="s">
        <v>20</v>
      </c>
      <c r="G15" s="44" t="s">
        <v>22</v>
      </c>
      <c r="H15" s="44" t="s">
        <v>5</v>
      </c>
      <c r="I15" s="45" t="s">
        <v>6</v>
      </c>
      <c r="J15" s="47">
        <v>3617.48</v>
      </c>
      <c r="K15" s="27">
        <f>0</f>
        <v>0</v>
      </c>
      <c r="L15" s="127">
        <f t="shared" si="0"/>
        <v>0</v>
      </c>
      <c r="M15" s="127">
        <f t="shared" si="1"/>
        <v>0</v>
      </c>
      <c r="N15" s="128"/>
      <c r="O15" s="129">
        <f t="shared" si="2"/>
        <v>0</v>
      </c>
      <c r="P15" s="128"/>
      <c r="Q15" s="128"/>
      <c r="R15" s="128"/>
      <c r="S15" s="26">
        <f t="shared" si="3"/>
        <v>0</v>
      </c>
      <c r="T15" s="25" t="str">
        <f t="shared" si="4"/>
        <v>OK</v>
      </c>
      <c r="U15" s="138"/>
      <c r="V15" s="22"/>
      <c r="W15" s="22"/>
      <c r="X15" s="22"/>
      <c r="Y15" s="24"/>
      <c r="Z15" s="24"/>
      <c r="AA15" s="24"/>
      <c r="AB15" s="22"/>
      <c r="AC15" s="22"/>
      <c r="AD15" s="22"/>
      <c r="AE15" s="22"/>
      <c r="AF15" s="22"/>
      <c r="AG15" s="22"/>
      <c r="AH15" s="22"/>
    </row>
    <row r="16" spans="1:34" ht="30.25" customHeight="1" x14ac:dyDescent="0.35">
      <c r="A16" s="37">
        <v>13</v>
      </c>
      <c r="B16" s="37">
        <v>13</v>
      </c>
      <c r="C16" s="35" t="s">
        <v>92</v>
      </c>
      <c r="D16" s="34" t="s">
        <v>93</v>
      </c>
      <c r="E16" s="35" t="s">
        <v>94</v>
      </c>
      <c r="F16" s="37" t="s">
        <v>20</v>
      </c>
      <c r="G16" s="37" t="s">
        <v>22</v>
      </c>
      <c r="H16" s="37" t="s">
        <v>5</v>
      </c>
      <c r="I16" s="35" t="s">
        <v>6</v>
      </c>
      <c r="J16" s="36">
        <v>7453.33</v>
      </c>
      <c r="K16" s="27">
        <f>0</f>
        <v>0</v>
      </c>
      <c r="L16" s="127">
        <f t="shared" si="0"/>
        <v>0</v>
      </c>
      <c r="M16" s="127">
        <f t="shared" si="1"/>
        <v>0</v>
      </c>
      <c r="N16" s="128"/>
      <c r="O16" s="129">
        <f t="shared" si="2"/>
        <v>0</v>
      </c>
      <c r="P16" s="128"/>
      <c r="Q16" s="128"/>
      <c r="R16" s="128"/>
      <c r="S16" s="26">
        <f t="shared" si="3"/>
        <v>0</v>
      </c>
      <c r="T16" s="25" t="str">
        <f t="shared" si="4"/>
        <v>OK</v>
      </c>
      <c r="U16" s="138"/>
      <c r="V16" s="22"/>
      <c r="W16" s="22"/>
      <c r="X16" s="22"/>
      <c r="Y16" s="24"/>
      <c r="Z16" s="24"/>
      <c r="AA16" s="24"/>
      <c r="AB16" s="22"/>
      <c r="AC16" s="22"/>
      <c r="AD16" s="22"/>
      <c r="AE16" s="22"/>
      <c r="AF16" s="22"/>
      <c r="AG16" s="22"/>
      <c r="AH16" s="22"/>
    </row>
    <row r="17" spans="1:34" ht="30.25" customHeight="1" x14ac:dyDescent="0.35">
      <c r="A17" s="44">
        <v>14</v>
      </c>
      <c r="B17" s="44">
        <v>14</v>
      </c>
      <c r="C17" s="45" t="s">
        <v>92</v>
      </c>
      <c r="D17" s="46" t="s">
        <v>95</v>
      </c>
      <c r="E17" s="45" t="s">
        <v>94</v>
      </c>
      <c r="F17" s="45" t="s">
        <v>20</v>
      </c>
      <c r="G17" s="45" t="s">
        <v>22</v>
      </c>
      <c r="H17" s="45" t="s">
        <v>5</v>
      </c>
      <c r="I17" s="45" t="s">
        <v>6</v>
      </c>
      <c r="J17" s="47">
        <v>9561.2000000000007</v>
      </c>
      <c r="K17" s="27">
        <f>0</f>
        <v>0</v>
      </c>
      <c r="L17" s="127">
        <f t="shared" si="0"/>
        <v>0</v>
      </c>
      <c r="M17" s="127">
        <f t="shared" si="1"/>
        <v>0</v>
      </c>
      <c r="N17" s="128"/>
      <c r="O17" s="129">
        <f t="shared" si="2"/>
        <v>0</v>
      </c>
      <c r="P17" s="128"/>
      <c r="Q17" s="128"/>
      <c r="R17" s="128"/>
      <c r="S17" s="26">
        <f t="shared" si="3"/>
        <v>0</v>
      </c>
      <c r="T17" s="25" t="str">
        <f t="shared" si="4"/>
        <v>OK</v>
      </c>
      <c r="U17" s="138"/>
      <c r="V17" s="22"/>
      <c r="W17" s="22"/>
      <c r="X17" s="22"/>
      <c r="Y17" s="24"/>
      <c r="Z17" s="24"/>
      <c r="AA17" s="24"/>
      <c r="AB17" s="22"/>
      <c r="AC17" s="22"/>
      <c r="AD17" s="22"/>
      <c r="AE17" s="22"/>
      <c r="AF17" s="22"/>
      <c r="AG17" s="22"/>
      <c r="AH17" s="22"/>
    </row>
    <row r="18" spans="1:34" ht="30.25" customHeight="1" x14ac:dyDescent="0.35">
      <c r="A18" s="37">
        <v>15</v>
      </c>
      <c r="B18" s="37">
        <v>15</v>
      </c>
      <c r="C18" s="35" t="s">
        <v>63</v>
      </c>
      <c r="D18" s="34" t="s">
        <v>96</v>
      </c>
      <c r="E18" s="35" t="s">
        <v>97</v>
      </c>
      <c r="F18" s="35" t="s">
        <v>20</v>
      </c>
      <c r="G18" s="35" t="s">
        <v>31</v>
      </c>
      <c r="H18" s="35" t="s">
        <v>5</v>
      </c>
      <c r="I18" s="35" t="s">
        <v>6</v>
      </c>
      <c r="J18" s="36">
        <v>7598</v>
      </c>
      <c r="K18" s="27">
        <f>1</f>
        <v>1</v>
      </c>
      <c r="L18" s="127">
        <f t="shared" si="0"/>
        <v>0</v>
      </c>
      <c r="M18" s="127">
        <f t="shared" si="1"/>
        <v>0</v>
      </c>
      <c r="N18" s="128"/>
      <c r="O18" s="129">
        <f t="shared" si="2"/>
        <v>0</v>
      </c>
      <c r="P18" s="128"/>
      <c r="Q18" s="128"/>
      <c r="R18" s="128"/>
      <c r="S18" s="26">
        <f t="shared" si="3"/>
        <v>1</v>
      </c>
      <c r="T18" s="25" t="str">
        <f t="shared" si="4"/>
        <v>OK</v>
      </c>
      <c r="U18" s="138"/>
      <c r="V18" s="22"/>
      <c r="W18" s="22"/>
      <c r="X18" s="22"/>
      <c r="Y18" s="24"/>
      <c r="Z18" s="24"/>
      <c r="AA18" s="24"/>
      <c r="AB18" s="22"/>
      <c r="AC18" s="22"/>
      <c r="AD18" s="22"/>
      <c r="AE18" s="22"/>
      <c r="AF18" s="22"/>
      <c r="AG18" s="22"/>
      <c r="AH18" s="22"/>
    </row>
    <row r="19" spans="1:34" ht="30.25" customHeight="1" x14ac:dyDescent="0.35">
      <c r="A19" s="44">
        <v>16</v>
      </c>
      <c r="B19" s="44">
        <v>16</v>
      </c>
      <c r="C19" s="45" t="s">
        <v>83</v>
      </c>
      <c r="D19" s="46" t="s">
        <v>98</v>
      </c>
      <c r="E19" s="45" t="s">
        <v>99</v>
      </c>
      <c r="F19" s="45" t="s">
        <v>20</v>
      </c>
      <c r="G19" s="45" t="s">
        <v>100</v>
      </c>
      <c r="H19" s="45" t="s">
        <v>5</v>
      </c>
      <c r="I19" s="45" t="s">
        <v>6</v>
      </c>
      <c r="J19" s="47">
        <v>4540.34</v>
      </c>
      <c r="K19" s="27">
        <f>2</f>
        <v>2</v>
      </c>
      <c r="L19" s="127">
        <f t="shared" si="0"/>
        <v>0</v>
      </c>
      <c r="M19" s="127">
        <f t="shared" si="1"/>
        <v>0</v>
      </c>
      <c r="N19" s="128"/>
      <c r="O19" s="129">
        <f t="shared" si="2"/>
        <v>0</v>
      </c>
      <c r="P19" s="128"/>
      <c r="Q19" s="128"/>
      <c r="R19" s="128"/>
      <c r="S19" s="26">
        <f t="shared" si="3"/>
        <v>2</v>
      </c>
      <c r="T19" s="25" t="str">
        <f t="shared" si="4"/>
        <v>OK</v>
      </c>
      <c r="U19" s="138"/>
      <c r="V19" s="22"/>
      <c r="W19" s="22"/>
      <c r="X19" s="22"/>
      <c r="Y19" s="24"/>
      <c r="Z19" s="24"/>
      <c r="AA19" s="24"/>
      <c r="AB19" s="22"/>
      <c r="AC19" s="22"/>
      <c r="AD19" s="22"/>
      <c r="AE19" s="22"/>
      <c r="AF19" s="22"/>
      <c r="AG19" s="22"/>
      <c r="AH19" s="22"/>
    </row>
    <row r="20" spans="1:34" ht="30.25" customHeight="1" x14ac:dyDescent="0.35">
      <c r="A20" s="37">
        <v>17</v>
      </c>
      <c r="B20" s="37">
        <v>17</v>
      </c>
      <c r="C20" s="35" t="s">
        <v>63</v>
      </c>
      <c r="D20" s="38" t="s">
        <v>101</v>
      </c>
      <c r="E20" s="39" t="s">
        <v>102</v>
      </c>
      <c r="F20" s="40" t="s">
        <v>20</v>
      </c>
      <c r="G20" s="40" t="s">
        <v>103</v>
      </c>
      <c r="H20" s="40" t="s">
        <v>5</v>
      </c>
      <c r="I20" s="40" t="s">
        <v>6</v>
      </c>
      <c r="J20" s="36">
        <v>7499</v>
      </c>
      <c r="K20" s="27">
        <f>0</f>
        <v>0</v>
      </c>
      <c r="L20" s="127">
        <f t="shared" si="0"/>
        <v>0</v>
      </c>
      <c r="M20" s="127">
        <f t="shared" si="1"/>
        <v>0</v>
      </c>
      <c r="N20" s="128"/>
      <c r="O20" s="129">
        <f t="shared" si="2"/>
        <v>0</v>
      </c>
      <c r="P20" s="128"/>
      <c r="Q20" s="128"/>
      <c r="R20" s="128"/>
      <c r="S20" s="26">
        <f t="shared" si="3"/>
        <v>0</v>
      </c>
      <c r="T20" s="25" t="str">
        <f t="shared" si="4"/>
        <v>OK</v>
      </c>
      <c r="U20" s="138"/>
      <c r="V20" s="22"/>
      <c r="W20" s="22"/>
      <c r="X20" s="22"/>
      <c r="Y20" s="24"/>
      <c r="Z20" s="24"/>
      <c r="AA20" s="24"/>
      <c r="AB20" s="22"/>
      <c r="AC20" s="22"/>
      <c r="AD20" s="22"/>
      <c r="AE20" s="22"/>
      <c r="AF20" s="22"/>
      <c r="AG20" s="22"/>
      <c r="AH20" s="22"/>
    </row>
    <row r="21" spans="1:34" ht="30.25" customHeight="1" x14ac:dyDescent="0.35">
      <c r="A21" s="44">
        <v>18</v>
      </c>
      <c r="B21" s="44">
        <v>18</v>
      </c>
      <c r="C21" s="45" t="s">
        <v>104</v>
      </c>
      <c r="D21" s="46" t="s">
        <v>105</v>
      </c>
      <c r="E21" s="48" t="s">
        <v>106</v>
      </c>
      <c r="F21" s="49" t="s">
        <v>20</v>
      </c>
      <c r="G21" s="44" t="s">
        <v>107</v>
      </c>
      <c r="H21" s="44" t="s">
        <v>5</v>
      </c>
      <c r="I21" s="44" t="s">
        <v>6</v>
      </c>
      <c r="J21" s="47">
        <v>9553.2000000000007</v>
      </c>
      <c r="K21" s="27">
        <f>2</f>
        <v>2</v>
      </c>
      <c r="L21" s="127">
        <f t="shared" si="0"/>
        <v>0</v>
      </c>
      <c r="M21" s="127">
        <f t="shared" si="1"/>
        <v>0</v>
      </c>
      <c r="N21" s="128"/>
      <c r="O21" s="129">
        <f t="shared" si="2"/>
        <v>0</v>
      </c>
      <c r="P21" s="128"/>
      <c r="Q21" s="128"/>
      <c r="R21" s="128"/>
      <c r="S21" s="26">
        <f t="shared" si="3"/>
        <v>2</v>
      </c>
      <c r="T21" s="25" t="str">
        <f t="shared" si="4"/>
        <v>OK</v>
      </c>
      <c r="U21" s="138"/>
      <c r="V21" s="22"/>
      <c r="W21" s="22"/>
      <c r="X21" s="22"/>
      <c r="Y21" s="24"/>
      <c r="Z21" s="24"/>
      <c r="AA21" s="24"/>
      <c r="AB21" s="22"/>
      <c r="AC21" s="22"/>
      <c r="AD21" s="22"/>
      <c r="AE21" s="22"/>
      <c r="AF21" s="22"/>
      <c r="AG21" s="22"/>
      <c r="AH21" s="22"/>
    </row>
    <row r="22" spans="1:34" ht="30.25" customHeight="1" x14ac:dyDescent="0.35">
      <c r="A22" s="37">
        <v>19</v>
      </c>
      <c r="B22" s="37">
        <v>19</v>
      </c>
      <c r="C22" s="35" t="s">
        <v>63</v>
      </c>
      <c r="D22" s="34" t="s">
        <v>108</v>
      </c>
      <c r="E22" s="41" t="s">
        <v>109</v>
      </c>
      <c r="F22" s="43" t="s">
        <v>20</v>
      </c>
      <c r="G22" s="37" t="s">
        <v>107</v>
      </c>
      <c r="H22" s="37" t="s">
        <v>5</v>
      </c>
      <c r="I22" s="37" t="s">
        <v>6</v>
      </c>
      <c r="J22" s="36">
        <v>8608</v>
      </c>
      <c r="K22" s="27">
        <f>0</f>
        <v>0</v>
      </c>
      <c r="L22" s="127">
        <f t="shared" si="0"/>
        <v>0</v>
      </c>
      <c r="M22" s="127">
        <f t="shared" si="1"/>
        <v>0</v>
      </c>
      <c r="N22" s="128"/>
      <c r="O22" s="129">
        <f t="shared" si="2"/>
        <v>0</v>
      </c>
      <c r="P22" s="128"/>
      <c r="Q22" s="128"/>
      <c r="R22" s="128"/>
      <c r="S22" s="26">
        <f t="shared" si="3"/>
        <v>0</v>
      </c>
      <c r="T22" s="25" t="str">
        <f t="shared" si="4"/>
        <v>OK</v>
      </c>
      <c r="U22" s="138"/>
      <c r="V22" s="22"/>
      <c r="W22" s="22"/>
      <c r="X22" s="29"/>
      <c r="Y22" s="24"/>
      <c r="Z22" s="24"/>
      <c r="AA22" s="24"/>
      <c r="AB22" s="22"/>
      <c r="AC22" s="22"/>
      <c r="AD22" s="22"/>
      <c r="AE22" s="22"/>
      <c r="AF22" s="22"/>
      <c r="AG22" s="22"/>
      <c r="AH22" s="22"/>
    </row>
    <row r="23" spans="1:34" ht="30.25" customHeight="1" x14ac:dyDescent="0.35">
      <c r="A23" s="44">
        <v>20</v>
      </c>
      <c r="B23" s="44">
        <v>20</v>
      </c>
      <c r="C23" s="45" t="s">
        <v>63</v>
      </c>
      <c r="D23" s="46" t="s">
        <v>110</v>
      </c>
      <c r="E23" s="48" t="s">
        <v>111</v>
      </c>
      <c r="F23" s="50" t="s">
        <v>20</v>
      </c>
      <c r="G23" s="44" t="s">
        <v>112</v>
      </c>
      <c r="H23" s="44" t="s">
        <v>5</v>
      </c>
      <c r="I23" s="44" t="s">
        <v>6</v>
      </c>
      <c r="J23" s="47">
        <v>10488</v>
      </c>
      <c r="K23" s="27">
        <f>0</f>
        <v>0</v>
      </c>
      <c r="L23" s="127">
        <f t="shared" si="0"/>
        <v>0</v>
      </c>
      <c r="M23" s="127">
        <f t="shared" si="1"/>
        <v>0</v>
      </c>
      <c r="N23" s="128"/>
      <c r="O23" s="129">
        <f t="shared" si="2"/>
        <v>0</v>
      </c>
      <c r="P23" s="128"/>
      <c r="Q23" s="128"/>
      <c r="R23" s="128"/>
      <c r="S23" s="26">
        <f t="shared" si="3"/>
        <v>0</v>
      </c>
      <c r="T23" s="25" t="str">
        <f t="shared" si="4"/>
        <v>OK</v>
      </c>
      <c r="U23" s="138"/>
      <c r="V23" s="22"/>
      <c r="W23" s="22"/>
      <c r="X23" s="29"/>
      <c r="Y23" s="24"/>
      <c r="Z23" s="24"/>
      <c r="AA23" s="24"/>
      <c r="AB23" s="22"/>
      <c r="AC23" s="22"/>
      <c r="AD23" s="22"/>
      <c r="AE23" s="22"/>
      <c r="AF23" s="22"/>
      <c r="AG23" s="22"/>
      <c r="AH23" s="22"/>
    </row>
    <row r="24" spans="1:34" ht="30.25" customHeight="1" x14ac:dyDescent="0.35">
      <c r="A24" s="37">
        <v>21</v>
      </c>
      <c r="B24" s="37">
        <v>21</v>
      </c>
      <c r="C24" s="35" t="s">
        <v>63</v>
      </c>
      <c r="D24" s="34" t="s">
        <v>113</v>
      </c>
      <c r="E24" s="41" t="s">
        <v>114</v>
      </c>
      <c r="F24" s="43" t="s">
        <v>20</v>
      </c>
      <c r="G24" s="37" t="s">
        <v>115</v>
      </c>
      <c r="H24" s="37" t="s">
        <v>5</v>
      </c>
      <c r="I24" s="37" t="s">
        <v>6</v>
      </c>
      <c r="J24" s="36">
        <v>10968</v>
      </c>
      <c r="K24" s="27">
        <f>0</f>
        <v>0</v>
      </c>
      <c r="L24" s="127">
        <f t="shared" si="0"/>
        <v>0</v>
      </c>
      <c r="M24" s="127">
        <f t="shared" si="1"/>
        <v>0</v>
      </c>
      <c r="N24" s="128"/>
      <c r="O24" s="129">
        <f t="shared" si="2"/>
        <v>0</v>
      </c>
      <c r="P24" s="128"/>
      <c r="Q24" s="128"/>
      <c r="R24" s="128"/>
      <c r="S24" s="26">
        <f t="shared" si="3"/>
        <v>0</v>
      </c>
      <c r="T24" s="25" t="str">
        <f t="shared" si="4"/>
        <v>OK</v>
      </c>
      <c r="U24" s="138"/>
      <c r="V24" s="22"/>
      <c r="W24" s="22"/>
      <c r="X24" s="29"/>
      <c r="Y24" s="24"/>
      <c r="Z24" s="24"/>
      <c r="AA24" s="24"/>
      <c r="AB24" s="22"/>
      <c r="AC24" s="22"/>
      <c r="AD24" s="22"/>
      <c r="AE24" s="22"/>
      <c r="AF24" s="22"/>
      <c r="AG24" s="22"/>
      <c r="AH24" s="22"/>
    </row>
    <row r="25" spans="1:34" ht="30.25" customHeight="1" x14ac:dyDescent="0.35">
      <c r="A25" s="44">
        <v>22</v>
      </c>
      <c r="B25" s="44">
        <v>22</v>
      </c>
      <c r="C25" s="45" t="s">
        <v>32</v>
      </c>
      <c r="D25" s="46" t="s">
        <v>116</v>
      </c>
      <c r="E25" s="48" t="s">
        <v>117</v>
      </c>
      <c r="F25" s="50" t="s">
        <v>20</v>
      </c>
      <c r="G25" s="44" t="s">
        <v>118</v>
      </c>
      <c r="H25" s="44" t="s">
        <v>5</v>
      </c>
      <c r="I25" s="44" t="s">
        <v>6</v>
      </c>
      <c r="J25" s="47">
        <v>13446</v>
      </c>
      <c r="K25" s="27">
        <f>1</f>
        <v>1</v>
      </c>
      <c r="L25" s="127">
        <f t="shared" si="0"/>
        <v>0</v>
      </c>
      <c r="M25" s="127">
        <f t="shared" si="1"/>
        <v>0</v>
      </c>
      <c r="N25" s="128"/>
      <c r="O25" s="129">
        <f t="shared" si="2"/>
        <v>0</v>
      </c>
      <c r="P25" s="128"/>
      <c r="Q25" s="128"/>
      <c r="R25" s="128"/>
      <c r="S25" s="26">
        <f t="shared" si="3"/>
        <v>1</v>
      </c>
      <c r="T25" s="25" t="str">
        <f t="shared" si="4"/>
        <v>OK</v>
      </c>
      <c r="U25" s="138"/>
      <c r="V25" s="22"/>
      <c r="W25" s="22"/>
      <c r="X25" s="29"/>
      <c r="Y25" s="24"/>
      <c r="Z25" s="24"/>
      <c r="AA25" s="24"/>
      <c r="AB25" s="22"/>
      <c r="AC25" s="22"/>
      <c r="AD25" s="22"/>
      <c r="AE25" s="22"/>
      <c r="AF25" s="22"/>
      <c r="AG25" s="22"/>
      <c r="AH25" s="22"/>
    </row>
    <row r="26" spans="1:34" ht="30.25" customHeight="1" x14ac:dyDescent="0.35">
      <c r="A26" s="37">
        <v>23</v>
      </c>
      <c r="B26" s="37">
        <v>23</v>
      </c>
      <c r="C26" s="35" t="s">
        <v>119</v>
      </c>
      <c r="D26" s="34" t="s">
        <v>120</v>
      </c>
      <c r="E26" s="41" t="s">
        <v>121</v>
      </c>
      <c r="F26" s="43" t="s">
        <v>20</v>
      </c>
      <c r="G26" s="37" t="s">
        <v>115</v>
      </c>
      <c r="H26" s="37" t="s">
        <v>5</v>
      </c>
      <c r="I26" s="37" t="s">
        <v>6</v>
      </c>
      <c r="J26" s="36">
        <v>11764.7</v>
      </c>
      <c r="K26" s="27">
        <f>0</f>
        <v>0</v>
      </c>
      <c r="L26" s="127">
        <f t="shared" si="0"/>
        <v>0</v>
      </c>
      <c r="M26" s="127">
        <f t="shared" si="1"/>
        <v>0</v>
      </c>
      <c r="N26" s="128"/>
      <c r="O26" s="129">
        <f t="shared" si="2"/>
        <v>0</v>
      </c>
      <c r="P26" s="128"/>
      <c r="Q26" s="128"/>
      <c r="R26" s="128"/>
      <c r="S26" s="26">
        <f t="shared" si="3"/>
        <v>0</v>
      </c>
      <c r="T26" s="25" t="str">
        <f t="shared" si="4"/>
        <v>OK</v>
      </c>
      <c r="U26" s="138"/>
      <c r="V26" s="22"/>
      <c r="W26" s="22"/>
      <c r="X26" s="29"/>
      <c r="Y26" s="24"/>
      <c r="Z26" s="24"/>
      <c r="AA26" s="24"/>
      <c r="AB26" s="22"/>
      <c r="AC26" s="22"/>
      <c r="AD26" s="22"/>
      <c r="AE26" s="22"/>
      <c r="AF26" s="22"/>
      <c r="AG26" s="22"/>
      <c r="AH26" s="22"/>
    </row>
    <row r="27" spans="1:34" ht="30.25" customHeight="1" x14ac:dyDescent="0.35">
      <c r="A27" s="44">
        <v>24</v>
      </c>
      <c r="B27" s="44">
        <v>24</v>
      </c>
      <c r="C27" s="45" t="s">
        <v>32</v>
      </c>
      <c r="D27" s="46" t="s">
        <v>122</v>
      </c>
      <c r="E27" s="48" t="s">
        <v>123</v>
      </c>
      <c r="F27" s="50" t="s">
        <v>20</v>
      </c>
      <c r="G27" s="44" t="s">
        <v>124</v>
      </c>
      <c r="H27" s="44" t="s">
        <v>60</v>
      </c>
      <c r="I27" s="44" t="s">
        <v>6</v>
      </c>
      <c r="J27" s="47">
        <v>13333.33</v>
      </c>
      <c r="K27" s="27">
        <f>0</f>
        <v>0</v>
      </c>
      <c r="L27" s="127">
        <f t="shared" si="0"/>
        <v>0</v>
      </c>
      <c r="M27" s="127">
        <f t="shared" si="1"/>
        <v>0</v>
      </c>
      <c r="N27" s="128"/>
      <c r="O27" s="129">
        <f t="shared" si="2"/>
        <v>0</v>
      </c>
      <c r="P27" s="128"/>
      <c r="Q27" s="128"/>
      <c r="R27" s="128"/>
      <c r="S27" s="26">
        <f t="shared" si="3"/>
        <v>0</v>
      </c>
      <c r="T27" s="25" t="str">
        <f t="shared" si="4"/>
        <v>OK</v>
      </c>
      <c r="U27" s="138"/>
      <c r="V27" s="22"/>
      <c r="W27" s="22"/>
      <c r="X27" s="29"/>
      <c r="Y27" s="24"/>
      <c r="Z27" s="24"/>
      <c r="AA27" s="24"/>
      <c r="AB27" s="22"/>
      <c r="AC27" s="22"/>
      <c r="AD27" s="22"/>
      <c r="AE27" s="22"/>
      <c r="AF27" s="22"/>
      <c r="AG27" s="22"/>
      <c r="AH27" s="22"/>
    </row>
    <row r="28" spans="1:34" ht="30.25" customHeight="1" x14ac:dyDescent="0.35">
      <c r="A28" s="37">
        <v>25</v>
      </c>
      <c r="B28" s="37">
        <v>25</v>
      </c>
      <c r="C28" s="35" t="s">
        <v>125</v>
      </c>
      <c r="D28" s="34" t="s">
        <v>126</v>
      </c>
      <c r="E28" s="41" t="s">
        <v>127</v>
      </c>
      <c r="F28" s="43" t="s">
        <v>24</v>
      </c>
      <c r="G28" s="37" t="s">
        <v>25</v>
      </c>
      <c r="H28" s="37" t="s">
        <v>5</v>
      </c>
      <c r="I28" s="37" t="s">
        <v>26</v>
      </c>
      <c r="J28" s="36">
        <v>1320</v>
      </c>
      <c r="K28" s="27">
        <f>0</f>
        <v>0</v>
      </c>
      <c r="L28" s="127">
        <f t="shared" si="0"/>
        <v>0</v>
      </c>
      <c r="M28" s="127">
        <f t="shared" si="1"/>
        <v>0</v>
      </c>
      <c r="N28" s="128"/>
      <c r="O28" s="129">
        <f t="shared" si="2"/>
        <v>0</v>
      </c>
      <c r="P28" s="128"/>
      <c r="Q28" s="128"/>
      <c r="R28" s="128"/>
      <c r="S28" s="26">
        <f t="shared" si="3"/>
        <v>0</v>
      </c>
      <c r="T28" s="25" t="str">
        <f t="shared" si="4"/>
        <v>OK</v>
      </c>
      <c r="U28" s="138"/>
      <c r="V28" s="22"/>
      <c r="W28" s="22"/>
      <c r="X28" s="29"/>
      <c r="Y28" s="24"/>
      <c r="Z28" s="24"/>
      <c r="AA28" s="24"/>
      <c r="AB28" s="22"/>
      <c r="AC28" s="22"/>
      <c r="AD28" s="22"/>
      <c r="AE28" s="22"/>
      <c r="AF28" s="22"/>
      <c r="AG28" s="22"/>
      <c r="AH28" s="22"/>
    </row>
    <row r="29" spans="1:34" ht="30.25" customHeight="1" x14ac:dyDescent="0.35">
      <c r="A29" s="44">
        <v>26</v>
      </c>
      <c r="B29" s="44">
        <v>26</v>
      </c>
      <c r="C29" s="45" t="s">
        <v>119</v>
      </c>
      <c r="D29" s="46" t="s">
        <v>14</v>
      </c>
      <c r="E29" s="48" t="s">
        <v>128</v>
      </c>
      <c r="F29" s="50" t="s">
        <v>23</v>
      </c>
      <c r="G29" s="44" t="s">
        <v>129</v>
      </c>
      <c r="H29" s="44" t="s">
        <v>5</v>
      </c>
      <c r="I29" s="44" t="s">
        <v>6</v>
      </c>
      <c r="J29" s="47">
        <v>650</v>
      </c>
      <c r="K29" s="27">
        <f>0</f>
        <v>0</v>
      </c>
      <c r="L29" s="127">
        <f t="shared" si="0"/>
        <v>0</v>
      </c>
      <c r="M29" s="127">
        <f t="shared" si="1"/>
        <v>0</v>
      </c>
      <c r="N29" s="128"/>
      <c r="O29" s="129">
        <f t="shared" si="2"/>
        <v>0</v>
      </c>
      <c r="P29" s="128"/>
      <c r="Q29" s="128"/>
      <c r="R29" s="128"/>
      <c r="S29" s="26">
        <f t="shared" si="3"/>
        <v>0</v>
      </c>
      <c r="T29" s="25" t="str">
        <f t="shared" si="4"/>
        <v>OK</v>
      </c>
      <c r="U29" s="138"/>
      <c r="V29" s="22"/>
      <c r="W29" s="22"/>
      <c r="X29" s="22"/>
      <c r="Y29" s="24"/>
      <c r="Z29" s="24"/>
      <c r="AA29" s="24"/>
      <c r="AB29" s="22"/>
      <c r="AC29" s="22"/>
      <c r="AD29" s="22"/>
      <c r="AE29" s="22"/>
      <c r="AF29" s="22"/>
      <c r="AG29" s="22"/>
      <c r="AH29" s="22"/>
    </row>
    <row r="30" spans="1:34" ht="30.25" customHeight="1" x14ac:dyDescent="0.35">
      <c r="A30" s="37">
        <v>27</v>
      </c>
      <c r="B30" s="37">
        <v>27</v>
      </c>
      <c r="C30" s="35" t="s">
        <v>130</v>
      </c>
      <c r="D30" s="34" t="s">
        <v>131</v>
      </c>
      <c r="E30" s="41" t="s">
        <v>132</v>
      </c>
      <c r="F30" s="43" t="s">
        <v>28</v>
      </c>
      <c r="G30" s="37" t="s">
        <v>29</v>
      </c>
      <c r="H30" s="37" t="s">
        <v>8</v>
      </c>
      <c r="I30" s="37" t="s">
        <v>26</v>
      </c>
      <c r="J30" s="36">
        <v>39.78</v>
      </c>
      <c r="K30" s="27">
        <f>0</f>
        <v>0</v>
      </c>
      <c r="L30" s="127">
        <f t="shared" si="0"/>
        <v>0</v>
      </c>
      <c r="M30" s="127">
        <f t="shared" si="1"/>
        <v>0</v>
      </c>
      <c r="N30" s="128"/>
      <c r="O30" s="129">
        <f t="shared" si="2"/>
        <v>0</v>
      </c>
      <c r="P30" s="128"/>
      <c r="Q30" s="128"/>
      <c r="R30" s="128"/>
      <c r="S30" s="26">
        <f t="shared" si="3"/>
        <v>0</v>
      </c>
      <c r="T30" s="25" t="str">
        <f t="shared" si="4"/>
        <v>OK</v>
      </c>
      <c r="U30" s="138"/>
      <c r="V30" s="22"/>
      <c r="W30" s="22"/>
      <c r="X30" s="22"/>
      <c r="Y30" s="24"/>
      <c r="Z30" s="24"/>
      <c r="AA30" s="24"/>
      <c r="AB30" s="22"/>
      <c r="AC30" s="22"/>
      <c r="AD30" s="22"/>
      <c r="AE30" s="22"/>
      <c r="AF30" s="22"/>
      <c r="AG30" s="22"/>
      <c r="AH30" s="22"/>
    </row>
    <row r="31" spans="1:34" ht="30.25" customHeight="1" x14ac:dyDescent="0.35">
      <c r="A31" s="44">
        <v>28</v>
      </c>
      <c r="B31" s="44">
        <v>28</v>
      </c>
      <c r="C31" s="45" t="s">
        <v>133</v>
      </c>
      <c r="D31" s="46" t="s">
        <v>134</v>
      </c>
      <c r="E31" s="48" t="s">
        <v>135</v>
      </c>
      <c r="F31" s="50" t="s">
        <v>136</v>
      </c>
      <c r="G31" s="44" t="s">
        <v>137</v>
      </c>
      <c r="H31" s="44" t="s">
        <v>5</v>
      </c>
      <c r="I31" s="44" t="s">
        <v>6</v>
      </c>
      <c r="J31" s="47">
        <v>2259.91</v>
      </c>
      <c r="K31" s="27">
        <f>0</f>
        <v>0</v>
      </c>
      <c r="L31" s="127">
        <f t="shared" si="0"/>
        <v>0</v>
      </c>
      <c r="M31" s="127">
        <f t="shared" si="1"/>
        <v>0</v>
      </c>
      <c r="N31" s="128"/>
      <c r="O31" s="129">
        <f t="shared" si="2"/>
        <v>0</v>
      </c>
      <c r="P31" s="128"/>
      <c r="Q31" s="128"/>
      <c r="R31" s="128"/>
      <c r="S31" s="26">
        <f t="shared" si="3"/>
        <v>0</v>
      </c>
      <c r="T31" s="25" t="str">
        <f t="shared" si="4"/>
        <v>OK</v>
      </c>
      <c r="U31" s="138"/>
      <c r="V31" s="22"/>
      <c r="W31" s="22"/>
      <c r="X31" s="22"/>
      <c r="Y31" s="24"/>
      <c r="Z31" s="24"/>
      <c r="AA31" s="24"/>
      <c r="AB31" s="22"/>
      <c r="AC31" s="22"/>
      <c r="AD31" s="22"/>
      <c r="AE31" s="22"/>
      <c r="AF31" s="22"/>
      <c r="AG31" s="22"/>
      <c r="AH31" s="22"/>
    </row>
    <row r="32" spans="1:34" ht="30.25" customHeight="1" x14ac:dyDescent="0.35">
      <c r="A32" s="37">
        <v>29</v>
      </c>
      <c r="B32" s="37">
        <v>29</v>
      </c>
      <c r="C32" s="35" t="s">
        <v>138</v>
      </c>
      <c r="D32" s="34" t="s">
        <v>139</v>
      </c>
      <c r="E32" s="41" t="s">
        <v>140</v>
      </c>
      <c r="F32" s="43" t="s">
        <v>136</v>
      </c>
      <c r="G32" s="37" t="s">
        <v>137</v>
      </c>
      <c r="H32" s="37" t="s">
        <v>5</v>
      </c>
      <c r="I32" s="37" t="s">
        <v>6</v>
      </c>
      <c r="J32" s="36">
        <v>3391.3</v>
      </c>
      <c r="K32" s="27">
        <f>1</f>
        <v>1</v>
      </c>
      <c r="L32" s="127">
        <f t="shared" si="0"/>
        <v>0</v>
      </c>
      <c r="M32" s="127">
        <f t="shared" si="1"/>
        <v>0</v>
      </c>
      <c r="N32" s="128"/>
      <c r="O32" s="129">
        <f t="shared" si="2"/>
        <v>0</v>
      </c>
      <c r="P32" s="128"/>
      <c r="Q32" s="128"/>
      <c r="R32" s="128"/>
      <c r="S32" s="26">
        <f t="shared" si="3"/>
        <v>1</v>
      </c>
      <c r="T32" s="25" t="str">
        <f t="shared" si="4"/>
        <v>OK</v>
      </c>
      <c r="U32" s="138"/>
      <c r="V32" s="22"/>
      <c r="W32" s="22"/>
      <c r="X32" s="22"/>
      <c r="Y32" s="24"/>
      <c r="Z32" s="24"/>
      <c r="AA32" s="24"/>
      <c r="AB32" s="22"/>
      <c r="AC32" s="22"/>
      <c r="AD32" s="22"/>
      <c r="AE32" s="22"/>
      <c r="AF32" s="22"/>
      <c r="AG32" s="22"/>
      <c r="AH32" s="22"/>
    </row>
    <row r="33" spans="1:34" ht="30.25" customHeight="1" x14ac:dyDescent="0.35">
      <c r="A33" s="44">
        <v>30</v>
      </c>
      <c r="B33" s="44">
        <v>30</v>
      </c>
      <c r="C33" s="45" t="s">
        <v>141</v>
      </c>
      <c r="D33" s="46" t="s">
        <v>142</v>
      </c>
      <c r="E33" s="48" t="s">
        <v>143</v>
      </c>
      <c r="F33" s="50" t="s">
        <v>136</v>
      </c>
      <c r="G33" s="44" t="s">
        <v>137</v>
      </c>
      <c r="H33" s="44" t="s">
        <v>5</v>
      </c>
      <c r="I33" s="44" t="s">
        <v>6</v>
      </c>
      <c r="J33" s="47">
        <v>9961.5300000000007</v>
      </c>
      <c r="K33" s="27">
        <f>2</f>
        <v>2</v>
      </c>
      <c r="L33" s="127">
        <f t="shared" si="0"/>
        <v>0</v>
      </c>
      <c r="M33" s="127">
        <f t="shared" si="1"/>
        <v>0</v>
      </c>
      <c r="N33" s="128"/>
      <c r="O33" s="129">
        <f t="shared" si="2"/>
        <v>0</v>
      </c>
      <c r="P33" s="128"/>
      <c r="Q33" s="128"/>
      <c r="R33" s="128"/>
      <c r="S33" s="26">
        <f t="shared" si="3"/>
        <v>2</v>
      </c>
      <c r="T33" s="25" t="str">
        <f t="shared" si="4"/>
        <v>OK</v>
      </c>
      <c r="U33" s="138"/>
      <c r="V33" s="22"/>
      <c r="W33" s="22"/>
      <c r="X33" s="22"/>
      <c r="Y33" s="24"/>
      <c r="Z33" s="24"/>
      <c r="AA33" s="24"/>
      <c r="AB33" s="22"/>
      <c r="AC33" s="22"/>
      <c r="AD33" s="22"/>
      <c r="AE33" s="22"/>
      <c r="AF33" s="22"/>
      <c r="AG33" s="22"/>
      <c r="AH33" s="22"/>
    </row>
    <row r="34" spans="1:34" ht="30.25" customHeight="1" x14ac:dyDescent="0.35">
      <c r="A34" s="37">
        <v>31</v>
      </c>
      <c r="B34" s="37">
        <v>31</v>
      </c>
      <c r="C34" s="35" t="s">
        <v>144</v>
      </c>
      <c r="D34" s="34" t="s">
        <v>145</v>
      </c>
      <c r="E34" s="41" t="s">
        <v>146</v>
      </c>
      <c r="F34" s="43" t="s">
        <v>20</v>
      </c>
      <c r="G34" s="37" t="s">
        <v>147</v>
      </c>
      <c r="H34" s="37" t="s">
        <v>60</v>
      </c>
      <c r="I34" s="37">
        <v>44905212</v>
      </c>
      <c r="J34" s="36">
        <v>630</v>
      </c>
      <c r="K34" s="27">
        <f>0</f>
        <v>0</v>
      </c>
      <c r="L34" s="127">
        <f t="shared" si="0"/>
        <v>0</v>
      </c>
      <c r="M34" s="127">
        <f t="shared" si="1"/>
        <v>0</v>
      </c>
      <c r="N34" s="128"/>
      <c r="O34" s="129">
        <f t="shared" si="2"/>
        <v>0</v>
      </c>
      <c r="P34" s="128"/>
      <c r="Q34" s="128"/>
      <c r="R34" s="128"/>
      <c r="S34" s="26">
        <f t="shared" si="3"/>
        <v>0</v>
      </c>
      <c r="T34" s="25" t="str">
        <f t="shared" si="4"/>
        <v>OK</v>
      </c>
      <c r="U34" s="138"/>
      <c r="V34" s="22"/>
      <c r="W34" s="22"/>
      <c r="X34" s="22"/>
      <c r="Y34" s="24"/>
      <c r="Z34" s="24"/>
      <c r="AA34" s="24"/>
      <c r="AB34" s="22"/>
      <c r="AC34" s="22"/>
      <c r="AD34" s="22"/>
      <c r="AE34" s="22"/>
      <c r="AF34" s="22"/>
      <c r="AG34" s="22"/>
      <c r="AH34" s="22"/>
    </row>
    <row r="35" spans="1:34" ht="30.25" customHeight="1" x14ac:dyDescent="0.35">
      <c r="A35" s="44">
        <v>32</v>
      </c>
      <c r="B35" s="44">
        <v>32</v>
      </c>
      <c r="C35" s="45" t="s">
        <v>144</v>
      </c>
      <c r="D35" s="46" t="s">
        <v>148</v>
      </c>
      <c r="E35" s="48" t="s">
        <v>149</v>
      </c>
      <c r="F35" s="50" t="s">
        <v>20</v>
      </c>
      <c r="G35" s="44" t="s">
        <v>147</v>
      </c>
      <c r="H35" s="44" t="s">
        <v>60</v>
      </c>
      <c r="I35" s="44">
        <v>44905212</v>
      </c>
      <c r="J35" s="47">
        <v>1550</v>
      </c>
      <c r="K35" s="27">
        <f>0</f>
        <v>0</v>
      </c>
      <c r="L35" s="127">
        <f t="shared" si="0"/>
        <v>0</v>
      </c>
      <c r="M35" s="127">
        <f t="shared" si="1"/>
        <v>0</v>
      </c>
      <c r="N35" s="128"/>
      <c r="O35" s="129">
        <f t="shared" si="2"/>
        <v>0</v>
      </c>
      <c r="P35" s="128"/>
      <c r="Q35" s="128"/>
      <c r="R35" s="128"/>
      <c r="S35" s="26">
        <f t="shared" si="3"/>
        <v>0</v>
      </c>
      <c r="T35" s="25" t="str">
        <f t="shared" si="4"/>
        <v>OK</v>
      </c>
      <c r="U35" s="138"/>
      <c r="V35" s="22"/>
      <c r="W35" s="22"/>
      <c r="X35" s="22"/>
      <c r="Y35" s="24"/>
      <c r="Z35" s="24"/>
      <c r="AA35" s="24"/>
      <c r="AB35" s="22"/>
      <c r="AC35" s="22"/>
      <c r="AD35" s="22"/>
      <c r="AE35" s="22"/>
      <c r="AF35" s="22"/>
      <c r="AG35" s="22"/>
      <c r="AH35" s="22"/>
    </row>
    <row r="36" spans="1:34" ht="30.25" customHeight="1" x14ac:dyDescent="0.35">
      <c r="A36" s="37">
        <v>33</v>
      </c>
      <c r="B36" s="37">
        <v>33</v>
      </c>
      <c r="C36" s="35" t="s">
        <v>150</v>
      </c>
      <c r="D36" s="34" t="s">
        <v>151</v>
      </c>
      <c r="E36" s="41" t="s">
        <v>152</v>
      </c>
      <c r="F36" s="43" t="s">
        <v>20</v>
      </c>
      <c r="G36" s="37" t="s">
        <v>147</v>
      </c>
      <c r="H36" s="37" t="s">
        <v>60</v>
      </c>
      <c r="I36" s="37">
        <v>44905212</v>
      </c>
      <c r="J36" s="36">
        <v>930</v>
      </c>
      <c r="K36" s="27">
        <f>0</f>
        <v>0</v>
      </c>
      <c r="L36" s="127">
        <f t="shared" si="0"/>
        <v>0</v>
      </c>
      <c r="M36" s="127">
        <f t="shared" si="1"/>
        <v>0</v>
      </c>
      <c r="N36" s="128"/>
      <c r="O36" s="129">
        <f t="shared" si="2"/>
        <v>0</v>
      </c>
      <c r="P36" s="128"/>
      <c r="Q36" s="128"/>
      <c r="R36" s="128"/>
      <c r="S36" s="26">
        <f t="shared" si="3"/>
        <v>0</v>
      </c>
      <c r="T36" s="25" t="str">
        <f t="shared" si="4"/>
        <v>OK</v>
      </c>
      <c r="U36" s="138"/>
      <c r="V36" s="22"/>
      <c r="W36" s="22"/>
      <c r="X36" s="22"/>
      <c r="Y36" s="24"/>
      <c r="Z36" s="24"/>
      <c r="AA36" s="24"/>
      <c r="AB36" s="22"/>
      <c r="AC36" s="22"/>
      <c r="AD36" s="22"/>
      <c r="AE36" s="22"/>
      <c r="AF36" s="22"/>
      <c r="AG36" s="22"/>
      <c r="AH36" s="22"/>
    </row>
    <row r="37" spans="1:34" ht="30.25" customHeight="1" x14ac:dyDescent="0.35">
      <c r="A37" s="44">
        <v>34</v>
      </c>
      <c r="B37" s="44">
        <v>34</v>
      </c>
      <c r="C37" s="45" t="s">
        <v>150</v>
      </c>
      <c r="D37" s="46" t="s">
        <v>153</v>
      </c>
      <c r="E37" s="48" t="s">
        <v>154</v>
      </c>
      <c r="F37" s="50" t="s">
        <v>20</v>
      </c>
      <c r="G37" s="44" t="s">
        <v>147</v>
      </c>
      <c r="H37" s="44" t="s">
        <v>60</v>
      </c>
      <c r="I37" s="44">
        <v>44905212</v>
      </c>
      <c r="J37" s="47">
        <v>2560</v>
      </c>
      <c r="K37" s="27">
        <f>0</f>
        <v>0</v>
      </c>
      <c r="L37" s="127">
        <f t="shared" si="0"/>
        <v>0</v>
      </c>
      <c r="M37" s="127">
        <f t="shared" si="1"/>
        <v>0</v>
      </c>
      <c r="N37" s="128"/>
      <c r="O37" s="129">
        <f t="shared" si="2"/>
        <v>0</v>
      </c>
      <c r="P37" s="128"/>
      <c r="Q37" s="128"/>
      <c r="R37" s="128"/>
      <c r="S37" s="26">
        <f t="shared" si="3"/>
        <v>0</v>
      </c>
      <c r="T37" s="25" t="str">
        <f t="shared" si="4"/>
        <v>OK</v>
      </c>
      <c r="U37" s="138"/>
      <c r="V37" s="22"/>
      <c r="W37" s="22"/>
      <c r="X37" s="22"/>
      <c r="Y37" s="24"/>
      <c r="Z37" s="24"/>
      <c r="AA37" s="24"/>
      <c r="AB37" s="22"/>
      <c r="AC37" s="22"/>
      <c r="AD37" s="22"/>
      <c r="AE37" s="22"/>
      <c r="AF37" s="22"/>
      <c r="AG37" s="22"/>
      <c r="AH37" s="22"/>
    </row>
    <row r="38" spans="1:34" ht="30.25" customHeight="1" x14ac:dyDescent="0.35">
      <c r="A38" s="198" t="s">
        <v>155</v>
      </c>
      <c r="B38" s="37">
        <v>35</v>
      </c>
      <c r="C38" s="195" t="s">
        <v>33</v>
      </c>
      <c r="D38" s="34" t="s">
        <v>27</v>
      </c>
      <c r="E38" s="41" t="s">
        <v>8</v>
      </c>
      <c r="F38" s="42" t="s">
        <v>28</v>
      </c>
      <c r="G38" s="37" t="s">
        <v>29</v>
      </c>
      <c r="H38" s="37" t="s">
        <v>8</v>
      </c>
      <c r="I38" s="37" t="s">
        <v>9</v>
      </c>
      <c r="J38" s="36">
        <v>150.13999999999999</v>
      </c>
      <c r="K38" s="27">
        <f>2</f>
        <v>2</v>
      </c>
      <c r="L38" s="127">
        <f t="shared" si="0"/>
        <v>0</v>
      </c>
      <c r="M38" s="127">
        <f t="shared" si="1"/>
        <v>0</v>
      </c>
      <c r="N38" s="128">
        <v>-2</v>
      </c>
      <c r="O38" s="129">
        <f t="shared" si="2"/>
        <v>0</v>
      </c>
      <c r="P38" s="128"/>
      <c r="Q38" s="128"/>
      <c r="R38" s="128"/>
      <c r="S38" s="26">
        <f t="shared" si="3"/>
        <v>0</v>
      </c>
      <c r="T38" s="25" t="str">
        <f t="shared" si="4"/>
        <v>OK</v>
      </c>
      <c r="U38" s="138"/>
      <c r="V38" s="22"/>
      <c r="W38" s="22"/>
      <c r="X38" s="22"/>
      <c r="Y38" s="24"/>
      <c r="Z38" s="24"/>
      <c r="AA38" s="24"/>
      <c r="AB38" s="22"/>
      <c r="AC38" s="22"/>
      <c r="AD38" s="22"/>
      <c r="AE38" s="22"/>
      <c r="AF38" s="22"/>
      <c r="AG38" s="22"/>
      <c r="AH38" s="22"/>
    </row>
    <row r="39" spans="1:34" ht="30.25" customHeight="1" x14ac:dyDescent="0.35">
      <c r="A39" s="199"/>
      <c r="B39" s="37">
        <v>36</v>
      </c>
      <c r="C39" s="196"/>
      <c r="D39" s="34" t="s">
        <v>7</v>
      </c>
      <c r="E39" s="41" t="s">
        <v>8</v>
      </c>
      <c r="F39" s="43" t="s">
        <v>28</v>
      </c>
      <c r="G39" s="37" t="s">
        <v>29</v>
      </c>
      <c r="H39" s="37" t="s">
        <v>8</v>
      </c>
      <c r="I39" s="37" t="s">
        <v>9</v>
      </c>
      <c r="J39" s="36">
        <v>1076</v>
      </c>
      <c r="K39" s="27">
        <f>8</f>
        <v>8</v>
      </c>
      <c r="L39" s="127">
        <f t="shared" si="0"/>
        <v>0</v>
      </c>
      <c r="M39" s="127">
        <f t="shared" si="1"/>
        <v>0</v>
      </c>
      <c r="N39" s="128">
        <v>-8</v>
      </c>
      <c r="O39" s="129">
        <f t="shared" si="2"/>
        <v>2</v>
      </c>
      <c r="P39" s="128"/>
      <c r="Q39" s="128"/>
      <c r="R39" s="128"/>
      <c r="S39" s="26">
        <f t="shared" si="3"/>
        <v>0</v>
      </c>
      <c r="T39" s="25" t="str">
        <f t="shared" si="4"/>
        <v>OK</v>
      </c>
      <c r="U39" s="138"/>
      <c r="V39" s="22"/>
      <c r="W39" s="22"/>
      <c r="X39" s="22"/>
      <c r="Y39" s="24"/>
      <c r="Z39" s="24"/>
      <c r="AA39" s="24"/>
      <c r="AB39" s="22"/>
      <c r="AC39" s="22"/>
      <c r="AD39" s="22"/>
      <c r="AE39" s="22"/>
      <c r="AF39" s="22"/>
      <c r="AG39" s="22"/>
      <c r="AH39" s="22"/>
    </row>
    <row r="40" spans="1:34" ht="30.25" customHeight="1" x14ac:dyDescent="0.35">
      <c r="A40" s="199"/>
      <c r="B40" s="37">
        <v>37</v>
      </c>
      <c r="C40" s="196"/>
      <c r="D40" s="34" t="s">
        <v>156</v>
      </c>
      <c r="E40" s="41" t="s">
        <v>8</v>
      </c>
      <c r="F40" s="43" t="s">
        <v>28</v>
      </c>
      <c r="G40" s="37" t="s">
        <v>29</v>
      </c>
      <c r="H40" s="37" t="s">
        <v>34</v>
      </c>
      <c r="I40" s="37" t="s">
        <v>9</v>
      </c>
      <c r="J40" s="36">
        <v>75</v>
      </c>
      <c r="K40" s="27">
        <f>10</f>
        <v>10</v>
      </c>
      <c r="L40" s="127">
        <f t="shared" si="0"/>
        <v>0</v>
      </c>
      <c r="M40" s="127">
        <f t="shared" si="1"/>
        <v>0</v>
      </c>
      <c r="N40" s="128">
        <v>-10</v>
      </c>
      <c r="O40" s="129">
        <f t="shared" si="2"/>
        <v>2</v>
      </c>
      <c r="P40" s="128"/>
      <c r="Q40" s="128"/>
      <c r="R40" s="128"/>
      <c r="S40" s="26">
        <f t="shared" si="3"/>
        <v>0</v>
      </c>
      <c r="T40" s="25" t="str">
        <f t="shared" si="4"/>
        <v>OK</v>
      </c>
      <c r="U40" s="138"/>
      <c r="V40" s="22"/>
      <c r="W40" s="22"/>
      <c r="X40" s="22"/>
      <c r="Y40" s="24"/>
      <c r="Z40" s="24"/>
      <c r="AA40" s="24"/>
      <c r="AB40" s="22"/>
      <c r="AC40" s="22"/>
      <c r="AD40" s="22"/>
      <c r="AE40" s="22"/>
      <c r="AF40" s="22"/>
      <c r="AG40" s="22"/>
      <c r="AH40" s="22"/>
    </row>
    <row r="41" spans="1:34" ht="30.25" customHeight="1" x14ac:dyDescent="0.35">
      <c r="A41" s="199"/>
      <c r="B41" s="37">
        <v>38</v>
      </c>
      <c r="C41" s="196"/>
      <c r="D41" s="34" t="s">
        <v>11</v>
      </c>
      <c r="E41" s="41" t="s">
        <v>8</v>
      </c>
      <c r="F41" s="43" t="s">
        <v>28</v>
      </c>
      <c r="G41" s="37" t="s">
        <v>29</v>
      </c>
      <c r="H41" s="37" t="s">
        <v>8</v>
      </c>
      <c r="I41" s="37" t="s">
        <v>9</v>
      </c>
      <c r="J41" s="36">
        <v>1400</v>
      </c>
      <c r="K41" s="27">
        <f>3</f>
        <v>3</v>
      </c>
      <c r="L41" s="127">
        <f t="shared" si="0"/>
        <v>1</v>
      </c>
      <c r="M41" s="127">
        <f t="shared" si="1"/>
        <v>1</v>
      </c>
      <c r="N41" s="128">
        <v>-2</v>
      </c>
      <c r="O41" s="129">
        <f t="shared" si="2"/>
        <v>0</v>
      </c>
      <c r="P41" s="128"/>
      <c r="Q41" s="128"/>
      <c r="R41" s="128"/>
      <c r="S41" s="26">
        <f t="shared" si="3"/>
        <v>0</v>
      </c>
      <c r="T41" s="25" t="str">
        <f t="shared" si="4"/>
        <v>OK</v>
      </c>
      <c r="U41" s="140">
        <v>1</v>
      </c>
      <c r="V41" s="22"/>
      <c r="W41" s="22"/>
      <c r="X41" s="22"/>
      <c r="Y41" s="24"/>
      <c r="Z41" s="24"/>
      <c r="AA41" s="24"/>
      <c r="AB41" s="22"/>
      <c r="AC41" s="22"/>
      <c r="AD41" s="22"/>
      <c r="AE41" s="22"/>
      <c r="AF41" s="22"/>
      <c r="AG41" s="22"/>
      <c r="AH41" s="22"/>
    </row>
    <row r="42" spans="1:34" ht="30.25" customHeight="1" x14ac:dyDescent="0.35">
      <c r="A42" s="199"/>
      <c r="B42" s="37">
        <v>39</v>
      </c>
      <c r="C42" s="196"/>
      <c r="D42" s="34" t="s">
        <v>12</v>
      </c>
      <c r="E42" s="41" t="s">
        <v>8</v>
      </c>
      <c r="F42" s="43" t="s">
        <v>28</v>
      </c>
      <c r="G42" s="37" t="s">
        <v>29</v>
      </c>
      <c r="H42" s="37" t="s">
        <v>34</v>
      </c>
      <c r="I42" s="37" t="s">
        <v>9</v>
      </c>
      <c r="J42" s="36">
        <v>75.5</v>
      </c>
      <c r="K42" s="27">
        <f>10</f>
        <v>10</v>
      </c>
      <c r="L42" s="127">
        <f t="shared" si="0"/>
        <v>0</v>
      </c>
      <c r="M42" s="127">
        <f t="shared" si="1"/>
        <v>0</v>
      </c>
      <c r="N42" s="128">
        <v>-10</v>
      </c>
      <c r="O42" s="129">
        <f t="shared" si="2"/>
        <v>2</v>
      </c>
      <c r="P42" s="128"/>
      <c r="Q42" s="128"/>
      <c r="R42" s="128"/>
      <c r="S42" s="26">
        <f t="shared" si="3"/>
        <v>0</v>
      </c>
      <c r="T42" s="25" t="str">
        <f t="shared" si="4"/>
        <v>OK</v>
      </c>
      <c r="U42" s="138"/>
      <c r="V42" s="22"/>
      <c r="W42" s="22"/>
      <c r="X42" s="22"/>
      <c r="Y42" s="24"/>
      <c r="Z42" s="24"/>
      <c r="AA42" s="24"/>
      <c r="AB42" s="22"/>
      <c r="AC42" s="22"/>
      <c r="AD42" s="22"/>
      <c r="AE42" s="22"/>
      <c r="AF42" s="22"/>
      <c r="AG42" s="22"/>
      <c r="AH42" s="22"/>
    </row>
    <row r="43" spans="1:34" ht="30.25" customHeight="1" x14ac:dyDescent="0.35">
      <c r="A43" s="199"/>
      <c r="B43" s="37">
        <v>40</v>
      </c>
      <c r="C43" s="196"/>
      <c r="D43" s="34" t="s">
        <v>10</v>
      </c>
      <c r="E43" s="41" t="s">
        <v>8</v>
      </c>
      <c r="F43" s="43" t="s">
        <v>28</v>
      </c>
      <c r="G43" s="37" t="s">
        <v>29</v>
      </c>
      <c r="H43" s="37" t="s">
        <v>8</v>
      </c>
      <c r="I43" s="37" t="s">
        <v>9</v>
      </c>
      <c r="J43" s="36">
        <v>1600</v>
      </c>
      <c r="K43" s="27">
        <f>5</f>
        <v>5</v>
      </c>
      <c r="L43" s="127">
        <f t="shared" si="0"/>
        <v>0</v>
      </c>
      <c r="M43" s="127">
        <f t="shared" si="1"/>
        <v>0</v>
      </c>
      <c r="N43" s="128">
        <v>-5</v>
      </c>
      <c r="O43" s="129">
        <f t="shared" si="2"/>
        <v>1</v>
      </c>
      <c r="P43" s="128"/>
      <c r="Q43" s="128"/>
      <c r="R43" s="128"/>
      <c r="S43" s="26">
        <f t="shared" si="3"/>
        <v>0</v>
      </c>
      <c r="T43" s="25" t="str">
        <f t="shared" si="4"/>
        <v>OK</v>
      </c>
      <c r="U43" s="138"/>
      <c r="V43" s="22"/>
      <c r="W43" s="22"/>
      <c r="X43" s="22"/>
      <c r="Y43" s="24"/>
      <c r="Z43" s="24"/>
      <c r="AA43" s="24"/>
      <c r="AB43" s="22"/>
      <c r="AC43" s="22"/>
      <c r="AD43" s="22"/>
      <c r="AE43" s="22"/>
      <c r="AF43" s="22"/>
      <c r="AG43" s="22"/>
      <c r="AH43" s="22"/>
    </row>
    <row r="44" spans="1:34" ht="30.25" customHeight="1" x14ac:dyDescent="0.35">
      <c r="A44" s="199"/>
      <c r="B44" s="37">
        <v>41</v>
      </c>
      <c r="C44" s="196"/>
      <c r="D44" s="34" t="s">
        <v>13</v>
      </c>
      <c r="E44" s="41" t="s">
        <v>8</v>
      </c>
      <c r="F44" s="43" t="s">
        <v>28</v>
      </c>
      <c r="G44" s="37" t="s">
        <v>29</v>
      </c>
      <c r="H44" s="37" t="s">
        <v>34</v>
      </c>
      <c r="I44" s="37" t="s">
        <v>9</v>
      </c>
      <c r="J44" s="36">
        <v>75</v>
      </c>
      <c r="K44" s="27">
        <f>10</f>
        <v>10</v>
      </c>
      <c r="L44" s="127">
        <f t="shared" si="0"/>
        <v>0</v>
      </c>
      <c r="M44" s="127">
        <f t="shared" si="1"/>
        <v>0</v>
      </c>
      <c r="N44" s="128">
        <v>-10</v>
      </c>
      <c r="O44" s="129">
        <f t="shared" si="2"/>
        <v>2</v>
      </c>
      <c r="P44" s="128"/>
      <c r="Q44" s="128"/>
      <c r="R44" s="128"/>
      <c r="S44" s="26">
        <f t="shared" si="3"/>
        <v>0</v>
      </c>
      <c r="T44" s="25" t="str">
        <f t="shared" si="4"/>
        <v>OK</v>
      </c>
      <c r="U44" s="138"/>
      <c r="V44" s="22"/>
      <c r="W44" s="22"/>
      <c r="X44" s="22"/>
      <c r="Y44" s="24"/>
      <c r="Z44" s="24"/>
      <c r="AA44" s="24"/>
      <c r="AB44" s="22"/>
      <c r="AC44" s="22"/>
      <c r="AD44" s="22"/>
      <c r="AE44" s="22"/>
      <c r="AF44" s="22"/>
      <c r="AG44" s="22"/>
      <c r="AH44" s="22"/>
    </row>
    <row r="45" spans="1:34" ht="30.25" customHeight="1" x14ac:dyDescent="0.35">
      <c r="A45" s="199"/>
      <c r="B45" s="37">
        <v>42</v>
      </c>
      <c r="C45" s="196"/>
      <c r="D45" s="34" t="s">
        <v>157</v>
      </c>
      <c r="E45" s="41" t="s">
        <v>8</v>
      </c>
      <c r="F45" s="43" t="s">
        <v>28</v>
      </c>
      <c r="G45" s="37" t="s">
        <v>29</v>
      </c>
      <c r="H45" s="37" t="s">
        <v>8</v>
      </c>
      <c r="I45" s="37" t="s">
        <v>9</v>
      </c>
      <c r="J45" s="36">
        <v>350</v>
      </c>
      <c r="K45" s="27">
        <f>6</f>
        <v>6</v>
      </c>
      <c r="L45" s="127">
        <f t="shared" si="0"/>
        <v>1</v>
      </c>
      <c r="M45" s="127">
        <f t="shared" si="1"/>
        <v>1</v>
      </c>
      <c r="N45" s="128">
        <v>-5</v>
      </c>
      <c r="O45" s="129">
        <f t="shared" si="2"/>
        <v>1</v>
      </c>
      <c r="P45" s="128"/>
      <c r="Q45" s="128"/>
      <c r="R45" s="128"/>
      <c r="S45" s="26">
        <f t="shared" si="3"/>
        <v>0</v>
      </c>
      <c r="T45" s="25" t="str">
        <f t="shared" si="4"/>
        <v>OK</v>
      </c>
      <c r="U45" s="140">
        <v>1</v>
      </c>
      <c r="V45" s="22"/>
      <c r="W45" s="22"/>
      <c r="X45" s="22"/>
      <c r="Y45" s="24"/>
      <c r="Z45" s="24"/>
      <c r="AA45" s="24"/>
      <c r="AB45" s="22"/>
      <c r="AC45" s="22"/>
      <c r="AD45" s="22"/>
      <c r="AE45" s="22"/>
      <c r="AF45" s="22"/>
      <c r="AG45" s="22"/>
      <c r="AH45" s="22"/>
    </row>
    <row r="46" spans="1:34" ht="30.25" customHeight="1" x14ac:dyDescent="0.35">
      <c r="A46" s="199"/>
      <c r="B46" s="37">
        <v>43</v>
      </c>
      <c r="C46" s="196"/>
      <c r="D46" s="34" t="s">
        <v>30</v>
      </c>
      <c r="E46" s="41" t="s">
        <v>8</v>
      </c>
      <c r="F46" s="43" t="s">
        <v>28</v>
      </c>
      <c r="G46" s="37" t="s">
        <v>29</v>
      </c>
      <c r="H46" s="37" t="s">
        <v>8</v>
      </c>
      <c r="I46" s="37" t="s">
        <v>9</v>
      </c>
      <c r="J46" s="36">
        <v>100.25</v>
      </c>
      <c r="K46" s="27">
        <f>5</f>
        <v>5</v>
      </c>
      <c r="L46" s="127">
        <f t="shared" si="0"/>
        <v>0</v>
      </c>
      <c r="M46" s="127">
        <f t="shared" si="1"/>
        <v>0</v>
      </c>
      <c r="N46" s="128">
        <v>-5</v>
      </c>
      <c r="O46" s="129">
        <f t="shared" si="2"/>
        <v>1</v>
      </c>
      <c r="P46" s="128"/>
      <c r="Q46" s="128"/>
      <c r="R46" s="128"/>
      <c r="S46" s="26">
        <f t="shared" si="3"/>
        <v>0</v>
      </c>
      <c r="T46" s="25" t="str">
        <f t="shared" si="4"/>
        <v>OK</v>
      </c>
      <c r="U46" s="138"/>
      <c r="V46" s="22"/>
      <c r="W46" s="22"/>
      <c r="X46" s="22"/>
      <c r="Y46" s="24"/>
      <c r="Z46" s="24"/>
      <c r="AA46" s="24"/>
      <c r="AB46" s="22"/>
      <c r="AC46" s="22"/>
      <c r="AD46" s="22"/>
      <c r="AE46" s="22"/>
      <c r="AF46" s="22"/>
      <c r="AG46" s="22"/>
      <c r="AH46" s="22"/>
    </row>
    <row r="47" spans="1:34" ht="30.25" customHeight="1" x14ac:dyDescent="0.35">
      <c r="A47" s="199"/>
      <c r="B47" s="37">
        <v>44</v>
      </c>
      <c r="C47" s="196"/>
      <c r="D47" s="34" t="s">
        <v>158</v>
      </c>
      <c r="E47" s="41" t="s">
        <v>8</v>
      </c>
      <c r="F47" s="42" t="s">
        <v>28</v>
      </c>
      <c r="G47" s="37" t="s">
        <v>159</v>
      </c>
      <c r="H47" s="37" t="s">
        <v>8</v>
      </c>
      <c r="I47" s="37" t="s">
        <v>9</v>
      </c>
      <c r="J47" s="36">
        <v>1424</v>
      </c>
      <c r="K47" s="27">
        <f>0</f>
        <v>0</v>
      </c>
      <c r="L47" s="127">
        <f t="shared" si="0"/>
        <v>0</v>
      </c>
      <c r="M47" s="127">
        <f t="shared" si="1"/>
        <v>0</v>
      </c>
      <c r="N47" s="128"/>
      <c r="O47" s="129">
        <f t="shared" si="2"/>
        <v>0</v>
      </c>
      <c r="P47" s="128"/>
      <c r="Q47" s="128"/>
      <c r="R47" s="128"/>
      <c r="S47" s="26">
        <f t="shared" si="3"/>
        <v>0</v>
      </c>
      <c r="T47" s="25" t="str">
        <f t="shared" si="4"/>
        <v>OK</v>
      </c>
      <c r="U47" s="138"/>
      <c r="V47" s="22"/>
      <c r="W47" s="22"/>
      <c r="X47" s="22"/>
      <c r="Y47" s="24"/>
      <c r="Z47" s="24"/>
      <c r="AA47" s="24"/>
      <c r="AB47" s="22"/>
      <c r="AC47" s="22"/>
      <c r="AD47" s="22"/>
      <c r="AE47" s="22"/>
      <c r="AF47" s="22"/>
      <c r="AG47" s="22"/>
      <c r="AH47" s="22"/>
    </row>
    <row r="48" spans="1:34" ht="30.25" customHeight="1" x14ac:dyDescent="0.35">
      <c r="A48" s="200"/>
      <c r="B48" s="37">
        <v>45</v>
      </c>
      <c r="C48" s="197"/>
      <c r="D48" s="34" t="s">
        <v>160</v>
      </c>
      <c r="E48" s="41" t="s">
        <v>8</v>
      </c>
      <c r="F48" s="43" t="s">
        <v>28</v>
      </c>
      <c r="G48" s="37" t="s">
        <v>29</v>
      </c>
      <c r="H48" s="37" t="s">
        <v>8</v>
      </c>
      <c r="I48" s="37" t="s">
        <v>9</v>
      </c>
      <c r="J48" s="36">
        <v>2503.0100000000002</v>
      </c>
      <c r="K48" s="27">
        <f>0</f>
        <v>0</v>
      </c>
      <c r="L48" s="127">
        <f t="shared" si="0"/>
        <v>0</v>
      </c>
      <c r="M48" s="127">
        <f t="shared" si="1"/>
        <v>0</v>
      </c>
      <c r="N48" s="128"/>
      <c r="O48" s="129">
        <f t="shared" si="2"/>
        <v>0</v>
      </c>
      <c r="P48" s="128"/>
      <c r="Q48" s="128"/>
      <c r="R48" s="128"/>
      <c r="S48" s="26">
        <f t="shared" si="3"/>
        <v>0</v>
      </c>
      <c r="T48" s="25" t="str">
        <f t="shared" si="4"/>
        <v>OK</v>
      </c>
      <c r="U48" s="138"/>
      <c r="V48" s="22"/>
      <c r="W48" s="22"/>
      <c r="X48" s="22"/>
      <c r="Y48" s="24"/>
      <c r="Z48" s="24"/>
      <c r="AA48" s="24"/>
      <c r="AB48" s="22"/>
      <c r="AC48" s="22"/>
      <c r="AD48" s="22"/>
      <c r="AE48" s="22"/>
      <c r="AF48" s="22"/>
      <c r="AG48" s="22"/>
      <c r="AH48" s="22"/>
    </row>
    <row r="49" spans="1:34" ht="30.25" customHeight="1" x14ac:dyDescent="0.35">
      <c r="A49" s="208" t="s">
        <v>161</v>
      </c>
      <c r="B49" s="44">
        <v>46</v>
      </c>
      <c r="C49" s="205" t="s">
        <v>33</v>
      </c>
      <c r="D49" s="46" t="s">
        <v>27</v>
      </c>
      <c r="E49" s="48" t="s">
        <v>8</v>
      </c>
      <c r="F49" s="50" t="s">
        <v>28</v>
      </c>
      <c r="G49" s="44" t="s">
        <v>29</v>
      </c>
      <c r="H49" s="44" t="s">
        <v>8</v>
      </c>
      <c r="I49" s="44" t="s">
        <v>9</v>
      </c>
      <c r="J49" s="47">
        <v>80</v>
      </c>
      <c r="K49" s="27">
        <f>0</f>
        <v>0</v>
      </c>
      <c r="L49" s="127">
        <f t="shared" si="0"/>
        <v>0</v>
      </c>
      <c r="M49" s="127">
        <f t="shared" si="1"/>
        <v>0</v>
      </c>
      <c r="N49" s="128"/>
      <c r="O49" s="129">
        <f t="shared" si="2"/>
        <v>0</v>
      </c>
      <c r="P49" s="128"/>
      <c r="Q49" s="128"/>
      <c r="R49" s="128"/>
      <c r="S49" s="26">
        <f t="shared" si="3"/>
        <v>0</v>
      </c>
      <c r="T49" s="25" t="str">
        <f t="shared" si="4"/>
        <v>OK</v>
      </c>
      <c r="U49" s="138"/>
      <c r="V49" s="22"/>
      <c r="W49" s="22"/>
      <c r="X49" s="22"/>
      <c r="Y49" s="24"/>
      <c r="Z49" s="24"/>
      <c r="AA49" s="24"/>
      <c r="AB49" s="22"/>
      <c r="AC49" s="22"/>
      <c r="AD49" s="22"/>
      <c r="AE49" s="22"/>
      <c r="AF49" s="22"/>
      <c r="AG49" s="22"/>
      <c r="AH49" s="22"/>
    </row>
    <row r="50" spans="1:34" ht="30.25" customHeight="1" x14ac:dyDescent="0.35">
      <c r="A50" s="209"/>
      <c r="B50" s="44">
        <v>47</v>
      </c>
      <c r="C50" s="206"/>
      <c r="D50" s="46" t="s">
        <v>7</v>
      </c>
      <c r="E50" s="48" t="s">
        <v>8</v>
      </c>
      <c r="F50" s="50" t="s">
        <v>28</v>
      </c>
      <c r="G50" s="44" t="s">
        <v>29</v>
      </c>
      <c r="H50" s="44" t="s">
        <v>8</v>
      </c>
      <c r="I50" s="44" t="s">
        <v>9</v>
      </c>
      <c r="J50" s="47">
        <v>550</v>
      </c>
      <c r="K50" s="27">
        <f>0</f>
        <v>0</v>
      </c>
      <c r="L50" s="127">
        <f t="shared" si="0"/>
        <v>0</v>
      </c>
      <c r="M50" s="127">
        <f t="shared" si="1"/>
        <v>0</v>
      </c>
      <c r="N50" s="128"/>
      <c r="O50" s="129">
        <f t="shared" si="2"/>
        <v>0</v>
      </c>
      <c r="P50" s="128"/>
      <c r="Q50" s="128"/>
      <c r="R50" s="128"/>
      <c r="S50" s="26">
        <f t="shared" si="3"/>
        <v>0</v>
      </c>
      <c r="T50" s="25" t="str">
        <f t="shared" si="4"/>
        <v>OK</v>
      </c>
      <c r="U50" s="138"/>
      <c r="V50" s="22"/>
      <c r="W50" s="22"/>
      <c r="X50" s="22"/>
      <c r="Y50" s="24"/>
      <c r="Z50" s="24"/>
      <c r="AA50" s="24"/>
      <c r="AB50" s="22"/>
      <c r="AC50" s="22"/>
      <c r="AD50" s="22"/>
      <c r="AE50" s="22"/>
      <c r="AF50" s="22"/>
      <c r="AG50" s="22"/>
      <c r="AH50" s="22"/>
    </row>
    <row r="51" spans="1:34" ht="30.25" customHeight="1" x14ac:dyDescent="0.35">
      <c r="A51" s="209"/>
      <c r="B51" s="44">
        <v>48</v>
      </c>
      <c r="C51" s="206"/>
      <c r="D51" s="46" t="s">
        <v>10</v>
      </c>
      <c r="E51" s="48" t="s">
        <v>8</v>
      </c>
      <c r="F51" s="50" t="s">
        <v>28</v>
      </c>
      <c r="G51" s="44" t="s">
        <v>29</v>
      </c>
      <c r="H51" s="44" t="s">
        <v>8</v>
      </c>
      <c r="I51" s="44" t="s">
        <v>9</v>
      </c>
      <c r="J51" s="47">
        <v>850</v>
      </c>
      <c r="K51" s="27">
        <f>0</f>
        <v>0</v>
      </c>
      <c r="L51" s="127">
        <f t="shared" si="0"/>
        <v>0</v>
      </c>
      <c r="M51" s="127">
        <f t="shared" si="1"/>
        <v>0</v>
      </c>
      <c r="N51" s="128"/>
      <c r="O51" s="129">
        <f t="shared" si="2"/>
        <v>0</v>
      </c>
      <c r="P51" s="128"/>
      <c r="Q51" s="128"/>
      <c r="R51" s="128"/>
      <c r="S51" s="26">
        <f t="shared" si="3"/>
        <v>0</v>
      </c>
      <c r="T51" s="25" t="str">
        <f t="shared" si="4"/>
        <v>OK</v>
      </c>
      <c r="U51" s="138"/>
      <c r="V51" s="22"/>
      <c r="W51" s="22"/>
      <c r="X51" s="22"/>
      <c r="Y51" s="24"/>
      <c r="Z51" s="24"/>
      <c r="AA51" s="24"/>
      <c r="AB51" s="22"/>
      <c r="AC51" s="22"/>
      <c r="AD51" s="22"/>
      <c r="AE51" s="22"/>
      <c r="AF51" s="22"/>
      <c r="AG51" s="22"/>
      <c r="AH51" s="22"/>
    </row>
    <row r="52" spans="1:34" ht="30.25" customHeight="1" x14ac:dyDescent="0.35">
      <c r="A52" s="209"/>
      <c r="B52" s="44">
        <v>49</v>
      </c>
      <c r="C52" s="206"/>
      <c r="D52" s="46" t="s">
        <v>11</v>
      </c>
      <c r="E52" s="48" t="s">
        <v>8</v>
      </c>
      <c r="F52" s="50" t="s">
        <v>28</v>
      </c>
      <c r="G52" s="44" t="s">
        <v>29</v>
      </c>
      <c r="H52" s="44" t="s">
        <v>8</v>
      </c>
      <c r="I52" s="44" t="s">
        <v>9</v>
      </c>
      <c r="J52" s="47">
        <v>800</v>
      </c>
      <c r="K52" s="27">
        <f>0</f>
        <v>0</v>
      </c>
      <c r="L52" s="127">
        <f t="shared" si="0"/>
        <v>0</v>
      </c>
      <c r="M52" s="127">
        <f t="shared" si="1"/>
        <v>0</v>
      </c>
      <c r="N52" s="128"/>
      <c r="O52" s="129">
        <f t="shared" si="2"/>
        <v>0</v>
      </c>
      <c r="P52" s="128"/>
      <c r="Q52" s="128"/>
      <c r="R52" s="128"/>
      <c r="S52" s="26">
        <f t="shared" si="3"/>
        <v>0</v>
      </c>
      <c r="T52" s="25" t="str">
        <f t="shared" si="4"/>
        <v>OK</v>
      </c>
      <c r="U52" s="138"/>
      <c r="V52" s="22"/>
      <c r="W52" s="22"/>
      <c r="X52" s="22"/>
      <c r="Y52" s="24"/>
      <c r="Z52" s="24"/>
      <c r="AA52" s="24"/>
      <c r="AB52" s="22"/>
      <c r="AC52" s="22"/>
      <c r="AD52" s="22"/>
      <c r="AE52" s="22"/>
      <c r="AF52" s="22"/>
      <c r="AG52" s="22"/>
      <c r="AH52" s="22"/>
    </row>
    <row r="53" spans="1:34" ht="30.25" customHeight="1" x14ac:dyDescent="0.35">
      <c r="A53" s="209"/>
      <c r="B53" s="44">
        <v>50</v>
      </c>
      <c r="C53" s="206"/>
      <c r="D53" s="46" t="s">
        <v>12</v>
      </c>
      <c r="E53" s="48" t="s">
        <v>8</v>
      </c>
      <c r="F53" s="50" t="s">
        <v>28</v>
      </c>
      <c r="G53" s="44" t="s">
        <v>29</v>
      </c>
      <c r="H53" s="44" t="s">
        <v>34</v>
      </c>
      <c r="I53" s="44" t="s">
        <v>9</v>
      </c>
      <c r="J53" s="47">
        <v>50</v>
      </c>
      <c r="K53" s="27">
        <f>0</f>
        <v>0</v>
      </c>
      <c r="L53" s="127">
        <f t="shared" si="0"/>
        <v>0</v>
      </c>
      <c r="M53" s="127">
        <f t="shared" si="1"/>
        <v>0</v>
      </c>
      <c r="N53" s="128"/>
      <c r="O53" s="129">
        <f t="shared" si="2"/>
        <v>0</v>
      </c>
      <c r="P53" s="128"/>
      <c r="Q53" s="128"/>
      <c r="R53" s="128"/>
      <c r="S53" s="26">
        <f t="shared" si="3"/>
        <v>0</v>
      </c>
      <c r="T53" s="25" t="str">
        <f t="shared" si="4"/>
        <v>OK</v>
      </c>
      <c r="U53" s="138"/>
      <c r="V53" s="22"/>
      <c r="W53" s="22"/>
      <c r="X53" s="22"/>
      <c r="Y53" s="24"/>
      <c r="Z53" s="24"/>
      <c r="AA53" s="24"/>
      <c r="AB53" s="22"/>
      <c r="AC53" s="22"/>
      <c r="AD53" s="22"/>
      <c r="AE53" s="22"/>
      <c r="AF53" s="22"/>
      <c r="AG53" s="22"/>
      <c r="AH53" s="22"/>
    </row>
    <row r="54" spans="1:34" ht="30.25" customHeight="1" x14ac:dyDescent="0.35">
      <c r="A54" s="209"/>
      <c r="B54" s="44">
        <v>51</v>
      </c>
      <c r="C54" s="206"/>
      <c r="D54" s="46" t="s">
        <v>156</v>
      </c>
      <c r="E54" s="48" t="s">
        <v>8</v>
      </c>
      <c r="F54" s="50" t="s">
        <v>28</v>
      </c>
      <c r="G54" s="44" t="s">
        <v>29</v>
      </c>
      <c r="H54" s="44" t="s">
        <v>34</v>
      </c>
      <c r="I54" s="44" t="s">
        <v>9</v>
      </c>
      <c r="J54" s="47">
        <v>50</v>
      </c>
      <c r="K54" s="27">
        <f>0</f>
        <v>0</v>
      </c>
      <c r="L54" s="127">
        <f t="shared" si="0"/>
        <v>0</v>
      </c>
      <c r="M54" s="127">
        <f t="shared" si="1"/>
        <v>0</v>
      </c>
      <c r="N54" s="128"/>
      <c r="O54" s="129">
        <f t="shared" si="2"/>
        <v>0</v>
      </c>
      <c r="P54" s="128"/>
      <c r="Q54" s="128"/>
      <c r="R54" s="128"/>
      <c r="S54" s="26">
        <f t="shared" si="3"/>
        <v>0</v>
      </c>
      <c r="T54" s="25" t="str">
        <f t="shared" si="4"/>
        <v>OK</v>
      </c>
      <c r="U54" s="138"/>
      <c r="V54" s="22"/>
      <c r="W54" s="22"/>
      <c r="X54" s="22"/>
      <c r="Y54" s="24"/>
      <c r="Z54" s="24"/>
      <c r="AA54" s="24"/>
      <c r="AB54" s="22"/>
      <c r="AC54" s="22"/>
      <c r="AD54" s="22"/>
      <c r="AE54" s="22"/>
      <c r="AF54" s="22"/>
      <c r="AG54" s="22"/>
      <c r="AH54" s="22"/>
    </row>
    <row r="55" spans="1:34" ht="30.25" customHeight="1" x14ac:dyDescent="0.35">
      <c r="A55" s="209"/>
      <c r="B55" s="44">
        <v>52</v>
      </c>
      <c r="C55" s="206"/>
      <c r="D55" s="46" t="s">
        <v>13</v>
      </c>
      <c r="E55" s="48" t="s">
        <v>8</v>
      </c>
      <c r="F55" s="50" t="s">
        <v>28</v>
      </c>
      <c r="G55" s="44" t="s">
        <v>29</v>
      </c>
      <c r="H55" s="44" t="s">
        <v>34</v>
      </c>
      <c r="I55" s="44" t="s">
        <v>9</v>
      </c>
      <c r="J55" s="47">
        <v>50</v>
      </c>
      <c r="K55" s="27">
        <f>0</f>
        <v>0</v>
      </c>
      <c r="L55" s="127">
        <f t="shared" si="0"/>
        <v>0</v>
      </c>
      <c r="M55" s="127">
        <f t="shared" si="1"/>
        <v>0</v>
      </c>
      <c r="N55" s="128"/>
      <c r="O55" s="129">
        <f t="shared" si="2"/>
        <v>0</v>
      </c>
      <c r="P55" s="128"/>
      <c r="Q55" s="128"/>
      <c r="R55" s="128"/>
      <c r="S55" s="26">
        <f t="shared" si="3"/>
        <v>0</v>
      </c>
      <c r="T55" s="25" t="str">
        <f t="shared" si="4"/>
        <v>OK</v>
      </c>
      <c r="U55" s="138"/>
      <c r="V55" s="22"/>
      <c r="W55" s="22"/>
      <c r="X55" s="22"/>
      <c r="Y55" s="24"/>
      <c r="Z55" s="24"/>
      <c r="AA55" s="24"/>
      <c r="AB55" s="22"/>
      <c r="AC55" s="22"/>
      <c r="AD55" s="22"/>
      <c r="AE55" s="22"/>
      <c r="AF55" s="22"/>
      <c r="AG55" s="22"/>
      <c r="AH55" s="22"/>
    </row>
    <row r="56" spans="1:34" ht="30.25" customHeight="1" x14ac:dyDescent="0.35">
      <c r="A56" s="209"/>
      <c r="B56" s="44">
        <v>53</v>
      </c>
      <c r="C56" s="206"/>
      <c r="D56" s="46" t="s">
        <v>157</v>
      </c>
      <c r="E56" s="48" t="s">
        <v>8</v>
      </c>
      <c r="F56" s="50" t="s">
        <v>28</v>
      </c>
      <c r="G56" s="44" t="s">
        <v>29</v>
      </c>
      <c r="H56" s="44" t="s">
        <v>8</v>
      </c>
      <c r="I56" s="44" t="s">
        <v>9</v>
      </c>
      <c r="J56" s="47">
        <v>50</v>
      </c>
      <c r="K56" s="27">
        <f>0</f>
        <v>0</v>
      </c>
      <c r="L56" s="127">
        <f t="shared" si="0"/>
        <v>0</v>
      </c>
      <c r="M56" s="127">
        <f t="shared" si="1"/>
        <v>0</v>
      </c>
      <c r="N56" s="128"/>
      <c r="O56" s="129">
        <f t="shared" si="2"/>
        <v>0</v>
      </c>
      <c r="P56" s="128"/>
      <c r="Q56" s="128"/>
      <c r="R56" s="128"/>
      <c r="S56" s="26">
        <f t="shared" si="3"/>
        <v>0</v>
      </c>
      <c r="T56" s="25" t="str">
        <f t="shared" si="4"/>
        <v>OK</v>
      </c>
      <c r="U56" s="138"/>
      <c r="V56" s="22"/>
      <c r="W56" s="22"/>
      <c r="X56" s="22"/>
      <c r="Y56" s="24"/>
      <c r="Z56" s="24"/>
      <c r="AA56" s="24"/>
      <c r="AB56" s="22"/>
      <c r="AC56" s="22"/>
      <c r="AD56" s="22"/>
      <c r="AE56" s="22"/>
      <c r="AF56" s="22"/>
      <c r="AG56" s="22"/>
      <c r="AH56" s="22"/>
    </row>
    <row r="57" spans="1:34" ht="30.25" customHeight="1" x14ac:dyDescent="0.35">
      <c r="A57" s="209"/>
      <c r="B57" s="44">
        <v>54</v>
      </c>
      <c r="C57" s="206"/>
      <c r="D57" s="46" t="s">
        <v>30</v>
      </c>
      <c r="E57" s="48" t="s">
        <v>8</v>
      </c>
      <c r="F57" s="50" t="s">
        <v>28</v>
      </c>
      <c r="G57" s="44" t="s">
        <v>29</v>
      </c>
      <c r="H57" s="44" t="s">
        <v>8</v>
      </c>
      <c r="I57" s="44" t="s">
        <v>9</v>
      </c>
      <c r="J57" s="47">
        <v>80</v>
      </c>
      <c r="K57" s="27">
        <f>0</f>
        <v>0</v>
      </c>
      <c r="L57" s="127">
        <f t="shared" si="0"/>
        <v>0</v>
      </c>
      <c r="M57" s="127">
        <f t="shared" si="1"/>
        <v>0</v>
      </c>
      <c r="N57" s="128"/>
      <c r="O57" s="129">
        <f t="shared" si="2"/>
        <v>0</v>
      </c>
      <c r="P57" s="128"/>
      <c r="Q57" s="128"/>
      <c r="R57" s="128"/>
      <c r="S57" s="26">
        <f t="shared" si="3"/>
        <v>0</v>
      </c>
      <c r="T57" s="25" t="str">
        <f t="shared" si="4"/>
        <v>OK</v>
      </c>
      <c r="U57" s="138"/>
      <c r="V57" s="22"/>
      <c r="W57" s="22"/>
      <c r="X57" s="22"/>
      <c r="Y57" s="24"/>
      <c r="Z57" s="24"/>
      <c r="AA57" s="24"/>
      <c r="AB57" s="22"/>
      <c r="AC57" s="22"/>
      <c r="AD57" s="22"/>
      <c r="AE57" s="22"/>
      <c r="AF57" s="22"/>
      <c r="AG57" s="22"/>
      <c r="AH57" s="22"/>
    </row>
    <row r="58" spans="1:34" ht="30.25" customHeight="1" x14ac:dyDescent="0.35">
      <c r="A58" s="209"/>
      <c r="B58" s="44">
        <v>55</v>
      </c>
      <c r="C58" s="206"/>
      <c r="D58" s="46" t="s">
        <v>162</v>
      </c>
      <c r="E58" s="48" t="s">
        <v>8</v>
      </c>
      <c r="F58" s="50" t="s">
        <v>28</v>
      </c>
      <c r="G58" s="44" t="s">
        <v>159</v>
      </c>
      <c r="H58" s="44" t="s">
        <v>8</v>
      </c>
      <c r="I58" s="44" t="s">
        <v>9</v>
      </c>
      <c r="J58" s="47">
        <v>1114</v>
      </c>
      <c r="K58" s="27">
        <f>0</f>
        <v>0</v>
      </c>
      <c r="L58" s="127">
        <f t="shared" si="0"/>
        <v>0</v>
      </c>
      <c r="M58" s="127">
        <f t="shared" si="1"/>
        <v>0</v>
      </c>
      <c r="N58" s="128"/>
      <c r="O58" s="129">
        <f t="shared" si="2"/>
        <v>0</v>
      </c>
      <c r="P58" s="128"/>
      <c r="Q58" s="128"/>
      <c r="R58" s="128"/>
      <c r="S58" s="26">
        <f t="shared" si="3"/>
        <v>0</v>
      </c>
      <c r="T58" s="25" t="str">
        <f t="shared" si="4"/>
        <v>OK</v>
      </c>
      <c r="U58" s="138"/>
      <c r="V58" s="22"/>
      <c r="W58" s="22"/>
      <c r="X58" s="22"/>
      <c r="Y58" s="24"/>
      <c r="Z58" s="24"/>
      <c r="AA58" s="24"/>
      <c r="AB58" s="22"/>
      <c r="AC58" s="22"/>
      <c r="AD58" s="22"/>
      <c r="AE58" s="22"/>
      <c r="AF58" s="22"/>
      <c r="AG58" s="22"/>
      <c r="AH58" s="22"/>
    </row>
    <row r="59" spans="1:34" ht="30.25" customHeight="1" x14ac:dyDescent="0.35">
      <c r="A59" s="210"/>
      <c r="B59" s="44">
        <v>56</v>
      </c>
      <c r="C59" s="207"/>
      <c r="D59" s="46" t="s">
        <v>160</v>
      </c>
      <c r="E59" s="48" t="s">
        <v>8</v>
      </c>
      <c r="F59" s="50" t="s">
        <v>28</v>
      </c>
      <c r="G59" s="44" t="s">
        <v>29</v>
      </c>
      <c r="H59" s="44" t="s">
        <v>8</v>
      </c>
      <c r="I59" s="44" t="s">
        <v>9</v>
      </c>
      <c r="J59" s="47">
        <v>2000</v>
      </c>
      <c r="K59" s="27">
        <f>0</f>
        <v>0</v>
      </c>
      <c r="L59" s="127">
        <f t="shared" si="0"/>
        <v>0</v>
      </c>
      <c r="M59" s="127">
        <f t="shared" si="1"/>
        <v>0</v>
      </c>
      <c r="N59" s="128"/>
      <c r="O59" s="129">
        <f t="shared" si="2"/>
        <v>0</v>
      </c>
      <c r="P59" s="128"/>
      <c r="Q59" s="128"/>
      <c r="R59" s="128"/>
      <c r="S59" s="26">
        <f t="shared" si="3"/>
        <v>0</v>
      </c>
      <c r="T59" s="25" t="str">
        <f t="shared" si="4"/>
        <v>OK</v>
      </c>
      <c r="U59" s="138"/>
      <c r="V59" s="22"/>
      <c r="W59" s="22"/>
      <c r="X59" s="22"/>
      <c r="Y59" s="24"/>
      <c r="Z59" s="24"/>
      <c r="AA59" s="24"/>
      <c r="AB59" s="22"/>
      <c r="AC59" s="22"/>
      <c r="AD59" s="22"/>
      <c r="AE59" s="22"/>
      <c r="AF59" s="22"/>
      <c r="AG59" s="22"/>
      <c r="AH59" s="22"/>
    </row>
    <row r="60" spans="1:34" ht="30.25" customHeight="1" x14ac:dyDescent="0.35">
      <c r="A60" s="198" t="s">
        <v>163</v>
      </c>
      <c r="B60" s="37">
        <v>57</v>
      </c>
      <c r="C60" s="195" t="s">
        <v>33</v>
      </c>
      <c r="D60" s="34" t="s">
        <v>27</v>
      </c>
      <c r="E60" s="41" t="s">
        <v>8</v>
      </c>
      <c r="F60" s="43" t="s">
        <v>28</v>
      </c>
      <c r="G60" s="37" t="s">
        <v>29</v>
      </c>
      <c r="H60" s="37" t="s">
        <v>8</v>
      </c>
      <c r="I60" s="37" t="s">
        <v>9</v>
      </c>
      <c r="J60" s="36">
        <v>250.5</v>
      </c>
      <c r="K60" s="27">
        <f>0</f>
        <v>0</v>
      </c>
      <c r="L60" s="127">
        <f t="shared" si="0"/>
        <v>0</v>
      </c>
      <c r="M60" s="127">
        <f t="shared" si="1"/>
        <v>0</v>
      </c>
      <c r="N60" s="128"/>
      <c r="O60" s="129">
        <f t="shared" si="2"/>
        <v>0</v>
      </c>
      <c r="P60" s="128"/>
      <c r="Q60" s="128"/>
      <c r="R60" s="128"/>
      <c r="S60" s="26">
        <f t="shared" si="3"/>
        <v>0</v>
      </c>
      <c r="T60" s="25" t="str">
        <f t="shared" si="4"/>
        <v>OK</v>
      </c>
      <c r="U60" s="138"/>
      <c r="V60" s="22"/>
      <c r="W60" s="22"/>
      <c r="X60" s="22"/>
      <c r="Y60" s="24"/>
      <c r="Z60" s="24"/>
      <c r="AA60" s="24"/>
      <c r="AB60" s="22"/>
      <c r="AC60" s="22"/>
      <c r="AD60" s="22"/>
      <c r="AE60" s="22"/>
      <c r="AF60" s="22"/>
      <c r="AG60" s="22"/>
      <c r="AH60" s="22"/>
    </row>
    <row r="61" spans="1:34" ht="30.25" customHeight="1" x14ac:dyDescent="0.35">
      <c r="A61" s="199"/>
      <c r="B61" s="37">
        <v>58</v>
      </c>
      <c r="C61" s="196"/>
      <c r="D61" s="34" t="s">
        <v>7</v>
      </c>
      <c r="E61" s="41" t="s">
        <v>8</v>
      </c>
      <c r="F61" s="43" t="s">
        <v>28</v>
      </c>
      <c r="G61" s="37" t="s">
        <v>29</v>
      </c>
      <c r="H61" s="37" t="s">
        <v>8</v>
      </c>
      <c r="I61" s="37" t="s">
        <v>9</v>
      </c>
      <c r="J61" s="36">
        <v>1000</v>
      </c>
      <c r="K61" s="27">
        <f>0</f>
        <v>0</v>
      </c>
      <c r="L61" s="127">
        <f t="shared" si="0"/>
        <v>0</v>
      </c>
      <c r="M61" s="127">
        <f t="shared" si="1"/>
        <v>0</v>
      </c>
      <c r="N61" s="128"/>
      <c r="O61" s="129">
        <f t="shared" si="2"/>
        <v>0</v>
      </c>
      <c r="P61" s="128"/>
      <c r="Q61" s="128"/>
      <c r="R61" s="128"/>
      <c r="S61" s="26">
        <f t="shared" si="3"/>
        <v>0</v>
      </c>
      <c r="T61" s="25" t="str">
        <f t="shared" si="4"/>
        <v>OK</v>
      </c>
      <c r="U61" s="138"/>
      <c r="V61" s="22"/>
      <c r="W61" s="22"/>
      <c r="X61" s="22"/>
      <c r="Y61" s="24"/>
      <c r="Z61" s="24"/>
      <c r="AA61" s="24"/>
      <c r="AB61" s="22"/>
      <c r="AC61" s="22"/>
      <c r="AD61" s="22"/>
      <c r="AE61" s="22"/>
      <c r="AF61" s="22"/>
      <c r="AG61" s="22"/>
      <c r="AH61" s="22"/>
    </row>
    <row r="62" spans="1:34" ht="30.25" customHeight="1" x14ac:dyDescent="0.35">
      <c r="A62" s="199"/>
      <c r="B62" s="37">
        <v>59</v>
      </c>
      <c r="C62" s="196"/>
      <c r="D62" s="34" t="s">
        <v>10</v>
      </c>
      <c r="E62" s="41" t="s">
        <v>8</v>
      </c>
      <c r="F62" s="43" t="s">
        <v>28</v>
      </c>
      <c r="G62" s="37" t="s">
        <v>29</v>
      </c>
      <c r="H62" s="37" t="s">
        <v>8</v>
      </c>
      <c r="I62" s="37" t="s">
        <v>9</v>
      </c>
      <c r="J62" s="36">
        <v>1500</v>
      </c>
      <c r="K62" s="27">
        <f>0</f>
        <v>0</v>
      </c>
      <c r="L62" s="127">
        <f t="shared" si="0"/>
        <v>0</v>
      </c>
      <c r="M62" s="127">
        <f t="shared" si="1"/>
        <v>0</v>
      </c>
      <c r="N62" s="128"/>
      <c r="O62" s="129">
        <f t="shared" si="2"/>
        <v>0</v>
      </c>
      <c r="P62" s="128"/>
      <c r="Q62" s="128"/>
      <c r="R62" s="128"/>
      <c r="S62" s="26">
        <f t="shared" si="3"/>
        <v>0</v>
      </c>
      <c r="T62" s="25" t="str">
        <f t="shared" si="4"/>
        <v>OK</v>
      </c>
      <c r="U62" s="138"/>
      <c r="V62" s="22"/>
      <c r="W62" s="22"/>
      <c r="X62" s="22"/>
      <c r="Y62" s="24"/>
      <c r="Z62" s="24"/>
      <c r="AA62" s="24"/>
      <c r="AB62" s="22"/>
      <c r="AC62" s="22"/>
      <c r="AD62" s="22"/>
      <c r="AE62" s="22"/>
      <c r="AF62" s="22"/>
      <c r="AG62" s="22"/>
      <c r="AH62" s="22"/>
    </row>
    <row r="63" spans="1:34" ht="30.25" customHeight="1" x14ac:dyDescent="0.35">
      <c r="A63" s="199"/>
      <c r="B63" s="37">
        <v>60</v>
      </c>
      <c r="C63" s="196"/>
      <c r="D63" s="34" t="s">
        <v>11</v>
      </c>
      <c r="E63" s="41" t="s">
        <v>8</v>
      </c>
      <c r="F63" s="43" t="s">
        <v>28</v>
      </c>
      <c r="G63" s="37" t="s">
        <v>29</v>
      </c>
      <c r="H63" s="37" t="s">
        <v>8</v>
      </c>
      <c r="I63" s="37" t="s">
        <v>9</v>
      </c>
      <c r="J63" s="36">
        <v>1731</v>
      </c>
      <c r="K63" s="27">
        <f>0</f>
        <v>0</v>
      </c>
      <c r="L63" s="127">
        <f t="shared" si="0"/>
        <v>0</v>
      </c>
      <c r="M63" s="127">
        <f t="shared" si="1"/>
        <v>0</v>
      </c>
      <c r="N63" s="128"/>
      <c r="O63" s="129">
        <f t="shared" si="2"/>
        <v>0</v>
      </c>
      <c r="P63" s="128"/>
      <c r="Q63" s="128"/>
      <c r="R63" s="128"/>
      <c r="S63" s="26">
        <f t="shared" si="3"/>
        <v>0</v>
      </c>
      <c r="T63" s="25" t="str">
        <f t="shared" si="4"/>
        <v>OK</v>
      </c>
      <c r="U63" s="138"/>
      <c r="V63" s="22"/>
      <c r="W63" s="22"/>
      <c r="X63" s="22"/>
      <c r="Y63" s="24"/>
      <c r="Z63" s="24"/>
      <c r="AA63" s="24"/>
      <c r="AB63" s="22"/>
      <c r="AC63" s="22"/>
      <c r="AD63" s="22"/>
      <c r="AE63" s="22"/>
      <c r="AF63" s="22"/>
      <c r="AG63" s="22"/>
      <c r="AH63" s="22"/>
    </row>
    <row r="64" spans="1:34" ht="30.25" customHeight="1" x14ac:dyDescent="0.35">
      <c r="A64" s="199"/>
      <c r="B64" s="37">
        <v>61</v>
      </c>
      <c r="C64" s="196"/>
      <c r="D64" s="34" t="s">
        <v>12</v>
      </c>
      <c r="E64" s="41" t="s">
        <v>8</v>
      </c>
      <c r="F64" s="43" t="s">
        <v>28</v>
      </c>
      <c r="G64" s="37" t="s">
        <v>29</v>
      </c>
      <c r="H64" s="37" t="s">
        <v>34</v>
      </c>
      <c r="I64" s="37" t="s">
        <v>9</v>
      </c>
      <c r="J64" s="36">
        <v>160</v>
      </c>
      <c r="K64" s="27">
        <f>0</f>
        <v>0</v>
      </c>
      <c r="L64" s="127">
        <f t="shared" si="0"/>
        <v>0</v>
      </c>
      <c r="M64" s="127">
        <f t="shared" si="1"/>
        <v>0</v>
      </c>
      <c r="N64" s="128"/>
      <c r="O64" s="129">
        <f t="shared" si="2"/>
        <v>0</v>
      </c>
      <c r="P64" s="128"/>
      <c r="Q64" s="128"/>
      <c r="R64" s="128"/>
      <c r="S64" s="26">
        <f t="shared" si="3"/>
        <v>0</v>
      </c>
      <c r="T64" s="25" t="str">
        <f t="shared" si="4"/>
        <v>OK</v>
      </c>
      <c r="U64" s="138"/>
      <c r="V64" s="22"/>
      <c r="W64" s="22"/>
      <c r="X64" s="22"/>
      <c r="Y64" s="24"/>
      <c r="Z64" s="24"/>
      <c r="AA64" s="24"/>
      <c r="AB64" s="22"/>
      <c r="AC64" s="22"/>
      <c r="AD64" s="22"/>
      <c r="AE64" s="22"/>
      <c r="AF64" s="22"/>
      <c r="AG64" s="22"/>
      <c r="AH64" s="22"/>
    </row>
    <row r="65" spans="1:34" ht="30.25" customHeight="1" x14ac:dyDescent="0.35">
      <c r="A65" s="199"/>
      <c r="B65" s="37">
        <v>62</v>
      </c>
      <c r="C65" s="196"/>
      <c r="D65" s="34" t="s">
        <v>156</v>
      </c>
      <c r="E65" s="41" t="s">
        <v>8</v>
      </c>
      <c r="F65" s="43" t="s">
        <v>28</v>
      </c>
      <c r="G65" s="37" t="s">
        <v>29</v>
      </c>
      <c r="H65" s="37" t="s">
        <v>34</v>
      </c>
      <c r="I65" s="37" t="s">
        <v>9</v>
      </c>
      <c r="J65" s="36">
        <v>135</v>
      </c>
      <c r="K65" s="27">
        <f>0</f>
        <v>0</v>
      </c>
      <c r="L65" s="127">
        <f t="shared" si="0"/>
        <v>0</v>
      </c>
      <c r="M65" s="127">
        <f t="shared" si="1"/>
        <v>0</v>
      </c>
      <c r="N65" s="128"/>
      <c r="O65" s="129">
        <f t="shared" si="2"/>
        <v>0</v>
      </c>
      <c r="P65" s="128"/>
      <c r="Q65" s="128"/>
      <c r="R65" s="128"/>
      <c r="S65" s="26">
        <f t="shared" si="3"/>
        <v>0</v>
      </c>
      <c r="T65" s="25" t="str">
        <f t="shared" si="4"/>
        <v>OK</v>
      </c>
      <c r="U65" s="138"/>
      <c r="V65" s="22"/>
      <c r="W65" s="22"/>
      <c r="X65" s="22"/>
      <c r="Y65" s="24"/>
      <c r="Z65" s="24"/>
      <c r="AA65" s="24"/>
      <c r="AB65" s="22"/>
      <c r="AC65" s="22"/>
      <c r="AD65" s="22"/>
      <c r="AE65" s="22"/>
      <c r="AF65" s="22"/>
      <c r="AG65" s="22"/>
      <c r="AH65" s="22"/>
    </row>
    <row r="66" spans="1:34" ht="30.25" customHeight="1" x14ac:dyDescent="0.35">
      <c r="A66" s="199"/>
      <c r="B66" s="37">
        <v>63</v>
      </c>
      <c r="C66" s="196"/>
      <c r="D66" s="34" t="s">
        <v>13</v>
      </c>
      <c r="E66" s="41" t="s">
        <v>8</v>
      </c>
      <c r="F66" s="43" t="s">
        <v>28</v>
      </c>
      <c r="G66" s="37" t="s">
        <v>29</v>
      </c>
      <c r="H66" s="37" t="s">
        <v>34</v>
      </c>
      <c r="I66" s="37" t="s">
        <v>9</v>
      </c>
      <c r="J66" s="36">
        <v>135</v>
      </c>
      <c r="K66" s="27">
        <f>0</f>
        <v>0</v>
      </c>
      <c r="L66" s="127">
        <f t="shared" si="0"/>
        <v>0</v>
      </c>
      <c r="M66" s="127">
        <f t="shared" si="1"/>
        <v>0</v>
      </c>
      <c r="N66" s="128"/>
      <c r="O66" s="129">
        <f t="shared" si="2"/>
        <v>0</v>
      </c>
      <c r="P66" s="128"/>
      <c r="Q66" s="128"/>
      <c r="R66" s="128"/>
      <c r="S66" s="26">
        <f t="shared" si="3"/>
        <v>0</v>
      </c>
      <c r="T66" s="25" t="str">
        <f t="shared" si="4"/>
        <v>OK</v>
      </c>
      <c r="U66" s="138"/>
      <c r="V66" s="22"/>
      <c r="W66" s="22"/>
      <c r="X66" s="22"/>
      <c r="Y66" s="24"/>
      <c r="Z66" s="24"/>
      <c r="AA66" s="24"/>
      <c r="AB66" s="22"/>
      <c r="AC66" s="22"/>
      <c r="AD66" s="22"/>
      <c r="AE66" s="22"/>
      <c r="AF66" s="22"/>
      <c r="AG66" s="22"/>
      <c r="AH66" s="22"/>
    </row>
    <row r="67" spans="1:34" ht="30.25" customHeight="1" x14ac:dyDescent="0.35">
      <c r="A67" s="199"/>
      <c r="B67" s="37">
        <v>64</v>
      </c>
      <c r="C67" s="196"/>
      <c r="D67" s="34" t="s">
        <v>157</v>
      </c>
      <c r="E67" s="41" t="s">
        <v>8</v>
      </c>
      <c r="F67" s="43" t="s">
        <v>28</v>
      </c>
      <c r="G67" s="37" t="s">
        <v>29</v>
      </c>
      <c r="H67" s="37" t="s">
        <v>8</v>
      </c>
      <c r="I67" s="37" t="s">
        <v>9</v>
      </c>
      <c r="J67" s="36">
        <v>365</v>
      </c>
      <c r="K67" s="27">
        <f>0</f>
        <v>0</v>
      </c>
      <c r="L67" s="127">
        <f t="shared" si="0"/>
        <v>0</v>
      </c>
      <c r="M67" s="127">
        <f t="shared" si="1"/>
        <v>0</v>
      </c>
      <c r="N67" s="128"/>
      <c r="O67" s="129">
        <f t="shared" si="2"/>
        <v>0</v>
      </c>
      <c r="P67" s="128"/>
      <c r="Q67" s="128"/>
      <c r="R67" s="128"/>
      <c r="S67" s="26">
        <f t="shared" si="3"/>
        <v>0</v>
      </c>
      <c r="T67" s="25" t="str">
        <f t="shared" si="4"/>
        <v>OK</v>
      </c>
      <c r="U67" s="138"/>
      <c r="V67" s="22"/>
      <c r="W67" s="22"/>
      <c r="X67" s="22"/>
      <c r="Y67" s="24"/>
      <c r="Z67" s="24"/>
      <c r="AA67" s="24"/>
      <c r="AB67" s="22"/>
      <c r="AC67" s="22"/>
      <c r="AD67" s="22"/>
      <c r="AE67" s="22"/>
      <c r="AF67" s="22"/>
      <c r="AG67" s="22"/>
      <c r="AH67" s="22"/>
    </row>
    <row r="68" spans="1:34" ht="30.25" customHeight="1" x14ac:dyDescent="0.35">
      <c r="A68" s="200"/>
      <c r="B68" s="37">
        <v>65</v>
      </c>
      <c r="C68" s="197"/>
      <c r="D68" s="34" t="s">
        <v>30</v>
      </c>
      <c r="E68" s="41" t="s">
        <v>8</v>
      </c>
      <c r="F68" s="43" t="s">
        <v>28</v>
      </c>
      <c r="G68" s="37" t="s">
        <v>29</v>
      </c>
      <c r="H68" s="37" t="s">
        <v>8</v>
      </c>
      <c r="I68" s="37" t="s">
        <v>9</v>
      </c>
      <c r="J68" s="36">
        <v>100</v>
      </c>
      <c r="K68" s="27">
        <f>0</f>
        <v>0</v>
      </c>
      <c r="L68" s="127">
        <f t="shared" si="0"/>
        <v>0</v>
      </c>
      <c r="M68" s="127">
        <f t="shared" si="1"/>
        <v>0</v>
      </c>
      <c r="N68" s="128"/>
      <c r="O68" s="129">
        <f t="shared" si="2"/>
        <v>0</v>
      </c>
      <c r="P68" s="128"/>
      <c r="Q68" s="128"/>
      <c r="R68" s="128"/>
      <c r="S68" s="26">
        <f t="shared" si="3"/>
        <v>0</v>
      </c>
      <c r="T68" s="25" t="str">
        <f t="shared" si="4"/>
        <v>OK</v>
      </c>
      <c r="U68" s="138"/>
      <c r="V68" s="22"/>
      <c r="W68" s="22"/>
      <c r="X68" s="22"/>
      <c r="Y68" s="24"/>
      <c r="Z68" s="24"/>
      <c r="AA68" s="24"/>
      <c r="AB68" s="22"/>
      <c r="AC68" s="22"/>
      <c r="AD68" s="22"/>
      <c r="AE68" s="22"/>
      <c r="AF68" s="22"/>
      <c r="AG68" s="22"/>
      <c r="AH68" s="22"/>
    </row>
    <row r="69" spans="1:34" ht="30.25" customHeight="1" x14ac:dyDescent="0.35">
      <c r="A69" s="208" t="s">
        <v>164</v>
      </c>
      <c r="B69" s="44">
        <v>66</v>
      </c>
      <c r="C69" s="205" t="s">
        <v>92</v>
      </c>
      <c r="D69" s="46" t="s">
        <v>27</v>
      </c>
      <c r="E69" s="48" t="s">
        <v>8</v>
      </c>
      <c r="F69" s="50" t="s">
        <v>28</v>
      </c>
      <c r="G69" s="44" t="s">
        <v>29</v>
      </c>
      <c r="H69" s="44" t="s">
        <v>8</v>
      </c>
      <c r="I69" s="44" t="s">
        <v>9</v>
      </c>
      <c r="J69" s="47">
        <v>140</v>
      </c>
      <c r="K69" s="27">
        <f>0</f>
        <v>0</v>
      </c>
      <c r="L69" s="127">
        <f t="shared" ref="L69:L81" si="5">IF(SUM(U69:AL69)&gt;K69+N69,K69+N69,SUM(U69:AL69))</f>
        <v>0</v>
      </c>
      <c r="M69" s="127">
        <f t="shared" ref="M69:M81" si="6">(SUM(U69:AL69))</f>
        <v>0</v>
      </c>
      <c r="N69" s="128"/>
      <c r="O69" s="129">
        <f t="shared" ref="O69:O82" si="7">ROUND(IF(K69*0.25-0.5&lt;0,0,K69*0.25-0.5),0)-R69-P69</f>
        <v>0</v>
      </c>
      <c r="P69" s="128"/>
      <c r="Q69" s="128"/>
      <c r="R69" s="128"/>
      <c r="S69" s="26">
        <f t="shared" ref="S69:S81" si="8">K69-SUM(U69:AH69)+N69</f>
        <v>0</v>
      </c>
      <c r="T69" s="25" t="str">
        <f t="shared" ref="T69:T82" si="9">IF(S69&lt;0,"ATENÇÃO","OK")</f>
        <v>OK</v>
      </c>
      <c r="U69" s="138"/>
      <c r="V69" s="22"/>
      <c r="W69" s="22"/>
      <c r="X69" s="22"/>
      <c r="Y69" s="24"/>
      <c r="Z69" s="24"/>
      <c r="AA69" s="24"/>
      <c r="AB69" s="22"/>
      <c r="AC69" s="22"/>
      <c r="AD69" s="22"/>
      <c r="AE69" s="22"/>
      <c r="AF69" s="22"/>
      <c r="AG69" s="22"/>
      <c r="AH69" s="22"/>
    </row>
    <row r="70" spans="1:34" ht="30.25" customHeight="1" x14ac:dyDescent="0.35">
      <c r="A70" s="209"/>
      <c r="B70" s="44">
        <v>67</v>
      </c>
      <c r="C70" s="206"/>
      <c r="D70" s="46" t="s">
        <v>7</v>
      </c>
      <c r="E70" s="48" t="s">
        <v>8</v>
      </c>
      <c r="F70" s="50" t="s">
        <v>28</v>
      </c>
      <c r="G70" s="44" t="s">
        <v>29</v>
      </c>
      <c r="H70" s="44" t="s">
        <v>8</v>
      </c>
      <c r="I70" s="44" t="s">
        <v>9</v>
      </c>
      <c r="J70" s="47">
        <v>530</v>
      </c>
      <c r="K70" s="27">
        <f>0</f>
        <v>0</v>
      </c>
      <c r="L70" s="127">
        <f t="shared" si="5"/>
        <v>0</v>
      </c>
      <c r="M70" s="127">
        <f t="shared" si="6"/>
        <v>0</v>
      </c>
      <c r="N70" s="128"/>
      <c r="O70" s="129">
        <f t="shared" si="7"/>
        <v>0</v>
      </c>
      <c r="P70" s="128"/>
      <c r="Q70" s="128"/>
      <c r="R70" s="128"/>
      <c r="S70" s="26">
        <f t="shared" si="8"/>
        <v>0</v>
      </c>
      <c r="T70" s="25" t="str">
        <f t="shared" si="9"/>
        <v>OK</v>
      </c>
      <c r="U70" s="138"/>
      <c r="V70" s="22"/>
      <c r="W70" s="22"/>
      <c r="X70" s="22"/>
      <c r="Y70" s="24"/>
      <c r="Z70" s="24"/>
      <c r="AA70" s="24"/>
      <c r="AB70" s="22"/>
      <c r="AC70" s="22"/>
      <c r="AD70" s="22"/>
      <c r="AE70" s="22"/>
      <c r="AF70" s="22"/>
      <c r="AG70" s="22"/>
      <c r="AH70" s="22"/>
    </row>
    <row r="71" spans="1:34" ht="30.25" customHeight="1" x14ac:dyDescent="0.35">
      <c r="A71" s="209"/>
      <c r="B71" s="44">
        <v>68</v>
      </c>
      <c r="C71" s="206"/>
      <c r="D71" s="46" t="s">
        <v>10</v>
      </c>
      <c r="E71" s="48" t="s">
        <v>8</v>
      </c>
      <c r="F71" s="50" t="s">
        <v>28</v>
      </c>
      <c r="G71" s="44" t="s">
        <v>29</v>
      </c>
      <c r="H71" s="44" t="s">
        <v>8</v>
      </c>
      <c r="I71" s="44" t="s">
        <v>9</v>
      </c>
      <c r="J71" s="47">
        <v>660</v>
      </c>
      <c r="K71" s="27">
        <f>0</f>
        <v>0</v>
      </c>
      <c r="L71" s="127">
        <f t="shared" si="5"/>
        <v>0</v>
      </c>
      <c r="M71" s="127">
        <f t="shared" si="6"/>
        <v>0</v>
      </c>
      <c r="N71" s="128"/>
      <c r="O71" s="129">
        <f t="shared" si="7"/>
        <v>0</v>
      </c>
      <c r="P71" s="128"/>
      <c r="Q71" s="128"/>
      <c r="R71" s="128"/>
      <c r="S71" s="26">
        <f t="shared" si="8"/>
        <v>0</v>
      </c>
      <c r="T71" s="25" t="str">
        <f t="shared" si="9"/>
        <v>OK</v>
      </c>
      <c r="U71" s="138"/>
      <c r="V71" s="22"/>
      <c r="W71" s="22"/>
      <c r="X71" s="22"/>
      <c r="Y71" s="24"/>
      <c r="Z71" s="24"/>
      <c r="AA71" s="24"/>
      <c r="AB71" s="22"/>
      <c r="AC71" s="22"/>
      <c r="AD71" s="22"/>
      <c r="AE71" s="22"/>
      <c r="AF71" s="22"/>
      <c r="AG71" s="22"/>
      <c r="AH71" s="22"/>
    </row>
    <row r="72" spans="1:34" ht="30.25" customHeight="1" x14ac:dyDescent="0.35">
      <c r="A72" s="209"/>
      <c r="B72" s="44">
        <v>69</v>
      </c>
      <c r="C72" s="206"/>
      <c r="D72" s="46" t="s">
        <v>11</v>
      </c>
      <c r="E72" s="48" t="s">
        <v>8</v>
      </c>
      <c r="F72" s="50" t="s">
        <v>28</v>
      </c>
      <c r="G72" s="44" t="s">
        <v>29</v>
      </c>
      <c r="H72" s="44" t="s">
        <v>8</v>
      </c>
      <c r="I72" s="44" t="s">
        <v>9</v>
      </c>
      <c r="J72" s="47">
        <v>760</v>
      </c>
      <c r="K72" s="27">
        <f>0</f>
        <v>0</v>
      </c>
      <c r="L72" s="127">
        <f t="shared" si="5"/>
        <v>0</v>
      </c>
      <c r="M72" s="127">
        <f t="shared" si="6"/>
        <v>0</v>
      </c>
      <c r="N72" s="128"/>
      <c r="O72" s="129">
        <f t="shared" si="7"/>
        <v>0</v>
      </c>
      <c r="P72" s="128"/>
      <c r="Q72" s="128"/>
      <c r="R72" s="128"/>
      <c r="S72" s="26">
        <f t="shared" si="8"/>
        <v>0</v>
      </c>
      <c r="T72" s="25" t="str">
        <f t="shared" si="9"/>
        <v>OK</v>
      </c>
      <c r="U72" s="138"/>
      <c r="V72" s="22"/>
      <c r="W72" s="22"/>
      <c r="X72" s="22"/>
      <c r="Y72" s="24"/>
      <c r="Z72" s="24"/>
      <c r="AA72" s="24"/>
      <c r="AB72" s="22"/>
      <c r="AC72" s="22"/>
      <c r="AD72" s="22"/>
      <c r="AE72" s="22"/>
      <c r="AF72" s="22"/>
      <c r="AG72" s="22"/>
      <c r="AH72" s="22"/>
    </row>
    <row r="73" spans="1:34" ht="30.25" customHeight="1" x14ac:dyDescent="0.35">
      <c r="A73" s="209"/>
      <c r="B73" s="44">
        <v>70</v>
      </c>
      <c r="C73" s="206"/>
      <c r="D73" s="46" t="s">
        <v>12</v>
      </c>
      <c r="E73" s="48" t="s">
        <v>8</v>
      </c>
      <c r="F73" s="50" t="s">
        <v>28</v>
      </c>
      <c r="G73" s="44" t="s">
        <v>29</v>
      </c>
      <c r="H73" s="44" t="s">
        <v>34</v>
      </c>
      <c r="I73" s="44" t="s">
        <v>9</v>
      </c>
      <c r="J73" s="47">
        <v>70</v>
      </c>
      <c r="K73" s="27">
        <f>0</f>
        <v>0</v>
      </c>
      <c r="L73" s="127">
        <f t="shared" si="5"/>
        <v>0</v>
      </c>
      <c r="M73" s="127">
        <f t="shared" si="6"/>
        <v>0</v>
      </c>
      <c r="N73" s="128"/>
      <c r="O73" s="129">
        <f t="shared" si="7"/>
        <v>0</v>
      </c>
      <c r="P73" s="128"/>
      <c r="Q73" s="128"/>
      <c r="R73" s="128"/>
      <c r="S73" s="26">
        <f t="shared" si="8"/>
        <v>0</v>
      </c>
      <c r="T73" s="25" t="str">
        <f t="shared" si="9"/>
        <v>OK</v>
      </c>
      <c r="U73" s="138"/>
      <c r="V73" s="22"/>
      <c r="W73" s="22"/>
      <c r="X73" s="22"/>
      <c r="Y73" s="24"/>
      <c r="Z73" s="24"/>
      <c r="AA73" s="24"/>
      <c r="AB73" s="22"/>
      <c r="AC73" s="22"/>
      <c r="AD73" s="22"/>
      <c r="AE73" s="22"/>
      <c r="AF73" s="22"/>
      <c r="AG73" s="22"/>
      <c r="AH73" s="22"/>
    </row>
    <row r="74" spans="1:34" ht="30.25" customHeight="1" x14ac:dyDescent="0.35">
      <c r="A74" s="209"/>
      <c r="B74" s="44">
        <v>71</v>
      </c>
      <c r="C74" s="206"/>
      <c r="D74" s="46" t="s">
        <v>156</v>
      </c>
      <c r="E74" s="48" t="s">
        <v>8</v>
      </c>
      <c r="F74" s="50" t="s">
        <v>28</v>
      </c>
      <c r="G74" s="44" t="s">
        <v>29</v>
      </c>
      <c r="H74" s="44" t="s">
        <v>34</v>
      </c>
      <c r="I74" s="44" t="s">
        <v>9</v>
      </c>
      <c r="J74" s="47">
        <v>75</v>
      </c>
      <c r="K74" s="27">
        <f>0</f>
        <v>0</v>
      </c>
      <c r="L74" s="127">
        <f t="shared" si="5"/>
        <v>0</v>
      </c>
      <c r="M74" s="127">
        <f t="shared" si="6"/>
        <v>0</v>
      </c>
      <c r="N74" s="128"/>
      <c r="O74" s="129">
        <f t="shared" si="7"/>
        <v>0</v>
      </c>
      <c r="P74" s="128"/>
      <c r="Q74" s="128"/>
      <c r="R74" s="128"/>
      <c r="S74" s="26">
        <f t="shared" si="8"/>
        <v>0</v>
      </c>
      <c r="T74" s="25" t="str">
        <f t="shared" si="9"/>
        <v>OK</v>
      </c>
      <c r="U74" s="138"/>
      <c r="V74" s="22"/>
      <c r="W74" s="22"/>
      <c r="X74" s="22"/>
      <c r="Y74" s="24"/>
      <c r="Z74" s="24"/>
      <c r="AA74" s="24"/>
      <c r="AB74" s="22"/>
      <c r="AC74" s="22"/>
      <c r="AD74" s="22"/>
      <c r="AE74" s="22"/>
      <c r="AF74" s="22"/>
      <c r="AG74" s="22"/>
      <c r="AH74" s="22"/>
    </row>
    <row r="75" spans="1:34" ht="30.25" customHeight="1" x14ac:dyDescent="0.35">
      <c r="A75" s="209"/>
      <c r="B75" s="44">
        <v>72</v>
      </c>
      <c r="C75" s="206"/>
      <c r="D75" s="46" t="s">
        <v>13</v>
      </c>
      <c r="E75" s="48" t="s">
        <v>8</v>
      </c>
      <c r="F75" s="50" t="s">
        <v>28</v>
      </c>
      <c r="G75" s="44" t="s">
        <v>29</v>
      </c>
      <c r="H75" s="44" t="s">
        <v>34</v>
      </c>
      <c r="I75" s="44" t="s">
        <v>9</v>
      </c>
      <c r="J75" s="47">
        <v>80</v>
      </c>
      <c r="K75" s="27">
        <f>0</f>
        <v>0</v>
      </c>
      <c r="L75" s="127">
        <f t="shared" si="5"/>
        <v>0</v>
      </c>
      <c r="M75" s="127">
        <f t="shared" si="6"/>
        <v>0</v>
      </c>
      <c r="N75" s="128"/>
      <c r="O75" s="129">
        <f t="shared" si="7"/>
        <v>0</v>
      </c>
      <c r="P75" s="128"/>
      <c r="Q75" s="128"/>
      <c r="R75" s="128"/>
      <c r="S75" s="26">
        <f t="shared" si="8"/>
        <v>0</v>
      </c>
      <c r="T75" s="25" t="str">
        <f t="shared" si="9"/>
        <v>OK</v>
      </c>
      <c r="U75" s="138"/>
      <c r="V75" s="22"/>
      <c r="W75" s="22"/>
      <c r="X75" s="22"/>
      <c r="Y75" s="24"/>
      <c r="Z75" s="24"/>
      <c r="AA75" s="24"/>
      <c r="AB75" s="22"/>
      <c r="AC75" s="22"/>
      <c r="AD75" s="22"/>
      <c r="AE75" s="22"/>
      <c r="AF75" s="22"/>
      <c r="AG75" s="22"/>
      <c r="AH75" s="22"/>
    </row>
    <row r="76" spans="1:34" ht="30.25" customHeight="1" x14ac:dyDescent="0.35">
      <c r="A76" s="209"/>
      <c r="B76" s="44">
        <v>73</v>
      </c>
      <c r="C76" s="206"/>
      <c r="D76" s="46" t="s">
        <v>157</v>
      </c>
      <c r="E76" s="48" t="s">
        <v>8</v>
      </c>
      <c r="F76" s="50" t="s">
        <v>28</v>
      </c>
      <c r="G76" s="44" t="s">
        <v>29</v>
      </c>
      <c r="H76" s="44" t="s">
        <v>8</v>
      </c>
      <c r="I76" s="44" t="s">
        <v>9</v>
      </c>
      <c r="J76" s="47">
        <v>150</v>
      </c>
      <c r="K76" s="27">
        <f>0</f>
        <v>0</v>
      </c>
      <c r="L76" s="127">
        <f t="shared" si="5"/>
        <v>0</v>
      </c>
      <c r="M76" s="127">
        <f t="shared" si="6"/>
        <v>0</v>
      </c>
      <c r="N76" s="128"/>
      <c r="O76" s="129">
        <f t="shared" si="7"/>
        <v>0</v>
      </c>
      <c r="P76" s="128"/>
      <c r="Q76" s="128"/>
      <c r="R76" s="128"/>
      <c r="S76" s="26">
        <f t="shared" si="8"/>
        <v>0</v>
      </c>
      <c r="T76" s="25" t="str">
        <f t="shared" si="9"/>
        <v>OK</v>
      </c>
      <c r="U76" s="138"/>
      <c r="V76" s="22"/>
      <c r="W76" s="22"/>
      <c r="X76" s="22"/>
      <c r="Y76" s="24"/>
      <c r="Z76" s="24"/>
      <c r="AA76" s="24"/>
      <c r="AB76" s="22"/>
      <c r="AC76" s="22"/>
      <c r="AD76" s="22"/>
      <c r="AE76" s="22"/>
      <c r="AF76" s="22"/>
      <c r="AG76" s="22"/>
      <c r="AH76" s="22"/>
    </row>
    <row r="77" spans="1:34" ht="30.25" customHeight="1" x14ac:dyDescent="0.35">
      <c r="A77" s="209"/>
      <c r="B77" s="44">
        <v>74</v>
      </c>
      <c r="C77" s="206"/>
      <c r="D77" s="46" t="s">
        <v>30</v>
      </c>
      <c r="E77" s="48" t="s">
        <v>8</v>
      </c>
      <c r="F77" s="50" t="s">
        <v>28</v>
      </c>
      <c r="G77" s="44" t="s">
        <v>29</v>
      </c>
      <c r="H77" s="44" t="s">
        <v>8</v>
      </c>
      <c r="I77" s="44" t="s">
        <v>9</v>
      </c>
      <c r="J77" s="47">
        <v>150</v>
      </c>
      <c r="K77" s="27">
        <f>0</f>
        <v>0</v>
      </c>
      <c r="L77" s="127">
        <f t="shared" si="5"/>
        <v>0</v>
      </c>
      <c r="M77" s="127">
        <f t="shared" si="6"/>
        <v>0</v>
      </c>
      <c r="N77" s="128"/>
      <c r="O77" s="129">
        <f t="shared" si="7"/>
        <v>0</v>
      </c>
      <c r="P77" s="128"/>
      <c r="Q77" s="128"/>
      <c r="R77" s="128"/>
      <c r="S77" s="26">
        <f t="shared" si="8"/>
        <v>0</v>
      </c>
      <c r="T77" s="25" t="str">
        <f t="shared" si="9"/>
        <v>OK</v>
      </c>
      <c r="U77" s="138"/>
      <c r="V77" s="22"/>
      <c r="W77" s="22"/>
      <c r="X77" s="22"/>
      <c r="Y77" s="24"/>
      <c r="Z77" s="24"/>
      <c r="AA77" s="24"/>
      <c r="AB77" s="22"/>
      <c r="AC77" s="22"/>
      <c r="AD77" s="22"/>
      <c r="AE77" s="22"/>
      <c r="AF77" s="22"/>
      <c r="AG77" s="22"/>
      <c r="AH77" s="22"/>
    </row>
    <row r="78" spans="1:34" ht="30.25" customHeight="1" x14ac:dyDescent="0.35">
      <c r="A78" s="210"/>
      <c r="B78" s="44">
        <v>75</v>
      </c>
      <c r="C78" s="207"/>
      <c r="D78" s="46" t="s">
        <v>165</v>
      </c>
      <c r="E78" s="48" t="s">
        <v>8</v>
      </c>
      <c r="F78" s="50" t="s">
        <v>28</v>
      </c>
      <c r="G78" s="44" t="s">
        <v>29</v>
      </c>
      <c r="H78" s="44" t="s">
        <v>8</v>
      </c>
      <c r="I78" s="44" t="s">
        <v>9</v>
      </c>
      <c r="J78" s="47">
        <v>300</v>
      </c>
      <c r="K78" s="27">
        <f>0</f>
        <v>0</v>
      </c>
      <c r="L78" s="127">
        <f t="shared" si="5"/>
        <v>0</v>
      </c>
      <c r="M78" s="127">
        <f t="shared" si="6"/>
        <v>0</v>
      </c>
      <c r="N78" s="128"/>
      <c r="O78" s="129">
        <f t="shared" si="7"/>
        <v>0</v>
      </c>
      <c r="P78" s="128"/>
      <c r="Q78" s="128"/>
      <c r="R78" s="128"/>
      <c r="S78" s="26">
        <f t="shared" si="8"/>
        <v>0</v>
      </c>
      <c r="T78" s="25" t="str">
        <f t="shared" si="9"/>
        <v>OK</v>
      </c>
      <c r="U78" s="138"/>
      <c r="V78" s="22"/>
      <c r="W78" s="22"/>
      <c r="X78" s="22"/>
      <c r="Y78" s="24"/>
      <c r="Z78" s="24"/>
      <c r="AA78" s="24"/>
      <c r="AB78" s="22"/>
      <c r="AC78" s="22"/>
      <c r="AD78" s="22"/>
      <c r="AE78" s="22"/>
      <c r="AF78" s="22"/>
      <c r="AG78" s="22"/>
      <c r="AH78" s="22"/>
    </row>
    <row r="79" spans="1:34" ht="30.25" customHeight="1" x14ac:dyDescent="0.35">
      <c r="A79" s="198" t="s">
        <v>166</v>
      </c>
      <c r="B79" s="37">
        <v>76</v>
      </c>
      <c r="C79" s="195" t="s">
        <v>33</v>
      </c>
      <c r="D79" s="34" t="s">
        <v>7</v>
      </c>
      <c r="E79" s="41" t="s">
        <v>8</v>
      </c>
      <c r="F79" s="43" t="s">
        <v>28</v>
      </c>
      <c r="G79" s="37" t="s">
        <v>29</v>
      </c>
      <c r="H79" s="37" t="s">
        <v>8</v>
      </c>
      <c r="I79" s="37" t="s">
        <v>9</v>
      </c>
      <c r="J79" s="36">
        <v>1001</v>
      </c>
      <c r="K79" s="27">
        <f>0</f>
        <v>0</v>
      </c>
      <c r="L79" s="127">
        <f t="shared" si="5"/>
        <v>0</v>
      </c>
      <c r="M79" s="127">
        <f t="shared" si="6"/>
        <v>0</v>
      </c>
      <c r="N79" s="128"/>
      <c r="O79" s="129">
        <f t="shared" si="7"/>
        <v>0</v>
      </c>
      <c r="P79" s="128"/>
      <c r="Q79" s="128"/>
      <c r="R79" s="128"/>
      <c r="S79" s="26">
        <f t="shared" si="8"/>
        <v>0</v>
      </c>
      <c r="T79" s="25" t="str">
        <f t="shared" si="9"/>
        <v>OK</v>
      </c>
      <c r="U79" s="138"/>
      <c r="V79" s="22"/>
      <c r="W79" s="22"/>
      <c r="X79" s="22"/>
      <c r="Y79" s="24"/>
      <c r="Z79" s="24"/>
      <c r="AA79" s="24"/>
      <c r="AB79" s="22"/>
      <c r="AC79" s="22"/>
      <c r="AD79" s="22"/>
      <c r="AE79" s="22"/>
      <c r="AF79" s="22"/>
      <c r="AG79" s="22"/>
      <c r="AH79" s="22"/>
    </row>
    <row r="80" spans="1:34" ht="30.25" customHeight="1" x14ac:dyDescent="0.35">
      <c r="A80" s="199"/>
      <c r="B80" s="37">
        <v>77</v>
      </c>
      <c r="C80" s="196"/>
      <c r="D80" s="34" t="s">
        <v>12</v>
      </c>
      <c r="E80" s="41" t="s">
        <v>8</v>
      </c>
      <c r="F80" s="43" t="s">
        <v>28</v>
      </c>
      <c r="G80" s="37" t="s">
        <v>29</v>
      </c>
      <c r="H80" s="37" t="s">
        <v>34</v>
      </c>
      <c r="I80" s="37" t="s">
        <v>9</v>
      </c>
      <c r="J80" s="36">
        <v>130</v>
      </c>
      <c r="K80" s="27">
        <f>0</f>
        <v>0</v>
      </c>
      <c r="L80" s="127">
        <f t="shared" si="5"/>
        <v>0</v>
      </c>
      <c r="M80" s="127">
        <f t="shared" si="6"/>
        <v>0</v>
      </c>
      <c r="N80" s="128"/>
      <c r="O80" s="129">
        <f t="shared" si="7"/>
        <v>0</v>
      </c>
      <c r="P80" s="128"/>
      <c r="Q80" s="128"/>
      <c r="R80" s="128"/>
      <c r="S80" s="26">
        <f t="shared" si="8"/>
        <v>0</v>
      </c>
      <c r="T80" s="25" t="str">
        <f t="shared" si="9"/>
        <v>OK</v>
      </c>
      <c r="U80" s="138"/>
      <c r="V80" s="22"/>
      <c r="W80" s="22"/>
      <c r="X80" s="22"/>
      <c r="Y80" s="24"/>
      <c r="Z80" s="24"/>
      <c r="AA80" s="24"/>
      <c r="AB80" s="22"/>
      <c r="AC80" s="22"/>
      <c r="AD80" s="22"/>
      <c r="AE80" s="22"/>
      <c r="AF80" s="22"/>
      <c r="AG80" s="22"/>
      <c r="AH80" s="22"/>
    </row>
    <row r="81" spans="1:34" ht="30.25" customHeight="1" x14ac:dyDescent="0.35">
      <c r="A81" s="200"/>
      <c r="B81" s="37">
        <v>78</v>
      </c>
      <c r="C81" s="197"/>
      <c r="D81" s="34" t="s">
        <v>157</v>
      </c>
      <c r="E81" s="41" t="s">
        <v>8</v>
      </c>
      <c r="F81" s="43" t="s">
        <v>28</v>
      </c>
      <c r="G81" s="37" t="s">
        <v>29</v>
      </c>
      <c r="H81" s="37" t="s">
        <v>8</v>
      </c>
      <c r="I81" s="37" t="s">
        <v>9</v>
      </c>
      <c r="J81" s="36">
        <v>200</v>
      </c>
      <c r="K81" s="27">
        <f>0</f>
        <v>0</v>
      </c>
      <c r="L81" s="127">
        <f t="shared" si="5"/>
        <v>0</v>
      </c>
      <c r="M81" s="127">
        <f t="shared" si="6"/>
        <v>0</v>
      </c>
      <c r="N81" s="128"/>
      <c r="O81" s="129">
        <f t="shared" si="7"/>
        <v>0</v>
      </c>
      <c r="P81" s="128"/>
      <c r="Q81" s="128"/>
      <c r="R81" s="128"/>
      <c r="S81" s="26">
        <f t="shared" si="8"/>
        <v>0</v>
      </c>
      <c r="T81" s="25" t="str">
        <f t="shared" si="9"/>
        <v>OK</v>
      </c>
      <c r="U81" s="138"/>
      <c r="V81" s="22"/>
      <c r="W81" s="22"/>
      <c r="X81" s="22"/>
      <c r="Y81" s="24"/>
      <c r="Z81" s="24"/>
      <c r="AA81" s="24"/>
      <c r="AB81" s="22"/>
      <c r="AC81" s="22"/>
      <c r="AD81" s="22"/>
      <c r="AE81" s="22"/>
      <c r="AF81" s="22"/>
      <c r="AG81" s="22"/>
      <c r="AH81" s="22"/>
    </row>
    <row r="82" spans="1:34" ht="15" thickBot="1" x14ac:dyDescent="0.4">
      <c r="K82" s="4">
        <f>SUM(K4:K81)</f>
        <v>76</v>
      </c>
      <c r="N82" s="145">
        <f>SUM(N4:N81)</f>
        <v>-61</v>
      </c>
      <c r="O82" s="132">
        <f t="shared" si="7"/>
        <v>19</v>
      </c>
      <c r="P82" s="132"/>
      <c r="Q82" s="132"/>
      <c r="R82" s="132"/>
      <c r="S82" s="12">
        <f>SUM(S4:S81)</f>
        <v>13</v>
      </c>
      <c r="T82" s="5" t="str">
        <f t="shared" si="9"/>
        <v>OK</v>
      </c>
      <c r="U82" s="30">
        <f t="shared" ref="U82:AH82" si="10">SUMPRODUCT($J$4:$J$81,U4:U81)</f>
        <v>1750</v>
      </c>
      <c r="V82" s="30">
        <f t="shared" si="10"/>
        <v>0</v>
      </c>
      <c r="W82" s="30">
        <f t="shared" si="10"/>
        <v>0</v>
      </c>
      <c r="X82" s="30">
        <f t="shared" si="10"/>
        <v>0</v>
      </c>
      <c r="Y82" s="30">
        <f t="shared" si="10"/>
        <v>0</v>
      </c>
      <c r="Z82" s="30">
        <f t="shared" si="10"/>
        <v>0</v>
      </c>
      <c r="AA82" s="30">
        <f t="shared" si="10"/>
        <v>0</v>
      </c>
      <c r="AB82" s="30">
        <f t="shared" si="10"/>
        <v>0</v>
      </c>
      <c r="AC82" s="30">
        <f t="shared" si="10"/>
        <v>0</v>
      </c>
      <c r="AD82" s="30">
        <f t="shared" si="10"/>
        <v>0</v>
      </c>
      <c r="AE82" s="30">
        <f t="shared" si="10"/>
        <v>0</v>
      </c>
      <c r="AF82" s="30">
        <f t="shared" si="10"/>
        <v>0</v>
      </c>
      <c r="AG82" s="30">
        <f t="shared" si="10"/>
        <v>0</v>
      </c>
      <c r="AH82" s="30">
        <f t="shared" si="10"/>
        <v>0</v>
      </c>
    </row>
    <row r="83" spans="1:34" ht="14.5" x14ac:dyDescent="0.35">
      <c r="D83" s="31" t="s">
        <v>53</v>
      </c>
      <c r="K83" s="132">
        <f>SUMPRODUCT($J$4:$J$81,K4:K81)</f>
        <v>125120.94</v>
      </c>
      <c r="L83" s="132">
        <f>SUMPRODUCT($J$4:$J$81,L4:L81)</f>
        <v>1750</v>
      </c>
      <c r="M83" s="132">
        <f>SUMPRODUCT($J$4:$J$81,M4:M81)</f>
        <v>1750</v>
      </c>
      <c r="R83" s="126"/>
      <c r="U83" s="142"/>
    </row>
    <row r="84" spans="1:34" ht="29" x14ac:dyDescent="0.35">
      <c r="D84" s="32" t="s">
        <v>54</v>
      </c>
      <c r="K84" s="4">
        <f>K82+N82</f>
        <v>15</v>
      </c>
      <c r="R84" s="125"/>
      <c r="U84" s="142"/>
    </row>
    <row r="85" spans="1:34" ht="15.75" customHeight="1" thickBot="1" x14ac:dyDescent="0.4">
      <c r="D85" s="33" t="s">
        <v>55</v>
      </c>
      <c r="R85" s="125"/>
      <c r="U85" s="142"/>
    </row>
    <row r="86" spans="1:34" ht="14.5" x14ac:dyDescent="0.35">
      <c r="U86" s="142"/>
    </row>
    <row r="87" spans="1:34" ht="14.5" x14ac:dyDescent="0.35">
      <c r="U87" s="142"/>
    </row>
    <row r="88" spans="1:34" ht="14.5" x14ac:dyDescent="0.35">
      <c r="U88" s="142"/>
    </row>
    <row r="89" spans="1:34" ht="14.5" x14ac:dyDescent="0.35">
      <c r="U89" s="142"/>
    </row>
    <row r="90" spans="1:34" ht="14.5" x14ac:dyDescent="0.35">
      <c r="U90" s="142"/>
    </row>
    <row r="91" spans="1:34" ht="14.5" x14ac:dyDescent="0.35">
      <c r="U91" s="142"/>
    </row>
    <row r="92" spans="1:34" ht="14.5" x14ac:dyDescent="0.35">
      <c r="U92" s="142"/>
    </row>
  </sheetData>
  <mergeCells count="29">
    <mergeCell ref="A69:A78"/>
    <mergeCell ref="C69:C78"/>
    <mergeCell ref="A79:A81"/>
    <mergeCell ref="C79:C81"/>
    <mergeCell ref="A38:A48"/>
    <mergeCell ref="C38:C48"/>
    <mergeCell ref="A49:A59"/>
    <mergeCell ref="C49:C59"/>
    <mergeCell ref="A60:A68"/>
    <mergeCell ref="C60:C68"/>
    <mergeCell ref="AD1:AD2"/>
    <mergeCell ref="AE1:AE2"/>
    <mergeCell ref="AF1:AF2"/>
    <mergeCell ref="AG1:AG2"/>
    <mergeCell ref="AH1:AH2"/>
    <mergeCell ref="AA1:AA2"/>
    <mergeCell ref="AB1:AB2"/>
    <mergeCell ref="AC1:AC2"/>
    <mergeCell ref="A1:C1"/>
    <mergeCell ref="D1:J1"/>
    <mergeCell ref="K1:T1"/>
    <mergeCell ref="U1:U2"/>
    <mergeCell ref="V1:V2"/>
    <mergeCell ref="W1:W2"/>
    <mergeCell ref="A2:J2"/>
    <mergeCell ref="K2:T2"/>
    <mergeCell ref="X1:X2"/>
    <mergeCell ref="Y1:Y2"/>
    <mergeCell ref="Z1:Z2"/>
  </mergeCells>
  <conditionalFormatting sqref="T1 T3:T1048576">
    <cfRule type="cellIs" dxfId="22" priority="2" operator="equal">
      <formula>"ATENÇÃO"</formula>
    </cfRule>
  </conditionalFormatting>
  <conditionalFormatting sqref="V4:AH81">
    <cfRule type="cellIs" dxfId="21" priority="1" operator="greaterThan">
      <formula>0</formula>
    </cfRule>
  </conditionalFormatting>
  <pageMargins left="0.511811024" right="0.511811024" top="0.78740157499999996" bottom="0.78740157499999996" header="0.31496062000000002" footer="0.31496062000000002"/>
  <pageSetup paperSize="9" scale="60" orientation="landscape" r:id="rId1"/>
  <colBreaks count="1" manualBreakCount="1">
    <brk id="24" max="1048575"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46852-4C23-4AE0-AAA9-7594E00A9CA3}">
  <dimension ref="A1:AH92"/>
  <sheetViews>
    <sheetView topLeftCell="A34" zoomScale="80" zoomScaleNormal="80" workbookViewId="0">
      <selection activeCell="B45" sqref="A45:XFD45"/>
    </sheetView>
  </sheetViews>
  <sheetFormatPr defaultColWidth="9.7265625" defaultRowHeight="30.25" customHeight="1" x14ac:dyDescent="0.35"/>
  <cols>
    <col min="1" max="1" width="6.1796875" style="1" customWidth="1"/>
    <col min="2" max="2" width="6.453125" style="1" customWidth="1"/>
    <col min="3" max="3" width="16" style="1" customWidth="1"/>
    <col min="4" max="4" width="17.7265625" style="3" customWidth="1"/>
    <col min="5" max="5" width="16.1796875" style="1" customWidth="1"/>
    <col min="6" max="6" width="8.54296875" style="1" customWidth="1"/>
    <col min="7" max="7" width="8.453125" style="1" customWidth="1"/>
    <col min="8" max="8" width="8.26953125" style="1" customWidth="1"/>
    <col min="9" max="9" width="12.7265625" style="1" customWidth="1"/>
    <col min="10" max="10" width="12.1796875" style="3" customWidth="1"/>
    <col min="11" max="11" width="12.54296875" style="4" bestFit="1" customWidth="1"/>
    <col min="12" max="14" width="12.453125" style="4" customWidth="1"/>
    <col min="15" max="15" width="18.1796875" style="4" customWidth="1"/>
    <col min="16" max="17" width="12.453125" style="4" customWidth="1"/>
    <col min="18" max="18" width="16.453125" style="4" bestFit="1" customWidth="1"/>
    <col min="19" max="19" width="13.26953125" style="12" customWidth="1"/>
    <col min="20" max="20" width="12.453125" style="5" customWidth="1"/>
    <col min="21" max="21" width="13.453125" style="6" customWidth="1"/>
    <col min="22" max="22" width="14.54296875" style="6" customWidth="1"/>
    <col min="23" max="23" width="13.453125" style="6" customWidth="1"/>
    <col min="24" max="25" width="14.1796875" style="6" customWidth="1"/>
    <col min="26" max="26" width="12.453125" style="6" customWidth="1"/>
    <col min="27" max="27" width="13.26953125" style="6" customWidth="1"/>
    <col min="28" max="28" width="12.7265625" style="6" customWidth="1"/>
    <col min="29" max="29" width="12" style="6" customWidth="1"/>
    <col min="30" max="30" width="12.7265625" style="6" customWidth="1"/>
    <col min="31" max="31" width="13.81640625" style="6" customWidth="1"/>
    <col min="32" max="32" width="13.453125" style="6" customWidth="1"/>
    <col min="33" max="33" width="12.453125" style="2" customWidth="1"/>
    <col min="34" max="34" width="13.7265625" style="2" customWidth="1"/>
    <col min="35" max="16384" width="9.7265625" style="2"/>
  </cols>
  <sheetData>
    <row r="1" spans="1:34" ht="40.15" customHeight="1" x14ac:dyDescent="0.35">
      <c r="A1" s="202" t="s">
        <v>52</v>
      </c>
      <c r="B1" s="203"/>
      <c r="C1" s="204"/>
      <c r="D1" s="211" t="s">
        <v>48</v>
      </c>
      <c r="E1" s="212"/>
      <c r="F1" s="212"/>
      <c r="G1" s="212"/>
      <c r="H1" s="212"/>
      <c r="I1" s="212"/>
      <c r="J1" s="213"/>
      <c r="K1" s="201" t="s">
        <v>49</v>
      </c>
      <c r="L1" s="201"/>
      <c r="M1" s="201"/>
      <c r="N1" s="201"/>
      <c r="O1" s="201"/>
      <c r="P1" s="201"/>
      <c r="Q1" s="201"/>
      <c r="R1" s="201"/>
      <c r="S1" s="201"/>
      <c r="T1" s="201"/>
      <c r="U1" s="221" t="s">
        <v>304</v>
      </c>
      <c r="V1" s="221" t="s">
        <v>305</v>
      </c>
      <c r="W1" s="217" t="s">
        <v>51</v>
      </c>
      <c r="X1" s="217" t="s">
        <v>51</v>
      </c>
      <c r="Y1" s="217" t="s">
        <v>51</v>
      </c>
      <c r="Z1" s="217" t="s">
        <v>51</v>
      </c>
      <c r="AA1" s="217" t="s">
        <v>51</v>
      </c>
      <c r="AB1" s="217" t="s">
        <v>51</v>
      </c>
      <c r="AC1" s="217" t="s">
        <v>51</v>
      </c>
      <c r="AD1" s="217" t="s">
        <v>51</v>
      </c>
      <c r="AE1" s="217" t="s">
        <v>51</v>
      </c>
      <c r="AF1" s="217" t="s">
        <v>51</v>
      </c>
      <c r="AG1" s="217" t="s">
        <v>51</v>
      </c>
      <c r="AH1" s="217" t="s">
        <v>51</v>
      </c>
    </row>
    <row r="2" spans="1:34" ht="25" customHeight="1" x14ac:dyDescent="0.35">
      <c r="A2" s="211" t="s">
        <v>169</v>
      </c>
      <c r="B2" s="212"/>
      <c r="C2" s="212"/>
      <c r="D2" s="212"/>
      <c r="E2" s="212"/>
      <c r="F2" s="212"/>
      <c r="G2" s="212"/>
      <c r="H2" s="212"/>
      <c r="I2" s="212"/>
      <c r="J2" s="213"/>
      <c r="K2" s="214" t="s">
        <v>62</v>
      </c>
      <c r="L2" s="215"/>
      <c r="M2" s="215"/>
      <c r="N2" s="215"/>
      <c r="O2" s="215"/>
      <c r="P2" s="215"/>
      <c r="Q2" s="215"/>
      <c r="R2" s="215"/>
      <c r="S2" s="215"/>
      <c r="T2" s="216"/>
      <c r="U2" s="222"/>
      <c r="V2" s="222"/>
      <c r="W2" s="218"/>
      <c r="X2" s="218"/>
      <c r="Y2" s="218"/>
      <c r="Z2" s="218"/>
      <c r="AA2" s="218"/>
      <c r="AB2" s="218"/>
      <c r="AC2" s="218"/>
      <c r="AD2" s="218"/>
      <c r="AE2" s="218"/>
      <c r="AF2" s="218"/>
      <c r="AG2" s="218"/>
      <c r="AH2" s="218"/>
    </row>
    <row r="3" spans="1:34" s="3" customFormat="1" ht="30.25" customHeight="1" x14ac:dyDescent="0.25">
      <c r="A3" s="7" t="s">
        <v>3</v>
      </c>
      <c r="B3" s="7" t="s">
        <v>56</v>
      </c>
      <c r="C3" s="7" t="s">
        <v>57</v>
      </c>
      <c r="D3" s="8" t="s">
        <v>58</v>
      </c>
      <c r="E3" s="8" t="s">
        <v>59</v>
      </c>
      <c r="F3" s="8" t="s">
        <v>18</v>
      </c>
      <c r="G3" s="8" t="s">
        <v>19</v>
      </c>
      <c r="H3" s="8" t="s">
        <v>60</v>
      </c>
      <c r="I3" s="8" t="s">
        <v>61</v>
      </c>
      <c r="J3" s="9" t="s">
        <v>50</v>
      </c>
      <c r="K3" s="10" t="s">
        <v>4</v>
      </c>
      <c r="L3" s="52" t="s">
        <v>207</v>
      </c>
      <c r="M3" s="52" t="s">
        <v>208</v>
      </c>
      <c r="N3" s="52" t="s">
        <v>209</v>
      </c>
      <c r="O3" s="52" t="s">
        <v>210</v>
      </c>
      <c r="P3" s="52" t="s">
        <v>211</v>
      </c>
      <c r="Q3" s="52" t="s">
        <v>213</v>
      </c>
      <c r="R3" s="52" t="s">
        <v>214</v>
      </c>
      <c r="S3" s="11" t="s">
        <v>0</v>
      </c>
      <c r="T3" s="7" t="s">
        <v>2</v>
      </c>
      <c r="U3" s="148" t="s">
        <v>1</v>
      </c>
      <c r="V3" s="148" t="s">
        <v>1</v>
      </c>
      <c r="W3" s="23" t="s">
        <v>1</v>
      </c>
      <c r="X3" s="23" t="s">
        <v>1</v>
      </c>
      <c r="Y3" s="23" t="s">
        <v>1</v>
      </c>
      <c r="Z3" s="23" t="s">
        <v>1</v>
      </c>
      <c r="AA3" s="23" t="s">
        <v>1</v>
      </c>
      <c r="AB3" s="23" t="s">
        <v>1</v>
      </c>
      <c r="AC3" s="23" t="s">
        <v>1</v>
      </c>
      <c r="AD3" s="23" t="s">
        <v>1</v>
      </c>
      <c r="AE3" s="23" t="s">
        <v>1</v>
      </c>
      <c r="AF3" s="23" t="s">
        <v>1</v>
      </c>
      <c r="AG3" s="23" t="s">
        <v>1</v>
      </c>
      <c r="AH3" s="23" t="s">
        <v>1</v>
      </c>
    </row>
    <row r="4" spans="1:34" ht="30.25" customHeight="1" x14ac:dyDescent="0.35">
      <c r="A4" s="37">
        <v>1</v>
      </c>
      <c r="B4" s="37">
        <v>1</v>
      </c>
      <c r="C4" s="35" t="s">
        <v>63</v>
      </c>
      <c r="D4" s="34" t="s">
        <v>64</v>
      </c>
      <c r="E4" s="35" t="s">
        <v>65</v>
      </c>
      <c r="F4" s="35" t="s">
        <v>20</v>
      </c>
      <c r="G4" s="35" t="s">
        <v>66</v>
      </c>
      <c r="H4" s="35" t="s">
        <v>5</v>
      </c>
      <c r="I4" s="35" t="s">
        <v>6</v>
      </c>
      <c r="J4" s="36">
        <v>1670</v>
      </c>
      <c r="K4" s="27">
        <f>0</f>
        <v>0</v>
      </c>
      <c r="L4" s="127">
        <f>IF(SUM(U4:AL4)&gt;K4+N4,K4+N4,SUM(U4:AL4))</f>
        <v>0</v>
      </c>
      <c r="M4" s="127">
        <f>(SUM(U4:AL4))</f>
        <v>0</v>
      </c>
      <c r="N4" s="128"/>
      <c r="O4" s="129">
        <f>ROUND(IF(K4*0.25-0.5&lt;0,0,K4*0.25-0.5),0)-R4-P4</f>
        <v>0</v>
      </c>
      <c r="P4" s="128"/>
      <c r="Q4" s="128"/>
      <c r="R4" s="128"/>
      <c r="S4" s="26">
        <f>K4-SUM(U4:AH4)+N4</f>
        <v>0</v>
      </c>
      <c r="T4" s="25" t="str">
        <f>IF(S4&lt;0,"ATENÇÃO","OK")</f>
        <v>OK</v>
      </c>
      <c r="U4" s="138"/>
      <c r="V4" s="139"/>
      <c r="W4" s="22"/>
      <c r="X4" s="22"/>
      <c r="Y4" s="24"/>
      <c r="Z4" s="24"/>
      <c r="AA4" s="24"/>
      <c r="AB4" s="22"/>
      <c r="AC4" s="22"/>
      <c r="AD4" s="22"/>
      <c r="AE4" s="22"/>
      <c r="AF4" s="22"/>
      <c r="AG4" s="22"/>
      <c r="AH4" s="22"/>
    </row>
    <row r="5" spans="1:34" ht="30.25" customHeight="1" x14ac:dyDescent="0.35">
      <c r="A5" s="44">
        <v>2</v>
      </c>
      <c r="B5" s="44">
        <v>2</v>
      </c>
      <c r="C5" s="45" t="s">
        <v>67</v>
      </c>
      <c r="D5" s="46" t="s">
        <v>68</v>
      </c>
      <c r="E5" s="45" t="s">
        <v>69</v>
      </c>
      <c r="F5" s="45" t="s">
        <v>20</v>
      </c>
      <c r="G5" s="45" t="s">
        <v>66</v>
      </c>
      <c r="H5" s="45" t="s">
        <v>5</v>
      </c>
      <c r="I5" s="45" t="s">
        <v>6</v>
      </c>
      <c r="J5" s="47">
        <v>1651.67</v>
      </c>
      <c r="K5" s="27">
        <f>0</f>
        <v>0</v>
      </c>
      <c r="L5" s="127">
        <f t="shared" ref="L5:L68" si="0">IF(SUM(U5:AL5)&gt;K5+N5,K5+N5,SUM(U5:AL5))</f>
        <v>0</v>
      </c>
      <c r="M5" s="127">
        <f t="shared" ref="M5:M68" si="1">(SUM(U5:AL5))</f>
        <v>0</v>
      </c>
      <c r="N5" s="128"/>
      <c r="O5" s="129">
        <f t="shared" ref="O5:O68" si="2">ROUND(IF(K5*0.25-0.5&lt;0,0,K5*0.25-0.5),0)-R5-P5</f>
        <v>0</v>
      </c>
      <c r="P5" s="128"/>
      <c r="Q5" s="128"/>
      <c r="R5" s="128"/>
      <c r="S5" s="26">
        <f t="shared" ref="S5:S68" si="3">K5-SUM(U5:AH5)+N5</f>
        <v>0</v>
      </c>
      <c r="T5" s="25" t="str">
        <f t="shared" ref="T5:T68" si="4">IF(S5&lt;0,"ATENÇÃO","OK")</f>
        <v>OK</v>
      </c>
      <c r="U5" s="138"/>
      <c r="V5" s="139"/>
      <c r="W5" s="22"/>
      <c r="X5" s="22"/>
      <c r="Y5" s="24"/>
      <c r="Z5" s="24"/>
      <c r="AA5" s="24"/>
      <c r="AB5" s="22"/>
      <c r="AC5" s="22"/>
      <c r="AD5" s="22"/>
      <c r="AE5" s="22"/>
      <c r="AF5" s="22"/>
      <c r="AG5" s="22"/>
      <c r="AH5" s="22"/>
    </row>
    <row r="6" spans="1:34" ht="30.25" customHeight="1" x14ac:dyDescent="0.35">
      <c r="A6" s="37">
        <v>3</v>
      </c>
      <c r="B6" s="37">
        <v>3</v>
      </c>
      <c r="C6" s="35" t="s">
        <v>63</v>
      </c>
      <c r="D6" s="34" t="s">
        <v>70</v>
      </c>
      <c r="E6" s="35" t="s">
        <v>71</v>
      </c>
      <c r="F6" s="35" t="s">
        <v>20</v>
      </c>
      <c r="G6" s="35" t="s">
        <v>72</v>
      </c>
      <c r="H6" s="35" t="s">
        <v>5</v>
      </c>
      <c r="I6" s="35" t="s">
        <v>6</v>
      </c>
      <c r="J6" s="36">
        <v>1802</v>
      </c>
      <c r="K6" s="27">
        <f>0</f>
        <v>0</v>
      </c>
      <c r="L6" s="127">
        <f t="shared" si="0"/>
        <v>0</v>
      </c>
      <c r="M6" s="127">
        <f t="shared" si="1"/>
        <v>0</v>
      </c>
      <c r="N6" s="128"/>
      <c r="O6" s="129">
        <f t="shared" si="2"/>
        <v>0</v>
      </c>
      <c r="P6" s="128"/>
      <c r="Q6" s="128"/>
      <c r="R6" s="128"/>
      <c r="S6" s="26">
        <f t="shared" si="3"/>
        <v>0</v>
      </c>
      <c r="T6" s="25" t="str">
        <f t="shared" si="4"/>
        <v>OK</v>
      </c>
      <c r="U6" s="138"/>
      <c r="V6" s="139"/>
      <c r="W6" s="22"/>
      <c r="X6" s="22"/>
      <c r="Y6" s="24"/>
      <c r="Z6" s="24"/>
      <c r="AA6" s="24"/>
      <c r="AB6" s="22"/>
      <c r="AC6" s="22"/>
      <c r="AD6" s="22"/>
      <c r="AE6" s="22"/>
      <c r="AF6" s="22"/>
      <c r="AG6" s="22"/>
      <c r="AH6" s="22"/>
    </row>
    <row r="7" spans="1:34" ht="30.25" customHeight="1" x14ac:dyDescent="0.35">
      <c r="A7" s="44">
        <v>4</v>
      </c>
      <c r="B7" s="44">
        <v>4</v>
      </c>
      <c r="C7" s="45" t="s">
        <v>67</v>
      </c>
      <c r="D7" s="46" t="s">
        <v>73</v>
      </c>
      <c r="E7" s="45" t="s">
        <v>74</v>
      </c>
      <c r="F7" s="45" t="s">
        <v>20</v>
      </c>
      <c r="G7" s="45" t="s">
        <v>75</v>
      </c>
      <c r="H7" s="45" t="s">
        <v>5</v>
      </c>
      <c r="I7" s="45" t="s">
        <v>6</v>
      </c>
      <c r="J7" s="47">
        <v>1800</v>
      </c>
      <c r="K7" s="27">
        <f>2</f>
        <v>2</v>
      </c>
      <c r="L7" s="127">
        <f t="shared" si="0"/>
        <v>2</v>
      </c>
      <c r="M7" s="127">
        <f t="shared" si="1"/>
        <v>2</v>
      </c>
      <c r="N7" s="128"/>
      <c r="O7" s="129">
        <f t="shared" si="2"/>
        <v>0</v>
      </c>
      <c r="P7" s="128"/>
      <c r="Q7" s="128"/>
      <c r="R7" s="128"/>
      <c r="S7" s="26">
        <f t="shared" si="3"/>
        <v>0</v>
      </c>
      <c r="T7" s="25" t="str">
        <f t="shared" si="4"/>
        <v>OK</v>
      </c>
      <c r="U7" s="140">
        <v>2</v>
      </c>
      <c r="V7" s="139"/>
      <c r="W7" s="22"/>
      <c r="X7" s="22"/>
      <c r="Y7" s="24"/>
      <c r="Z7" s="24"/>
      <c r="AA7" s="24"/>
      <c r="AB7" s="22"/>
      <c r="AC7" s="22"/>
      <c r="AD7" s="22"/>
      <c r="AE7" s="22"/>
      <c r="AF7" s="22"/>
      <c r="AG7" s="22"/>
      <c r="AH7" s="22"/>
    </row>
    <row r="8" spans="1:34" ht="30.25" customHeight="1" x14ac:dyDescent="0.35">
      <c r="A8" s="37">
        <v>5</v>
      </c>
      <c r="B8" s="37">
        <v>5</v>
      </c>
      <c r="C8" s="35" t="s">
        <v>63</v>
      </c>
      <c r="D8" s="34" t="s">
        <v>76</v>
      </c>
      <c r="E8" s="35" t="s">
        <v>77</v>
      </c>
      <c r="F8" s="35" t="s">
        <v>20</v>
      </c>
      <c r="G8" s="35" t="s">
        <v>78</v>
      </c>
      <c r="H8" s="35" t="s">
        <v>5</v>
      </c>
      <c r="I8" s="35" t="s">
        <v>6</v>
      </c>
      <c r="J8" s="36">
        <v>2686</v>
      </c>
      <c r="K8" s="27">
        <f>0</f>
        <v>0</v>
      </c>
      <c r="L8" s="127">
        <f t="shared" si="0"/>
        <v>0</v>
      </c>
      <c r="M8" s="127">
        <f t="shared" si="1"/>
        <v>0</v>
      </c>
      <c r="N8" s="128"/>
      <c r="O8" s="129">
        <f t="shared" si="2"/>
        <v>0</v>
      </c>
      <c r="P8" s="128"/>
      <c r="Q8" s="128"/>
      <c r="R8" s="128"/>
      <c r="S8" s="26">
        <f t="shared" si="3"/>
        <v>0</v>
      </c>
      <c r="T8" s="25" t="str">
        <f t="shared" si="4"/>
        <v>OK</v>
      </c>
      <c r="U8" s="138"/>
      <c r="V8" s="139"/>
      <c r="W8" s="22"/>
      <c r="X8" s="22"/>
      <c r="Y8" s="24"/>
      <c r="Z8" s="24"/>
      <c r="AA8" s="24"/>
      <c r="AB8" s="22"/>
      <c r="AC8" s="22"/>
      <c r="AD8" s="22"/>
      <c r="AE8" s="22"/>
      <c r="AF8" s="22"/>
      <c r="AG8" s="22"/>
      <c r="AH8" s="22"/>
    </row>
    <row r="9" spans="1:34" ht="55.75" customHeight="1" x14ac:dyDescent="0.35">
      <c r="A9" s="80">
        <v>6</v>
      </c>
      <c r="B9" s="80">
        <v>6</v>
      </c>
      <c r="C9" s="81" t="s">
        <v>67</v>
      </c>
      <c r="D9" s="82" t="s">
        <v>79</v>
      </c>
      <c r="E9" s="87" t="s">
        <v>182</v>
      </c>
      <c r="F9" s="81" t="s">
        <v>20</v>
      </c>
      <c r="G9" s="81" t="s">
        <v>21</v>
      </c>
      <c r="H9" s="81" t="s">
        <v>5</v>
      </c>
      <c r="I9" s="81" t="s">
        <v>6</v>
      </c>
      <c r="J9" s="83">
        <v>2821.51</v>
      </c>
      <c r="K9" s="27">
        <f>0</f>
        <v>0</v>
      </c>
      <c r="L9" s="127">
        <f t="shared" si="0"/>
        <v>0</v>
      </c>
      <c r="M9" s="127">
        <f t="shared" si="1"/>
        <v>0</v>
      </c>
      <c r="N9" s="128"/>
      <c r="O9" s="129">
        <f t="shared" si="2"/>
        <v>0</v>
      </c>
      <c r="P9" s="128"/>
      <c r="Q9" s="128"/>
      <c r="R9" s="128"/>
      <c r="S9" s="26">
        <f t="shared" si="3"/>
        <v>0</v>
      </c>
      <c r="T9" s="25" t="str">
        <f t="shared" si="4"/>
        <v>OK</v>
      </c>
      <c r="U9" s="138"/>
      <c r="V9" s="139"/>
      <c r="W9" s="22"/>
      <c r="X9" s="22"/>
      <c r="Y9" s="24"/>
      <c r="Z9" s="24"/>
      <c r="AA9" s="24"/>
      <c r="AB9" s="22"/>
      <c r="AC9" s="22"/>
      <c r="AD9" s="22"/>
      <c r="AE9" s="22"/>
      <c r="AF9" s="22"/>
      <c r="AG9" s="22"/>
      <c r="AH9" s="22"/>
    </row>
    <row r="10" spans="1:34" ht="30.25" customHeight="1" x14ac:dyDescent="0.35">
      <c r="A10" s="37">
        <v>7</v>
      </c>
      <c r="B10" s="37">
        <v>7</v>
      </c>
      <c r="C10" s="35" t="s">
        <v>63</v>
      </c>
      <c r="D10" s="34" t="s">
        <v>80</v>
      </c>
      <c r="E10" s="35" t="s">
        <v>81</v>
      </c>
      <c r="F10" s="35" t="s">
        <v>20</v>
      </c>
      <c r="G10" s="35" t="s">
        <v>21</v>
      </c>
      <c r="H10" s="35" t="s">
        <v>5</v>
      </c>
      <c r="I10" s="35" t="s">
        <v>6</v>
      </c>
      <c r="J10" s="36">
        <v>7446</v>
      </c>
      <c r="K10" s="27">
        <f>0</f>
        <v>0</v>
      </c>
      <c r="L10" s="127">
        <f t="shared" si="0"/>
        <v>0</v>
      </c>
      <c r="M10" s="127">
        <f t="shared" si="1"/>
        <v>0</v>
      </c>
      <c r="N10" s="128"/>
      <c r="O10" s="129">
        <f t="shared" si="2"/>
        <v>0</v>
      </c>
      <c r="P10" s="128"/>
      <c r="Q10" s="128"/>
      <c r="R10" s="128"/>
      <c r="S10" s="26">
        <f t="shared" si="3"/>
        <v>0</v>
      </c>
      <c r="T10" s="25" t="str">
        <f t="shared" si="4"/>
        <v>OK</v>
      </c>
      <c r="U10" s="138"/>
      <c r="V10" s="139"/>
      <c r="W10" s="22"/>
      <c r="X10" s="22"/>
      <c r="Y10" s="24"/>
      <c r="Z10" s="24"/>
      <c r="AA10" s="24"/>
      <c r="AB10" s="22"/>
      <c r="AC10" s="22"/>
      <c r="AD10" s="22"/>
      <c r="AE10" s="22"/>
      <c r="AF10" s="22"/>
      <c r="AG10" s="22"/>
      <c r="AH10" s="22"/>
    </row>
    <row r="11" spans="1:34" ht="30.25" customHeight="1" x14ac:dyDescent="0.35">
      <c r="A11" s="44">
        <v>8</v>
      </c>
      <c r="B11" s="44">
        <v>8</v>
      </c>
      <c r="C11" s="45" t="s">
        <v>63</v>
      </c>
      <c r="D11" s="46" t="s">
        <v>82</v>
      </c>
      <c r="E11" s="45" t="s">
        <v>81</v>
      </c>
      <c r="F11" s="45" t="s">
        <v>20</v>
      </c>
      <c r="G11" s="45" t="s">
        <v>21</v>
      </c>
      <c r="H11" s="45" t="s">
        <v>5</v>
      </c>
      <c r="I11" s="45" t="s">
        <v>6</v>
      </c>
      <c r="J11" s="47">
        <v>7375</v>
      </c>
      <c r="K11" s="27">
        <f>0</f>
        <v>0</v>
      </c>
      <c r="L11" s="127">
        <f t="shared" si="0"/>
        <v>0</v>
      </c>
      <c r="M11" s="127">
        <f t="shared" si="1"/>
        <v>0</v>
      </c>
      <c r="N11" s="128"/>
      <c r="O11" s="129">
        <f t="shared" si="2"/>
        <v>0</v>
      </c>
      <c r="P11" s="128"/>
      <c r="Q11" s="128"/>
      <c r="R11" s="128"/>
      <c r="S11" s="26">
        <f t="shared" si="3"/>
        <v>0</v>
      </c>
      <c r="T11" s="25" t="str">
        <f t="shared" si="4"/>
        <v>OK</v>
      </c>
      <c r="U11" s="138"/>
      <c r="V11" s="139"/>
      <c r="W11" s="22"/>
      <c r="X11" s="22"/>
      <c r="Y11" s="24"/>
      <c r="Z11" s="24"/>
      <c r="AA11" s="24"/>
      <c r="AB11" s="22"/>
      <c r="AC11" s="22"/>
      <c r="AD11" s="22"/>
      <c r="AE11" s="22"/>
      <c r="AF11" s="22"/>
      <c r="AG11" s="22"/>
      <c r="AH11" s="22"/>
    </row>
    <row r="12" spans="1:34" ht="30.25" customHeight="1" x14ac:dyDescent="0.35">
      <c r="A12" s="37">
        <v>9</v>
      </c>
      <c r="B12" s="37">
        <v>9</v>
      </c>
      <c r="C12" s="35" t="s">
        <v>83</v>
      </c>
      <c r="D12" s="34" t="s">
        <v>84</v>
      </c>
      <c r="E12" s="35" t="s">
        <v>85</v>
      </c>
      <c r="F12" s="35" t="s">
        <v>20</v>
      </c>
      <c r="G12" s="35" t="s">
        <v>22</v>
      </c>
      <c r="H12" s="35" t="s">
        <v>5</v>
      </c>
      <c r="I12" s="35" t="s">
        <v>6</v>
      </c>
      <c r="J12" s="36">
        <v>6213.51</v>
      </c>
      <c r="K12" s="27">
        <f>0</f>
        <v>0</v>
      </c>
      <c r="L12" s="127">
        <f t="shared" si="0"/>
        <v>0</v>
      </c>
      <c r="M12" s="127">
        <f t="shared" si="1"/>
        <v>0</v>
      </c>
      <c r="N12" s="128"/>
      <c r="O12" s="129">
        <f t="shared" si="2"/>
        <v>0</v>
      </c>
      <c r="P12" s="128"/>
      <c r="Q12" s="128"/>
      <c r="R12" s="128"/>
      <c r="S12" s="26">
        <f t="shared" si="3"/>
        <v>0</v>
      </c>
      <c r="T12" s="25" t="str">
        <f t="shared" si="4"/>
        <v>OK</v>
      </c>
      <c r="U12" s="138"/>
      <c r="V12" s="139"/>
      <c r="W12" s="22"/>
      <c r="X12" s="22"/>
      <c r="Y12" s="28"/>
      <c r="Z12" s="24"/>
      <c r="AA12" s="24"/>
      <c r="AB12" s="22"/>
      <c r="AC12" s="22"/>
      <c r="AD12" s="22"/>
      <c r="AE12" s="22"/>
      <c r="AF12" s="22"/>
      <c r="AG12" s="22"/>
      <c r="AH12" s="22"/>
    </row>
    <row r="13" spans="1:34" ht="30.25" customHeight="1" x14ac:dyDescent="0.35">
      <c r="A13" s="44">
        <v>10</v>
      </c>
      <c r="B13" s="44">
        <v>10</v>
      </c>
      <c r="C13" s="45" t="s">
        <v>63</v>
      </c>
      <c r="D13" s="46" t="s">
        <v>86</v>
      </c>
      <c r="E13" s="45" t="s">
        <v>87</v>
      </c>
      <c r="F13" s="45" t="s">
        <v>20</v>
      </c>
      <c r="G13" s="45" t="s">
        <v>22</v>
      </c>
      <c r="H13" s="45" t="s">
        <v>5</v>
      </c>
      <c r="I13" s="45" t="s">
        <v>6</v>
      </c>
      <c r="J13" s="47">
        <v>6689.61</v>
      </c>
      <c r="K13" s="27">
        <f>0</f>
        <v>0</v>
      </c>
      <c r="L13" s="127">
        <f t="shared" si="0"/>
        <v>0</v>
      </c>
      <c r="M13" s="127">
        <f t="shared" si="1"/>
        <v>0</v>
      </c>
      <c r="N13" s="128"/>
      <c r="O13" s="129">
        <f t="shared" si="2"/>
        <v>0</v>
      </c>
      <c r="P13" s="128"/>
      <c r="Q13" s="128"/>
      <c r="R13" s="128"/>
      <c r="S13" s="26">
        <f t="shared" si="3"/>
        <v>0</v>
      </c>
      <c r="T13" s="25" t="str">
        <f t="shared" si="4"/>
        <v>OK</v>
      </c>
      <c r="U13" s="138"/>
      <c r="V13" s="139"/>
      <c r="W13" s="22"/>
      <c r="X13" s="22"/>
      <c r="Y13" s="24"/>
      <c r="Z13" s="24"/>
      <c r="AA13" s="24"/>
      <c r="AB13" s="22"/>
      <c r="AC13" s="22"/>
      <c r="AD13" s="22"/>
      <c r="AE13" s="22"/>
      <c r="AF13" s="22"/>
      <c r="AG13" s="22"/>
      <c r="AH13" s="22"/>
    </row>
    <row r="14" spans="1:34" ht="30.25" customHeight="1" x14ac:dyDescent="0.35">
      <c r="A14" s="84">
        <v>11</v>
      </c>
      <c r="B14" s="84">
        <v>11</v>
      </c>
      <c r="C14" s="59" t="s">
        <v>83</v>
      </c>
      <c r="D14" s="85" t="s">
        <v>88</v>
      </c>
      <c r="E14" s="59" t="s">
        <v>89</v>
      </c>
      <c r="F14" s="84" t="s">
        <v>20</v>
      </c>
      <c r="G14" s="59" t="s">
        <v>22</v>
      </c>
      <c r="H14" s="84" t="s">
        <v>5</v>
      </c>
      <c r="I14" s="59" t="s">
        <v>6</v>
      </c>
      <c r="J14" s="86">
        <v>3445.06</v>
      </c>
      <c r="K14" s="27">
        <f>8</f>
        <v>8</v>
      </c>
      <c r="L14" s="127">
        <f t="shared" si="0"/>
        <v>1</v>
      </c>
      <c r="M14" s="127">
        <f t="shared" si="1"/>
        <v>1</v>
      </c>
      <c r="N14" s="128">
        <f>-3-1-3</f>
        <v>-7</v>
      </c>
      <c r="O14" s="129">
        <f t="shared" si="2"/>
        <v>2</v>
      </c>
      <c r="P14" s="128"/>
      <c r="Q14" s="128"/>
      <c r="R14" s="128"/>
      <c r="S14" s="26">
        <f t="shared" si="3"/>
        <v>0</v>
      </c>
      <c r="T14" s="25" t="str">
        <f t="shared" si="4"/>
        <v>OK</v>
      </c>
      <c r="U14" s="142"/>
      <c r="V14" s="141">
        <v>1</v>
      </c>
      <c r="W14" s="22"/>
      <c r="X14" s="22"/>
      <c r="Y14" s="24"/>
      <c r="Z14" s="24"/>
      <c r="AA14" s="24"/>
      <c r="AB14" s="22"/>
      <c r="AC14" s="22"/>
      <c r="AD14" s="22"/>
      <c r="AE14" s="22"/>
      <c r="AF14" s="22"/>
      <c r="AG14" s="22"/>
      <c r="AH14" s="22"/>
    </row>
    <row r="15" spans="1:34" ht="30.25" customHeight="1" x14ac:dyDescent="0.35">
      <c r="A15" s="44">
        <v>12</v>
      </c>
      <c r="B15" s="44">
        <v>12</v>
      </c>
      <c r="C15" s="45" t="s">
        <v>83</v>
      </c>
      <c r="D15" s="46" t="s">
        <v>90</v>
      </c>
      <c r="E15" s="45" t="s">
        <v>91</v>
      </c>
      <c r="F15" s="44" t="s">
        <v>20</v>
      </c>
      <c r="G15" s="44" t="s">
        <v>22</v>
      </c>
      <c r="H15" s="44" t="s">
        <v>5</v>
      </c>
      <c r="I15" s="45" t="s">
        <v>6</v>
      </c>
      <c r="J15" s="47">
        <v>3617.48</v>
      </c>
      <c r="K15" s="27">
        <f>0</f>
        <v>0</v>
      </c>
      <c r="L15" s="127">
        <f t="shared" si="0"/>
        <v>7</v>
      </c>
      <c r="M15" s="127">
        <f t="shared" si="1"/>
        <v>7</v>
      </c>
      <c r="N15" s="128">
        <f>3+1+3</f>
        <v>7</v>
      </c>
      <c r="O15" s="129">
        <f t="shared" si="2"/>
        <v>0</v>
      </c>
      <c r="P15" s="128"/>
      <c r="Q15" s="128"/>
      <c r="R15" s="128"/>
      <c r="S15" s="26">
        <f t="shared" si="3"/>
        <v>0</v>
      </c>
      <c r="T15" s="25" t="str">
        <f t="shared" si="4"/>
        <v>OK</v>
      </c>
      <c r="U15" s="138"/>
      <c r="V15" s="141">
        <v>7</v>
      </c>
      <c r="W15" s="22"/>
      <c r="X15" s="22"/>
      <c r="Y15" s="24"/>
      <c r="Z15" s="24"/>
      <c r="AA15" s="24"/>
      <c r="AB15" s="22"/>
      <c r="AC15" s="22"/>
      <c r="AD15" s="22"/>
      <c r="AE15" s="22"/>
      <c r="AF15" s="22"/>
      <c r="AG15" s="22"/>
      <c r="AH15" s="22"/>
    </row>
    <row r="16" spans="1:34" ht="30.25" customHeight="1" x14ac:dyDescent="0.35">
      <c r="A16" s="37">
        <v>13</v>
      </c>
      <c r="B16" s="37">
        <v>13</v>
      </c>
      <c r="C16" s="35" t="s">
        <v>92</v>
      </c>
      <c r="D16" s="34" t="s">
        <v>93</v>
      </c>
      <c r="E16" s="35" t="s">
        <v>94</v>
      </c>
      <c r="F16" s="37" t="s">
        <v>20</v>
      </c>
      <c r="G16" s="37" t="s">
        <v>22</v>
      </c>
      <c r="H16" s="37" t="s">
        <v>5</v>
      </c>
      <c r="I16" s="35" t="s">
        <v>6</v>
      </c>
      <c r="J16" s="36">
        <v>7453.33</v>
      </c>
      <c r="K16" s="27">
        <f>0</f>
        <v>0</v>
      </c>
      <c r="L16" s="127">
        <f t="shared" si="0"/>
        <v>0</v>
      </c>
      <c r="M16" s="127">
        <f t="shared" si="1"/>
        <v>0</v>
      </c>
      <c r="N16" s="128"/>
      <c r="O16" s="129">
        <f t="shared" si="2"/>
        <v>0</v>
      </c>
      <c r="P16" s="128"/>
      <c r="Q16" s="128"/>
      <c r="R16" s="128"/>
      <c r="S16" s="26">
        <f t="shared" si="3"/>
        <v>0</v>
      </c>
      <c r="T16" s="25" t="str">
        <f t="shared" si="4"/>
        <v>OK</v>
      </c>
      <c r="U16" s="138"/>
      <c r="V16" s="139"/>
      <c r="W16" s="22"/>
      <c r="X16" s="22"/>
      <c r="Y16" s="24"/>
      <c r="Z16" s="24"/>
      <c r="AA16" s="24"/>
      <c r="AB16" s="22"/>
      <c r="AC16" s="22"/>
      <c r="AD16" s="22"/>
      <c r="AE16" s="22"/>
      <c r="AF16" s="22"/>
      <c r="AG16" s="22"/>
      <c r="AH16" s="22"/>
    </row>
    <row r="17" spans="1:34" ht="30.25" customHeight="1" x14ac:dyDescent="0.35">
      <c r="A17" s="44">
        <v>14</v>
      </c>
      <c r="B17" s="44">
        <v>14</v>
      </c>
      <c r="C17" s="45" t="s">
        <v>92</v>
      </c>
      <c r="D17" s="46" t="s">
        <v>95</v>
      </c>
      <c r="E17" s="45" t="s">
        <v>94</v>
      </c>
      <c r="F17" s="45" t="s">
        <v>20</v>
      </c>
      <c r="G17" s="45" t="s">
        <v>22</v>
      </c>
      <c r="H17" s="45" t="s">
        <v>5</v>
      </c>
      <c r="I17" s="45" t="s">
        <v>6</v>
      </c>
      <c r="J17" s="47">
        <v>9561.2000000000007</v>
      </c>
      <c r="K17" s="27">
        <f>0</f>
        <v>0</v>
      </c>
      <c r="L17" s="127">
        <f t="shared" si="0"/>
        <v>0</v>
      </c>
      <c r="M17" s="127">
        <f t="shared" si="1"/>
        <v>0</v>
      </c>
      <c r="N17" s="128"/>
      <c r="O17" s="129">
        <f t="shared" si="2"/>
        <v>0</v>
      </c>
      <c r="P17" s="128"/>
      <c r="Q17" s="128"/>
      <c r="R17" s="128"/>
      <c r="S17" s="26">
        <f t="shared" si="3"/>
        <v>0</v>
      </c>
      <c r="T17" s="25" t="str">
        <f t="shared" si="4"/>
        <v>OK</v>
      </c>
      <c r="U17" s="138"/>
      <c r="V17" s="139"/>
      <c r="W17" s="22"/>
      <c r="X17" s="22"/>
      <c r="Y17" s="24"/>
      <c r="Z17" s="24"/>
      <c r="AA17" s="24"/>
      <c r="AB17" s="22"/>
      <c r="AC17" s="22"/>
      <c r="AD17" s="22"/>
      <c r="AE17" s="22"/>
      <c r="AF17" s="22"/>
      <c r="AG17" s="22"/>
      <c r="AH17" s="22"/>
    </row>
    <row r="18" spans="1:34" ht="30.25" customHeight="1" x14ac:dyDescent="0.35">
      <c r="A18" s="37">
        <v>15</v>
      </c>
      <c r="B18" s="37">
        <v>15</v>
      </c>
      <c r="C18" s="35" t="s">
        <v>63</v>
      </c>
      <c r="D18" s="34" t="s">
        <v>96</v>
      </c>
      <c r="E18" s="35" t="s">
        <v>97</v>
      </c>
      <c r="F18" s="35" t="s">
        <v>20</v>
      </c>
      <c r="G18" s="35" t="s">
        <v>31</v>
      </c>
      <c r="H18" s="35" t="s">
        <v>5</v>
      </c>
      <c r="I18" s="35" t="s">
        <v>6</v>
      </c>
      <c r="J18" s="36">
        <v>7598</v>
      </c>
      <c r="K18" s="27">
        <f>0</f>
        <v>0</v>
      </c>
      <c r="L18" s="127">
        <f t="shared" si="0"/>
        <v>0</v>
      </c>
      <c r="M18" s="127">
        <f t="shared" si="1"/>
        <v>0</v>
      </c>
      <c r="N18" s="128"/>
      <c r="O18" s="129">
        <f t="shared" si="2"/>
        <v>0</v>
      </c>
      <c r="P18" s="128"/>
      <c r="Q18" s="128"/>
      <c r="R18" s="128"/>
      <c r="S18" s="26">
        <f t="shared" si="3"/>
        <v>0</v>
      </c>
      <c r="T18" s="25" t="str">
        <f t="shared" si="4"/>
        <v>OK</v>
      </c>
      <c r="U18" s="138"/>
      <c r="V18" s="139"/>
      <c r="W18" s="22"/>
      <c r="X18" s="22"/>
      <c r="Y18" s="24"/>
      <c r="Z18" s="24"/>
      <c r="AA18" s="24"/>
      <c r="AB18" s="22"/>
      <c r="AC18" s="22"/>
      <c r="AD18" s="22"/>
      <c r="AE18" s="22"/>
      <c r="AF18" s="22"/>
      <c r="AG18" s="22"/>
      <c r="AH18" s="22"/>
    </row>
    <row r="19" spans="1:34" ht="30.25" customHeight="1" x14ac:dyDescent="0.35">
      <c r="A19" s="44">
        <v>16</v>
      </c>
      <c r="B19" s="44">
        <v>16</v>
      </c>
      <c r="C19" s="45" t="s">
        <v>83</v>
      </c>
      <c r="D19" s="46" t="s">
        <v>98</v>
      </c>
      <c r="E19" s="45" t="s">
        <v>99</v>
      </c>
      <c r="F19" s="45" t="s">
        <v>20</v>
      </c>
      <c r="G19" s="45" t="s">
        <v>100</v>
      </c>
      <c r="H19" s="45" t="s">
        <v>5</v>
      </c>
      <c r="I19" s="45" t="s">
        <v>6</v>
      </c>
      <c r="J19" s="47">
        <v>4540.34</v>
      </c>
      <c r="K19" s="27">
        <f>0</f>
        <v>0</v>
      </c>
      <c r="L19" s="127">
        <f t="shared" si="0"/>
        <v>0</v>
      </c>
      <c r="M19" s="127">
        <f t="shared" si="1"/>
        <v>0</v>
      </c>
      <c r="N19" s="128"/>
      <c r="O19" s="129">
        <f t="shared" si="2"/>
        <v>0</v>
      </c>
      <c r="P19" s="128"/>
      <c r="Q19" s="128"/>
      <c r="R19" s="128"/>
      <c r="S19" s="26">
        <f t="shared" si="3"/>
        <v>0</v>
      </c>
      <c r="T19" s="25" t="str">
        <f t="shared" si="4"/>
        <v>OK</v>
      </c>
      <c r="U19" s="138"/>
      <c r="V19" s="139"/>
      <c r="W19" s="22"/>
      <c r="X19" s="22"/>
      <c r="Y19" s="24"/>
      <c r="Z19" s="24"/>
      <c r="AA19" s="24"/>
      <c r="AB19" s="22"/>
      <c r="AC19" s="22"/>
      <c r="AD19" s="22"/>
      <c r="AE19" s="22"/>
      <c r="AF19" s="22"/>
      <c r="AG19" s="22"/>
      <c r="AH19" s="22"/>
    </row>
    <row r="20" spans="1:34" ht="30.25" customHeight="1" x14ac:dyDescent="0.35">
      <c r="A20" s="37">
        <v>17</v>
      </c>
      <c r="B20" s="37">
        <v>17</v>
      </c>
      <c r="C20" s="35" t="s">
        <v>63</v>
      </c>
      <c r="D20" s="38" t="s">
        <v>101</v>
      </c>
      <c r="E20" s="39" t="s">
        <v>102</v>
      </c>
      <c r="F20" s="40" t="s">
        <v>20</v>
      </c>
      <c r="G20" s="40" t="s">
        <v>103</v>
      </c>
      <c r="H20" s="40" t="s">
        <v>5</v>
      </c>
      <c r="I20" s="40" t="s">
        <v>6</v>
      </c>
      <c r="J20" s="36">
        <v>7499</v>
      </c>
      <c r="K20" s="27">
        <f>0</f>
        <v>0</v>
      </c>
      <c r="L20" s="127">
        <f t="shared" si="0"/>
        <v>0</v>
      </c>
      <c r="M20" s="127">
        <f t="shared" si="1"/>
        <v>0</v>
      </c>
      <c r="N20" s="128"/>
      <c r="O20" s="129">
        <f t="shared" si="2"/>
        <v>0</v>
      </c>
      <c r="P20" s="128"/>
      <c r="Q20" s="128"/>
      <c r="R20" s="128"/>
      <c r="S20" s="26">
        <f t="shared" si="3"/>
        <v>0</v>
      </c>
      <c r="T20" s="25" t="str">
        <f t="shared" si="4"/>
        <v>OK</v>
      </c>
      <c r="U20" s="138"/>
      <c r="V20" s="139"/>
      <c r="W20" s="22"/>
      <c r="X20" s="22"/>
      <c r="Y20" s="24"/>
      <c r="Z20" s="24"/>
      <c r="AA20" s="24"/>
      <c r="AB20" s="22"/>
      <c r="AC20" s="22"/>
      <c r="AD20" s="22"/>
      <c r="AE20" s="22"/>
      <c r="AF20" s="22"/>
      <c r="AG20" s="22"/>
      <c r="AH20" s="22"/>
    </row>
    <row r="21" spans="1:34" ht="30.25" customHeight="1" x14ac:dyDescent="0.35">
      <c r="A21" s="44">
        <v>18</v>
      </c>
      <c r="B21" s="44">
        <v>18</v>
      </c>
      <c r="C21" s="45" t="s">
        <v>104</v>
      </c>
      <c r="D21" s="46" t="s">
        <v>105</v>
      </c>
      <c r="E21" s="48" t="s">
        <v>106</v>
      </c>
      <c r="F21" s="49" t="s">
        <v>20</v>
      </c>
      <c r="G21" s="44" t="s">
        <v>107</v>
      </c>
      <c r="H21" s="44" t="s">
        <v>5</v>
      </c>
      <c r="I21" s="44" t="s">
        <v>6</v>
      </c>
      <c r="J21" s="47">
        <v>9553.2000000000007</v>
      </c>
      <c r="K21" s="27">
        <f>0</f>
        <v>0</v>
      </c>
      <c r="L21" s="127">
        <f t="shared" si="0"/>
        <v>0</v>
      </c>
      <c r="M21" s="127">
        <f t="shared" si="1"/>
        <v>0</v>
      </c>
      <c r="N21" s="128"/>
      <c r="O21" s="129">
        <f t="shared" si="2"/>
        <v>0</v>
      </c>
      <c r="P21" s="128"/>
      <c r="Q21" s="128"/>
      <c r="R21" s="128"/>
      <c r="S21" s="26">
        <f t="shared" si="3"/>
        <v>0</v>
      </c>
      <c r="T21" s="25" t="str">
        <f t="shared" si="4"/>
        <v>OK</v>
      </c>
      <c r="U21" s="138"/>
      <c r="V21" s="139"/>
      <c r="W21" s="22"/>
      <c r="X21" s="22"/>
      <c r="Y21" s="24"/>
      <c r="Z21" s="24"/>
      <c r="AA21" s="24"/>
      <c r="AB21" s="22"/>
      <c r="AC21" s="22"/>
      <c r="AD21" s="22"/>
      <c r="AE21" s="22"/>
      <c r="AF21" s="22"/>
      <c r="AG21" s="22"/>
      <c r="AH21" s="22"/>
    </row>
    <row r="22" spans="1:34" ht="30.25" customHeight="1" x14ac:dyDescent="0.35">
      <c r="A22" s="37">
        <v>19</v>
      </c>
      <c r="B22" s="37">
        <v>19</v>
      </c>
      <c r="C22" s="35" t="s">
        <v>63</v>
      </c>
      <c r="D22" s="34" t="s">
        <v>108</v>
      </c>
      <c r="E22" s="41" t="s">
        <v>109</v>
      </c>
      <c r="F22" s="43" t="s">
        <v>20</v>
      </c>
      <c r="G22" s="37" t="s">
        <v>107</v>
      </c>
      <c r="H22" s="37" t="s">
        <v>5</v>
      </c>
      <c r="I22" s="37" t="s">
        <v>6</v>
      </c>
      <c r="J22" s="36">
        <v>8608</v>
      </c>
      <c r="K22" s="27">
        <f>0</f>
        <v>0</v>
      </c>
      <c r="L22" s="127">
        <f t="shared" si="0"/>
        <v>0</v>
      </c>
      <c r="M22" s="127">
        <f t="shared" si="1"/>
        <v>0</v>
      </c>
      <c r="N22" s="128"/>
      <c r="O22" s="129">
        <f t="shared" si="2"/>
        <v>0</v>
      </c>
      <c r="P22" s="128"/>
      <c r="Q22" s="128"/>
      <c r="R22" s="128"/>
      <c r="S22" s="26">
        <f t="shared" si="3"/>
        <v>0</v>
      </c>
      <c r="T22" s="25" t="str">
        <f t="shared" si="4"/>
        <v>OK</v>
      </c>
      <c r="U22" s="138"/>
      <c r="V22" s="139"/>
      <c r="W22" s="22"/>
      <c r="X22" s="29"/>
      <c r="Y22" s="24"/>
      <c r="Z22" s="24"/>
      <c r="AA22" s="24"/>
      <c r="AB22" s="22"/>
      <c r="AC22" s="22"/>
      <c r="AD22" s="22"/>
      <c r="AE22" s="22"/>
      <c r="AF22" s="22"/>
      <c r="AG22" s="22"/>
      <c r="AH22" s="22"/>
    </row>
    <row r="23" spans="1:34" ht="30.25" customHeight="1" x14ac:dyDescent="0.35">
      <c r="A23" s="44">
        <v>20</v>
      </c>
      <c r="B23" s="44">
        <v>20</v>
      </c>
      <c r="C23" s="45" t="s">
        <v>63</v>
      </c>
      <c r="D23" s="46" t="s">
        <v>110</v>
      </c>
      <c r="E23" s="48" t="s">
        <v>111</v>
      </c>
      <c r="F23" s="50" t="s">
        <v>20</v>
      </c>
      <c r="G23" s="44" t="s">
        <v>112</v>
      </c>
      <c r="H23" s="44" t="s">
        <v>5</v>
      </c>
      <c r="I23" s="44" t="s">
        <v>6</v>
      </c>
      <c r="J23" s="47">
        <v>10488</v>
      </c>
      <c r="K23" s="27">
        <f>0</f>
        <v>0</v>
      </c>
      <c r="L23" s="127">
        <f t="shared" si="0"/>
        <v>0</v>
      </c>
      <c r="M23" s="127">
        <f t="shared" si="1"/>
        <v>0</v>
      </c>
      <c r="N23" s="128"/>
      <c r="O23" s="129">
        <f t="shared" si="2"/>
        <v>0</v>
      </c>
      <c r="P23" s="128"/>
      <c r="Q23" s="128"/>
      <c r="R23" s="128"/>
      <c r="S23" s="26">
        <f t="shared" si="3"/>
        <v>0</v>
      </c>
      <c r="T23" s="25" t="str">
        <f t="shared" si="4"/>
        <v>OK</v>
      </c>
      <c r="U23" s="138"/>
      <c r="V23" s="139"/>
      <c r="W23" s="22"/>
      <c r="X23" s="29"/>
      <c r="Y23" s="24"/>
      <c r="Z23" s="24"/>
      <c r="AA23" s="24"/>
      <c r="AB23" s="22"/>
      <c r="AC23" s="22"/>
      <c r="AD23" s="22"/>
      <c r="AE23" s="22"/>
      <c r="AF23" s="22"/>
      <c r="AG23" s="22"/>
      <c r="AH23" s="22"/>
    </row>
    <row r="24" spans="1:34" ht="30.25" customHeight="1" x14ac:dyDescent="0.35">
      <c r="A24" s="37">
        <v>21</v>
      </c>
      <c r="B24" s="37">
        <v>21</v>
      </c>
      <c r="C24" s="35" t="s">
        <v>63</v>
      </c>
      <c r="D24" s="34" t="s">
        <v>113</v>
      </c>
      <c r="E24" s="41" t="s">
        <v>114</v>
      </c>
      <c r="F24" s="43" t="s">
        <v>20</v>
      </c>
      <c r="G24" s="37" t="s">
        <v>115</v>
      </c>
      <c r="H24" s="37" t="s">
        <v>5</v>
      </c>
      <c r="I24" s="37" t="s">
        <v>6</v>
      </c>
      <c r="J24" s="36">
        <v>10968</v>
      </c>
      <c r="K24" s="27">
        <f>0</f>
        <v>0</v>
      </c>
      <c r="L24" s="127">
        <f t="shared" si="0"/>
        <v>0</v>
      </c>
      <c r="M24" s="127">
        <f t="shared" si="1"/>
        <v>0</v>
      </c>
      <c r="N24" s="128"/>
      <c r="O24" s="129">
        <f t="shared" si="2"/>
        <v>0</v>
      </c>
      <c r="P24" s="128"/>
      <c r="Q24" s="128"/>
      <c r="R24" s="128"/>
      <c r="S24" s="26">
        <f t="shared" si="3"/>
        <v>0</v>
      </c>
      <c r="T24" s="25" t="str">
        <f t="shared" si="4"/>
        <v>OK</v>
      </c>
      <c r="U24" s="138"/>
      <c r="V24" s="139"/>
      <c r="W24" s="22"/>
      <c r="X24" s="29"/>
      <c r="Y24" s="24"/>
      <c r="Z24" s="24"/>
      <c r="AA24" s="24"/>
      <c r="AB24" s="22"/>
      <c r="AC24" s="22"/>
      <c r="AD24" s="22"/>
      <c r="AE24" s="22"/>
      <c r="AF24" s="22"/>
      <c r="AG24" s="22"/>
      <c r="AH24" s="22"/>
    </row>
    <row r="25" spans="1:34" ht="30.25" customHeight="1" x14ac:dyDescent="0.35">
      <c r="A25" s="44">
        <v>22</v>
      </c>
      <c r="B25" s="44">
        <v>22</v>
      </c>
      <c r="C25" s="45" t="s">
        <v>32</v>
      </c>
      <c r="D25" s="46" t="s">
        <v>116</v>
      </c>
      <c r="E25" s="48" t="s">
        <v>117</v>
      </c>
      <c r="F25" s="50" t="s">
        <v>20</v>
      </c>
      <c r="G25" s="44" t="s">
        <v>118</v>
      </c>
      <c r="H25" s="44" t="s">
        <v>5</v>
      </c>
      <c r="I25" s="44" t="s">
        <v>6</v>
      </c>
      <c r="J25" s="47">
        <v>13446</v>
      </c>
      <c r="K25" s="27">
        <f>0</f>
        <v>0</v>
      </c>
      <c r="L25" s="127">
        <f t="shared" si="0"/>
        <v>0</v>
      </c>
      <c r="M25" s="127">
        <f t="shared" si="1"/>
        <v>0</v>
      </c>
      <c r="N25" s="128"/>
      <c r="O25" s="129">
        <f t="shared" si="2"/>
        <v>0</v>
      </c>
      <c r="P25" s="128"/>
      <c r="Q25" s="128"/>
      <c r="R25" s="128"/>
      <c r="S25" s="26">
        <f t="shared" si="3"/>
        <v>0</v>
      </c>
      <c r="T25" s="25" t="str">
        <f t="shared" si="4"/>
        <v>OK</v>
      </c>
      <c r="U25" s="138"/>
      <c r="V25" s="139"/>
      <c r="W25" s="22"/>
      <c r="X25" s="29"/>
      <c r="Y25" s="24"/>
      <c r="Z25" s="24"/>
      <c r="AA25" s="24"/>
      <c r="AB25" s="22"/>
      <c r="AC25" s="22"/>
      <c r="AD25" s="22"/>
      <c r="AE25" s="22"/>
      <c r="AF25" s="22"/>
      <c r="AG25" s="22"/>
      <c r="AH25" s="22"/>
    </row>
    <row r="26" spans="1:34" ht="30.25" customHeight="1" x14ac:dyDescent="0.35">
      <c r="A26" s="37">
        <v>23</v>
      </c>
      <c r="B26" s="37">
        <v>23</v>
      </c>
      <c r="C26" s="35" t="s">
        <v>119</v>
      </c>
      <c r="D26" s="34" t="s">
        <v>120</v>
      </c>
      <c r="E26" s="41" t="s">
        <v>121</v>
      </c>
      <c r="F26" s="43" t="s">
        <v>20</v>
      </c>
      <c r="G26" s="37" t="s">
        <v>115</v>
      </c>
      <c r="H26" s="37" t="s">
        <v>5</v>
      </c>
      <c r="I26" s="37" t="s">
        <v>6</v>
      </c>
      <c r="J26" s="36">
        <v>11764.7</v>
      </c>
      <c r="K26" s="27">
        <f>0</f>
        <v>0</v>
      </c>
      <c r="L26" s="127">
        <f t="shared" si="0"/>
        <v>0</v>
      </c>
      <c r="M26" s="127">
        <f t="shared" si="1"/>
        <v>0</v>
      </c>
      <c r="N26" s="128"/>
      <c r="O26" s="129">
        <f t="shared" si="2"/>
        <v>0</v>
      </c>
      <c r="P26" s="128"/>
      <c r="Q26" s="128"/>
      <c r="R26" s="128"/>
      <c r="S26" s="26">
        <f t="shared" si="3"/>
        <v>0</v>
      </c>
      <c r="T26" s="25" t="str">
        <f t="shared" si="4"/>
        <v>OK</v>
      </c>
      <c r="U26" s="138"/>
      <c r="V26" s="139"/>
      <c r="W26" s="22"/>
      <c r="X26" s="29"/>
      <c r="Y26" s="24"/>
      <c r="Z26" s="24"/>
      <c r="AA26" s="24"/>
      <c r="AB26" s="22"/>
      <c r="AC26" s="22"/>
      <c r="AD26" s="22"/>
      <c r="AE26" s="22"/>
      <c r="AF26" s="22"/>
      <c r="AG26" s="22"/>
      <c r="AH26" s="22"/>
    </row>
    <row r="27" spans="1:34" ht="30.25" customHeight="1" x14ac:dyDescent="0.35">
      <c r="A27" s="44">
        <v>24</v>
      </c>
      <c r="B27" s="44">
        <v>24</v>
      </c>
      <c r="C27" s="45" t="s">
        <v>32</v>
      </c>
      <c r="D27" s="46" t="s">
        <v>122</v>
      </c>
      <c r="E27" s="48" t="s">
        <v>123</v>
      </c>
      <c r="F27" s="50" t="s">
        <v>20</v>
      </c>
      <c r="G27" s="44" t="s">
        <v>124</v>
      </c>
      <c r="H27" s="44" t="s">
        <v>60</v>
      </c>
      <c r="I27" s="44" t="s">
        <v>6</v>
      </c>
      <c r="J27" s="47">
        <v>13333.33</v>
      </c>
      <c r="K27" s="27">
        <f>0</f>
        <v>0</v>
      </c>
      <c r="L27" s="127">
        <f t="shared" si="0"/>
        <v>0</v>
      </c>
      <c r="M27" s="127">
        <f t="shared" si="1"/>
        <v>0</v>
      </c>
      <c r="N27" s="128"/>
      <c r="O27" s="129">
        <f t="shared" si="2"/>
        <v>0</v>
      </c>
      <c r="P27" s="128"/>
      <c r="Q27" s="128"/>
      <c r="R27" s="128"/>
      <c r="S27" s="26">
        <f t="shared" si="3"/>
        <v>0</v>
      </c>
      <c r="T27" s="25" t="str">
        <f t="shared" si="4"/>
        <v>OK</v>
      </c>
      <c r="U27" s="138"/>
      <c r="V27" s="139"/>
      <c r="W27" s="22"/>
      <c r="X27" s="29"/>
      <c r="Y27" s="24"/>
      <c r="Z27" s="24"/>
      <c r="AA27" s="24"/>
      <c r="AB27" s="22"/>
      <c r="AC27" s="22"/>
      <c r="AD27" s="22"/>
      <c r="AE27" s="22"/>
      <c r="AF27" s="22"/>
      <c r="AG27" s="22"/>
      <c r="AH27" s="22"/>
    </row>
    <row r="28" spans="1:34" ht="30.25" customHeight="1" x14ac:dyDescent="0.35">
      <c r="A28" s="37">
        <v>25</v>
      </c>
      <c r="B28" s="37">
        <v>25</v>
      </c>
      <c r="C28" s="35" t="s">
        <v>125</v>
      </c>
      <c r="D28" s="34" t="s">
        <v>126</v>
      </c>
      <c r="E28" s="41" t="s">
        <v>127</v>
      </c>
      <c r="F28" s="43" t="s">
        <v>24</v>
      </c>
      <c r="G28" s="37" t="s">
        <v>25</v>
      </c>
      <c r="H28" s="37" t="s">
        <v>5</v>
      </c>
      <c r="I28" s="37" t="s">
        <v>26</v>
      </c>
      <c r="J28" s="36">
        <v>1320</v>
      </c>
      <c r="K28" s="27">
        <f>0</f>
        <v>0</v>
      </c>
      <c r="L28" s="127">
        <f t="shared" si="0"/>
        <v>0</v>
      </c>
      <c r="M28" s="127">
        <f t="shared" si="1"/>
        <v>0</v>
      </c>
      <c r="N28" s="128"/>
      <c r="O28" s="129">
        <f t="shared" si="2"/>
        <v>0</v>
      </c>
      <c r="P28" s="128"/>
      <c r="Q28" s="128"/>
      <c r="R28" s="128"/>
      <c r="S28" s="26">
        <f t="shared" si="3"/>
        <v>0</v>
      </c>
      <c r="T28" s="25" t="str">
        <f t="shared" si="4"/>
        <v>OK</v>
      </c>
      <c r="U28" s="138"/>
      <c r="V28" s="139"/>
      <c r="W28" s="22"/>
      <c r="X28" s="29"/>
      <c r="Y28" s="24"/>
      <c r="Z28" s="24"/>
      <c r="AA28" s="24"/>
      <c r="AB28" s="22"/>
      <c r="AC28" s="22"/>
      <c r="AD28" s="22"/>
      <c r="AE28" s="22"/>
      <c r="AF28" s="22"/>
      <c r="AG28" s="22"/>
      <c r="AH28" s="22"/>
    </row>
    <row r="29" spans="1:34" ht="30.25" customHeight="1" x14ac:dyDescent="0.35">
      <c r="A29" s="44">
        <v>26</v>
      </c>
      <c r="B29" s="44">
        <v>26</v>
      </c>
      <c r="C29" s="45" t="s">
        <v>119</v>
      </c>
      <c r="D29" s="46" t="s">
        <v>14</v>
      </c>
      <c r="E29" s="48" t="s">
        <v>128</v>
      </c>
      <c r="F29" s="50" t="s">
        <v>23</v>
      </c>
      <c r="G29" s="44" t="s">
        <v>129</v>
      </c>
      <c r="H29" s="44" t="s">
        <v>5</v>
      </c>
      <c r="I29" s="44" t="s">
        <v>6</v>
      </c>
      <c r="J29" s="47">
        <v>650</v>
      </c>
      <c r="K29" s="27">
        <f>0</f>
        <v>0</v>
      </c>
      <c r="L29" s="127">
        <f t="shared" si="0"/>
        <v>0</v>
      </c>
      <c r="M29" s="127">
        <f t="shared" si="1"/>
        <v>0</v>
      </c>
      <c r="N29" s="128"/>
      <c r="O29" s="129">
        <f t="shared" si="2"/>
        <v>0</v>
      </c>
      <c r="P29" s="128"/>
      <c r="Q29" s="128"/>
      <c r="R29" s="128"/>
      <c r="S29" s="26">
        <f t="shared" si="3"/>
        <v>0</v>
      </c>
      <c r="T29" s="25" t="str">
        <f t="shared" si="4"/>
        <v>OK</v>
      </c>
      <c r="U29" s="138"/>
      <c r="V29" s="139"/>
      <c r="W29" s="22"/>
      <c r="X29" s="22"/>
      <c r="Y29" s="24"/>
      <c r="Z29" s="24"/>
      <c r="AA29" s="24"/>
      <c r="AB29" s="22"/>
      <c r="AC29" s="22"/>
      <c r="AD29" s="22"/>
      <c r="AE29" s="22"/>
      <c r="AF29" s="22"/>
      <c r="AG29" s="22"/>
      <c r="AH29" s="22"/>
    </row>
    <row r="30" spans="1:34" ht="30.25" customHeight="1" x14ac:dyDescent="0.35">
      <c r="A30" s="37">
        <v>27</v>
      </c>
      <c r="B30" s="37">
        <v>27</v>
      </c>
      <c r="C30" s="35" t="s">
        <v>130</v>
      </c>
      <c r="D30" s="34" t="s">
        <v>131</v>
      </c>
      <c r="E30" s="41" t="s">
        <v>132</v>
      </c>
      <c r="F30" s="43" t="s">
        <v>28</v>
      </c>
      <c r="G30" s="37" t="s">
        <v>29</v>
      </c>
      <c r="H30" s="37" t="s">
        <v>8</v>
      </c>
      <c r="I30" s="37" t="s">
        <v>26</v>
      </c>
      <c r="J30" s="36">
        <v>39.78</v>
      </c>
      <c r="K30" s="27">
        <f>0</f>
        <v>0</v>
      </c>
      <c r="L30" s="127">
        <f t="shared" si="0"/>
        <v>0</v>
      </c>
      <c r="M30" s="127">
        <f t="shared" si="1"/>
        <v>0</v>
      </c>
      <c r="N30" s="128"/>
      <c r="O30" s="129">
        <f t="shared" si="2"/>
        <v>0</v>
      </c>
      <c r="P30" s="128"/>
      <c r="Q30" s="128"/>
      <c r="R30" s="128"/>
      <c r="S30" s="26">
        <f t="shared" si="3"/>
        <v>0</v>
      </c>
      <c r="T30" s="25" t="str">
        <f t="shared" si="4"/>
        <v>OK</v>
      </c>
      <c r="U30" s="138"/>
      <c r="V30" s="139"/>
      <c r="W30" s="22"/>
      <c r="X30" s="22"/>
      <c r="Y30" s="24"/>
      <c r="Z30" s="24"/>
      <c r="AA30" s="24"/>
      <c r="AB30" s="22"/>
      <c r="AC30" s="22"/>
      <c r="AD30" s="22"/>
      <c r="AE30" s="22"/>
      <c r="AF30" s="22"/>
      <c r="AG30" s="22"/>
      <c r="AH30" s="22"/>
    </row>
    <row r="31" spans="1:34" ht="30.25" customHeight="1" x14ac:dyDescent="0.35">
      <c r="A31" s="44">
        <v>28</v>
      </c>
      <c r="B31" s="44">
        <v>28</v>
      </c>
      <c r="C31" s="45" t="s">
        <v>133</v>
      </c>
      <c r="D31" s="46" t="s">
        <v>134</v>
      </c>
      <c r="E31" s="48" t="s">
        <v>135</v>
      </c>
      <c r="F31" s="50" t="s">
        <v>136</v>
      </c>
      <c r="G31" s="44" t="s">
        <v>137</v>
      </c>
      <c r="H31" s="44" t="s">
        <v>5</v>
      </c>
      <c r="I31" s="44" t="s">
        <v>6</v>
      </c>
      <c r="J31" s="47">
        <v>2259.91</v>
      </c>
      <c r="K31" s="27">
        <f>0</f>
        <v>0</v>
      </c>
      <c r="L31" s="127">
        <f t="shared" si="0"/>
        <v>0</v>
      </c>
      <c r="M31" s="127">
        <f t="shared" si="1"/>
        <v>0</v>
      </c>
      <c r="N31" s="128"/>
      <c r="O31" s="129">
        <f t="shared" si="2"/>
        <v>0</v>
      </c>
      <c r="P31" s="128"/>
      <c r="Q31" s="128"/>
      <c r="R31" s="128"/>
      <c r="S31" s="26">
        <f t="shared" si="3"/>
        <v>0</v>
      </c>
      <c r="T31" s="25" t="str">
        <f t="shared" si="4"/>
        <v>OK</v>
      </c>
      <c r="U31" s="138"/>
      <c r="V31" s="139"/>
      <c r="W31" s="22"/>
      <c r="X31" s="22"/>
      <c r="Y31" s="24"/>
      <c r="Z31" s="24"/>
      <c r="AA31" s="24"/>
      <c r="AB31" s="22"/>
      <c r="AC31" s="22"/>
      <c r="AD31" s="22"/>
      <c r="AE31" s="22"/>
      <c r="AF31" s="22"/>
      <c r="AG31" s="22"/>
      <c r="AH31" s="22"/>
    </row>
    <row r="32" spans="1:34" ht="30.25" customHeight="1" x14ac:dyDescent="0.35">
      <c r="A32" s="37">
        <v>29</v>
      </c>
      <c r="B32" s="37">
        <v>29</v>
      </c>
      <c r="C32" s="35" t="s">
        <v>138</v>
      </c>
      <c r="D32" s="34" t="s">
        <v>139</v>
      </c>
      <c r="E32" s="41" t="s">
        <v>140</v>
      </c>
      <c r="F32" s="43" t="s">
        <v>136</v>
      </c>
      <c r="G32" s="37" t="s">
        <v>137</v>
      </c>
      <c r="H32" s="37" t="s">
        <v>5</v>
      </c>
      <c r="I32" s="37" t="s">
        <v>6</v>
      </c>
      <c r="J32" s="36">
        <v>3391.3</v>
      </c>
      <c r="K32" s="27">
        <f>0</f>
        <v>0</v>
      </c>
      <c r="L32" s="127">
        <f t="shared" si="0"/>
        <v>0</v>
      </c>
      <c r="M32" s="127">
        <f t="shared" si="1"/>
        <v>0</v>
      </c>
      <c r="N32" s="128"/>
      <c r="O32" s="129">
        <f t="shared" si="2"/>
        <v>0</v>
      </c>
      <c r="P32" s="128"/>
      <c r="Q32" s="128"/>
      <c r="R32" s="128"/>
      <c r="S32" s="26">
        <f t="shared" si="3"/>
        <v>0</v>
      </c>
      <c r="T32" s="25" t="str">
        <f t="shared" si="4"/>
        <v>OK</v>
      </c>
      <c r="U32" s="138"/>
      <c r="V32" s="139"/>
      <c r="W32" s="22"/>
      <c r="X32" s="22"/>
      <c r="Y32" s="24"/>
      <c r="Z32" s="24"/>
      <c r="AA32" s="24"/>
      <c r="AB32" s="22"/>
      <c r="AC32" s="22"/>
      <c r="AD32" s="22"/>
      <c r="AE32" s="22"/>
      <c r="AF32" s="22"/>
      <c r="AG32" s="22"/>
      <c r="AH32" s="22"/>
    </row>
    <row r="33" spans="1:34" ht="30.25" customHeight="1" x14ac:dyDescent="0.35">
      <c r="A33" s="44">
        <v>30</v>
      </c>
      <c r="B33" s="44">
        <v>30</v>
      </c>
      <c r="C33" s="45" t="s">
        <v>141</v>
      </c>
      <c r="D33" s="46" t="s">
        <v>142</v>
      </c>
      <c r="E33" s="48" t="s">
        <v>143</v>
      </c>
      <c r="F33" s="50" t="s">
        <v>136</v>
      </c>
      <c r="G33" s="44" t="s">
        <v>137</v>
      </c>
      <c r="H33" s="44" t="s">
        <v>5</v>
      </c>
      <c r="I33" s="44" t="s">
        <v>6</v>
      </c>
      <c r="J33" s="47">
        <v>9961.5300000000007</v>
      </c>
      <c r="K33" s="27">
        <f>0</f>
        <v>0</v>
      </c>
      <c r="L33" s="127">
        <f t="shared" si="0"/>
        <v>0</v>
      </c>
      <c r="M33" s="127">
        <f t="shared" si="1"/>
        <v>0</v>
      </c>
      <c r="N33" s="128"/>
      <c r="O33" s="129">
        <f t="shared" si="2"/>
        <v>0</v>
      </c>
      <c r="P33" s="128"/>
      <c r="Q33" s="128"/>
      <c r="R33" s="128"/>
      <c r="S33" s="26">
        <f t="shared" si="3"/>
        <v>0</v>
      </c>
      <c r="T33" s="25" t="str">
        <f t="shared" si="4"/>
        <v>OK</v>
      </c>
      <c r="U33" s="138"/>
      <c r="V33" s="139"/>
      <c r="W33" s="22"/>
      <c r="X33" s="22"/>
      <c r="Y33" s="24"/>
      <c r="Z33" s="24"/>
      <c r="AA33" s="24"/>
      <c r="AB33" s="22"/>
      <c r="AC33" s="22"/>
      <c r="AD33" s="22"/>
      <c r="AE33" s="22"/>
      <c r="AF33" s="22"/>
      <c r="AG33" s="22"/>
      <c r="AH33" s="22"/>
    </row>
    <row r="34" spans="1:34" ht="30.25" customHeight="1" x14ac:dyDescent="0.35">
      <c r="A34" s="37">
        <v>31</v>
      </c>
      <c r="B34" s="37">
        <v>31</v>
      </c>
      <c r="C34" s="35" t="s">
        <v>144</v>
      </c>
      <c r="D34" s="34" t="s">
        <v>145</v>
      </c>
      <c r="E34" s="41" t="s">
        <v>146</v>
      </c>
      <c r="F34" s="43" t="s">
        <v>20</v>
      </c>
      <c r="G34" s="37" t="s">
        <v>147</v>
      </c>
      <c r="H34" s="37" t="s">
        <v>60</v>
      </c>
      <c r="I34" s="37">
        <v>44905212</v>
      </c>
      <c r="J34" s="36">
        <v>630</v>
      </c>
      <c r="K34" s="27">
        <f>0</f>
        <v>0</v>
      </c>
      <c r="L34" s="127">
        <f t="shared" si="0"/>
        <v>0</v>
      </c>
      <c r="M34" s="127">
        <f t="shared" si="1"/>
        <v>0</v>
      </c>
      <c r="N34" s="128"/>
      <c r="O34" s="129">
        <f t="shared" si="2"/>
        <v>0</v>
      </c>
      <c r="P34" s="128"/>
      <c r="Q34" s="128"/>
      <c r="R34" s="128"/>
      <c r="S34" s="26">
        <f t="shared" si="3"/>
        <v>0</v>
      </c>
      <c r="T34" s="25" t="str">
        <f t="shared" si="4"/>
        <v>OK</v>
      </c>
      <c r="U34" s="138"/>
      <c r="V34" s="139"/>
      <c r="W34" s="22"/>
      <c r="X34" s="22"/>
      <c r="Y34" s="24"/>
      <c r="Z34" s="24"/>
      <c r="AA34" s="24"/>
      <c r="AB34" s="22"/>
      <c r="AC34" s="22"/>
      <c r="AD34" s="22"/>
      <c r="AE34" s="22"/>
      <c r="AF34" s="22"/>
      <c r="AG34" s="22"/>
      <c r="AH34" s="22"/>
    </row>
    <row r="35" spans="1:34" ht="30.25" customHeight="1" x14ac:dyDescent="0.35">
      <c r="A35" s="44">
        <v>32</v>
      </c>
      <c r="B35" s="44">
        <v>32</v>
      </c>
      <c r="C35" s="45" t="s">
        <v>144</v>
      </c>
      <c r="D35" s="46" t="s">
        <v>148</v>
      </c>
      <c r="E35" s="48" t="s">
        <v>149</v>
      </c>
      <c r="F35" s="50" t="s">
        <v>20</v>
      </c>
      <c r="G35" s="44" t="s">
        <v>147</v>
      </c>
      <c r="H35" s="44" t="s">
        <v>60</v>
      </c>
      <c r="I35" s="44">
        <v>44905212</v>
      </c>
      <c r="J35" s="47">
        <v>1550</v>
      </c>
      <c r="K35" s="27">
        <f>0</f>
        <v>0</v>
      </c>
      <c r="L35" s="127">
        <f t="shared" si="0"/>
        <v>0</v>
      </c>
      <c r="M35" s="127">
        <f t="shared" si="1"/>
        <v>0</v>
      </c>
      <c r="N35" s="128"/>
      <c r="O35" s="129">
        <f t="shared" si="2"/>
        <v>0</v>
      </c>
      <c r="P35" s="128"/>
      <c r="Q35" s="128"/>
      <c r="R35" s="128"/>
      <c r="S35" s="26">
        <f t="shared" si="3"/>
        <v>0</v>
      </c>
      <c r="T35" s="25" t="str">
        <f t="shared" si="4"/>
        <v>OK</v>
      </c>
      <c r="U35" s="138"/>
      <c r="V35" s="139"/>
      <c r="W35" s="22"/>
      <c r="X35" s="22"/>
      <c r="Y35" s="24"/>
      <c r="Z35" s="24"/>
      <c r="AA35" s="24"/>
      <c r="AB35" s="22"/>
      <c r="AC35" s="22"/>
      <c r="AD35" s="22"/>
      <c r="AE35" s="22"/>
      <c r="AF35" s="22"/>
      <c r="AG35" s="22"/>
      <c r="AH35" s="22"/>
    </row>
    <row r="36" spans="1:34" ht="30.25" customHeight="1" x14ac:dyDescent="0.35">
      <c r="A36" s="37">
        <v>33</v>
      </c>
      <c r="B36" s="37">
        <v>33</v>
      </c>
      <c r="C36" s="35" t="s">
        <v>150</v>
      </c>
      <c r="D36" s="34" t="s">
        <v>151</v>
      </c>
      <c r="E36" s="41" t="s">
        <v>152</v>
      </c>
      <c r="F36" s="43" t="s">
        <v>20</v>
      </c>
      <c r="G36" s="37" t="s">
        <v>147</v>
      </c>
      <c r="H36" s="37" t="s">
        <v>60</v>
      </c>
      <c r="I36" s="37">
        <v>44905212</v>
      </c>
      <c r="J36" s="36">
        <v>930</v>
      </c>
      <c r="K36" s="27">
        <f>0</f>
        <v>0</v>
      </c>
      <c r="L36" s="127">
        <f t="shared" si="0"/>
        <v>0</v>
      </c>
      <c r="M36" s="127">
        <f t="shared" si="1"/>
        <v>0</v>
      </c>
      <c r="N36" s="128"/>
      <c r="O36" s="129">
        <f t="shared" si="2"/>
        <v>0</v>
      </c>
      <c r="P36" s="128"/>
      <c r="Q36" s="128"/>
      <c r="R36" s="128"/>
      <c r="S36" s="26">
        <f t="shared" si="3"/>
        <v>0</v>
      </c>
      <c r="T36" s="25" t="str">
        <f t="shared" si="4"/>
        <v>OK</v>
      </c>
      <c r="U36" s="138"/>
      <c r="V36" s="139"/>
      <c r="W36" s="22"/>
      <c r="X36" s="22"/>
      <c r="Y36" s="24"/>
      <c r="Z36" s="24"/>
      <c r="AA36" s="24"/>
      <c r="AB36" s="22"/>
      <c r="AC36" s="22"/>
      <c r="AD36" s="22"/>
      <c r="AE36" s="22"/>
      <c r="AF36" s="22"/>
      <c r="AG36" s="22"/>
      <c r="AH36" s="22"/>
    </row>
    <row r="37" spans="1:34" ht="30.25" customHeight="1" x14ac:dyDescent="0.35">
      <c r="A37" s="44">
        <v>34</v>
      </c>
      <c r="B37" s="44">
        <v>34</v>
      </c>
      <c r="C37" s="45" t="s">
        <v>150</v>
      </c>
      <c r="D37" s="46" t="s">
        <v>153</v>
      </c>
      <c r="E37" s="48" t="s">
        <v>154</v>
      </c>
      <c r="F37" s="50" t="s">
        <v>20</v>
      </c>
      <c r="G37" s="44" t="s">
        <v>147</v>
      </c>
      <c r="H37" s="44" t="s">
        <v>60</v>
      </c>
      <c r="I37" s="44">
        <v>44905212</v>
      </c>
      <c r="J37" s="47">
        <v>2560</v>
      </c>
      <c r="K37" s="27">
        <f>0</f>
        <v>0</v>
      </c>
      <c r="L37" s="127">
        <f t="shared" si="0"/>
        <v>0</v>
      </c>
      <c r="M37" s="127">
        <f t="shared" si="1"/>
        <v>0</v>
      </c>
      <c r="N37" s="128"/>
      <c r="O37" s="129">
        <f t="shared" si="2"/>
        <v>0</v>
      </c>
      <c r="P37" s="128"/>
      <c r="Q37" s="128"/>
      <c r="R37" s="128"/>
      <c r="S37" s="26">
        <f t="shared" si="3"/>
        <v>0</v>
      </c>
      <c r="T37" s="25" t="str">
        <f t="shared" si="4"/>
        <v>OK</v>
      </c>
      <c r="U37" s="138"/>
      <c r="V37" s="139"/>
      <c r="W37" s="22"/>
      <c r="X37" s="22"/>
      <c r="Y37" s="24"/>
      <c r="Z37" s="24"/>
      <c r="AA37" s="24"/>
      <c r="AB37" s="22"/>
      <c r="AC37" s="22"/>
      <c r="AD37" s="22"/>
      <c r="AE37" s="22"/>
      <c r="AF37" s="22"/>
      <c r="AG37" s="22"/>
      <c r="AH37" s="22"/>
    </row>
    <row r="38" spans="1:34" ht="30.25" customHeight="1" x14ac:dyDescent="0.35">
      <c r="A38" s="198" t="s">
        <v>155</v>
      </c>
      <c r="B38" s="37">
        <v>35</v>
      </c>
      <c r="C38" s="195" t="s">
        <v>33</v>
      </c>
      <c r="D38" s="34" t="s">
        <v>27</v>
      </c>
      <c r="E38" s="41" t="s">
        <v>8</v>
      </c>
      <c r="F38" s="42" t="s">
        <v>28</v>
      </c>
      <c r="G38" s="37" t="s">
        <v>29</v>
      </c>
      <c r="H38" s="37" t="s">
        <v>8</v>
      </c>
      <c r="I38" s="37" t="s">
        <v>9</v>
      </c>
      <c r="J38" s="36">
        <v>150.13999999999999</v>
      </c>
      <c r="K38" s="27">
        <f>0</f>
        <v>0</v>
      </c>
      <c r="L38" s="127">
        <f t="shared" si="0"/>
        <v>0</v>
      </c>
      <c r="M38" s="127">
        <f t="shared" si="1"/>
        <v>0</v>
      </c>
      <c r="N38" s="128"/>
      <c r="O38" s="129">
        <f t="shared" si="2"/>
        <v>0</v>
      </c>
      <c r="P38" s="128"/>
      <c r="Q38" s="128"/>
      <c r="R38" s="128"/>
      <c r="S38" s="26">
        <f t="shared" si="3"/>
        <v>0</v>
      </c>
      <c r="T38" s="25" t="str">
        <f t="shared" si="4"/>
        <v>OK</v>
      </c>
      <c r="U38" s="138"/>
      <c r="V38" s="139"/>
      <c r="W38" s="22"/>
      <c r="X38" s="22"/>
      <c r="Y38" s="24"/>
      <c r="Z38" s="24"/>
      <c r="AA38" s="24"/>
      <c r="AB38" s="22"/>
      <c r="AC38" s="22"/>
      <c r="AD38" s="22"/>
      <c r="AE38" s="22"/>
      <c r="AF38" s="22"/>
      <c r="AG38" s="22"/>
      <c r="AH38" s="22"/>
    </row>
    <row r="39" spans="1:34" ht="30.25" customHeight="1" x14ac:dyDescent="0.35">
      <c r="A39" s="199"/>
      <c r="B39" s="37">
        <v>36</v>
      </c>
      <c r="C39" s="196"/>
      <c r="D39" s="34" t="s">
        <v>7</v>
      </c>
      <c r="E39" s="41" t="s">
        <v>8</v>
      </c>
      <c r="F39" s="43" t="s">
        <v>28</v>
      </c>
      <c r="G39" s="37" t="s">
        <v>29</v>
      </c>
      <c r="H39" s="37" t="s">
        <v>8</v>
      </c>
      <c r="I39" s="37" t="s">
        <v>9</v>
      </c>
      <c r="J39" s="36">
        <v>1076</v>
      </c>
      <c r="K39" s="27">
        <f>0</f>
        <v>0</v>
      </c>
      <c r="L39" s="127">
        <f t="shared" si="0"/>
        <v>0</v>
      </c>
      <c r="M39" s="127">
        <f t="shared" si="1"/>
        <v>0</v>
      </c>
      <c r="N39" s="128"/>
      <c r="O39" s="129">
        <f t="shared" si="2"/>
        <v>0</v>
      </c>
      <c r="P39" s="128"/>
      <c r="Q39" s="128"/>
      <c r="R39" s="128"/>
      <c r="S39" s="26">
        <f t="shared" si="3"/>
        <v>0</v>
      </c>
      <c r="T39" s="25" t="str">
        <f t="shared" si="4"/>
        <v>OK</v>
      </c>
      <c r="U39" s="138"/>
      <c r="V39" s="139"/>
      <c r="W39" s="22"/>
      <c r="X39" s="22"/>
      <c r="Y39" s="24"/>
      <c r="Z39" s="24"/>
      <c r="AA39" s="24"/>
      <c r="AB39" s="22"/>
      <c r="AC39" s="22"/>
      <c r="AD39" s="22"/>
      <c r="AE39" s="22"/>
      <c r="AF39" s="22"/>
      <c r="AG39" s="22"/>
      <c r="AH39" s="22"/>
    </row>
    <row r="40" spans="1:34" ht="30.25" customHeight="1" x14ac:dyDescent="0.35">
      <c r="A40" s="199"/>
      <c r="B40" s="37">
        <v>37</v>
      </c>
      <c r="C40" s="196"/>
      <c r="D40" s="34" t="s">
        <v>156</v>
      </c>
      <c r="E40" s="41" t="s">
        <v>8</v>
      </c>
      <c r="F40" s="43" t="s">
        <v>28</v>
      </c>
      <c r="G40" s="37" t="s">
        <v>29</v>
      </c>
      <c r="H40" s="37" t="s">
        <v>34</v>
      </c>
      <c r="I40" s="37" t="s">
        <v>9</v>
      </c>
      <c r="J40" s="36">
        <v>75</v>
      </c>
      <c r="K40" s="27">
        <f>0</f>
        <v>0</v>
      </c>
      <c r="L40" s="127">
        <f t="shared" si="0"/>
        <v>0</v>
      </c>
      <c r="M40" s="127">
        <f t="shared" si="1"/>
        <v>0</v>
      </c>
      <c r="N40" s="128"/>
      <c r="O40" s="129">
        <f t="shared" si="2"/>
        <v>0</v>
      </c>
      <c r="P40" s="128"/>
      <c r="Q40" s="128"/>
      <c r="R40" s="128"/>
      <c r="S40" s="26">
        <f t="shared" si="3"/>
        <v>0</v>
      </c>
      <c r="T40" s="25" t="str">
        <f t="shared" si="4"/>
        <v>OK</v>
      </c>
      <c r="U40" s="138"/>
      <c r="V40" s="139"/>
      <c r="W40" s="22"/>
      <c r="X40" s="22"/>
      <c r="Y40" s="24"/>
      <c r="Z40" s="24"/>
      <c r="AA40" s="24"/>
      <c r="AB40" s="22"/>
      <c r="AC40" s="22"/>
      <c r="AD40" s="22"/>
      <c r="AE40" s="22"/>
      <c r="AF40" s="22"/>
      <c r="AG40" s="22"/>
      <c r="AH40" s="22"/>
    </row>
    <row r="41" spans="1:34" ht="30.25" customHeight="1" x14ac:dyDescent="0.35">
      <c r="A41" s="199"/>
      <c r="B41" s="37">
        <v>38</v>
      </c>
      <c r="C41" s="196"/>
      <c r="D41" s="34" t="s">
        <v>11</v>
      </c>
      <c r="E41" s="41" t="s">
        <v>8</v>
      </c>
      <c r="F41" s="43" t="s">
        <v>28</v>
      </c>
      <c r="G41" s="37" t="s">
        <v>29</v>
      </c>
      <c r="H41" s="37" t="s">
        <v>8</v>
      </c>
      <c r="I41" s="37" t="s">
        <v>9</v>
      </c>
      <c r="J41" s="36">
        <v>1400</v>
      </c>
      <c r="K41" s="27">
        <f>0</f>
        <v>0</v>
      </c>
      <c r="L41" s="127">
        <f t="shared" si="0"/>
        <v>0</v>
      </c>
      <c r="M41" s="127">
        <f t="shared" si="1"/>
        <v>0</v>
      </c>
      <c r="N41" s="128"/>
      <c r="O41" s="129">
        <f t="shared" si="2"/>
        <v>0</v>
      </c>
      <c r="P41" s="128"/>
      <c r="Q41" s="128"/>
      <c r="R41" s="128"/>
      <c r="S41" s="26">
        <f t="shared" si="3"/>
        <v>0</v>
      </c>
      <c r="T41" s="25" t="str">
        <f t="shared" si="4"/>
        <v>OK</v>
      </c>
      <c r="U41" s="138"/>
      <c r="V41" s="139"/>
      <c r="W41" s="22"/>
      <c r="X41" s="22"/>
      <c r="Y41" s="24"/>
      <c r="Z41" s="24"/>
      <c r="AA41" s="24"/>
      <c r="AB41" s="22"/>
      <c r="AC41" s="22"/>
      <c r="AD41" s="22"/>
      <c r="AE41" s="22"/>
      <c r="AF41" s="22"/>
      <c r="AG41" s="22"/>
      <c r="AH41" s="22"/>
    </row>
    <row r="42" spans="1:34" ht="30.25" customHeight="1" x14ac:dyDescent="0.35">
      <c r="A42" s="199"/>
      <c r="B42" s="37">
        <v>39</v>
      </c>
      <c r="C42" s="196"/>
      <c r="D42" s="34" t="s">
        <v>12</v>
      </c>
      <c r="E42" s="41" t="s">
        <v>8</v>
      </c>
      <c r="F42" s="43" t="s">
        <v>28</v>
      </c>
      <c r="G42" s="37" t="s">
        <v>29</v>
      </c>
      <c r="H42" s="37" t="s">
        <v>34</v>
      </c>
      <c r="I42" s="37" t="s">
        <v>9</v>
      </c>
      <c r="J42" s="36">
        <v>75.5</v>
      </c>
      <c r="K42" s="27">
        <f>0</f>
        <v>0</v>
      </c>
      <c r="L42" s="127">
        <f t="shared" si="0"/>
        <v>0</v>
      </c>
      <c r="M42" s="127">
        <f t="shared" si="1"/>
        <v>0</v>
      </c>
      <c r="N42" s="128"/>
      <c r="O42" s="129">
        <f t="shared" si="2"/>
        <v>0</v>
      </c>
      <c r="P42" s="128"/>
      <c r="Q42" s="128"/>
      <c r="R42" s="128"/>
      <c r="S42" s="26">
        <f t="shared" si="3"/>
        <v>0</v>
      </c>
      <c r="T42" s="25" t="str">
        <f t="shared" si="4"/>
        <v>OK</v>
      </c>
      <c r="U42" s="138"/>
      <c r="V42" s="139"/>
      <c r="W42" s="22"/>
      <c r="X42" s="22"/>
      <c r="Y42" s="24"/>
      <c r="Z42" s="24"/>
      <c r="AA42" s="24"/>
      <c r="AB42" s="22"/>
      <c r="AC42" s="22"/>
      <c r="AD42" s="22"/>
      <c r="AE42" s="22"/>
      <c r="AF42" s="22"/>
      <c r="AG42" s="22"/>
      <c r="AH42" s="22"/>
    </row>
    <row r="43" spans="1:34" ht="30.25" customHeight="1" x14ac:dyDescent="0.35">
      <c r="A43" s="199"/>
      <c r="B43" s="37">
        <v>40</v>
      </c>
      <c r="C43" s="196"/>
      <c r="D43" s="34" t="s">
        <v>10</v>
      </c>
      <c r="E43" s="41" t="s">
        <v>8</v>
      </c>
      <c r="F43" s="43" t="s">
        <v>28</v>
      </c>
      <c r="G43" s="37" t="s">
        <v>29</v>
      </c>
      <c r="H43" s="37" t="s">
        <v>8</v>
      </c>
      <c r="I43" s="37" t="s">
        <v>9</v>
      </c>
      <c r="J43" s="36">
        <v>1600</v>
      </c>
      <c r="K43" s="27">
        <f>0</f>
        <v>0</v>
      </c>
      <c r="L43" s="127">
        <f t="shared" si="0"/>
        <v>0</v>
      </c>
      <c r="M43" s="127">
        <f t="shared" si="1"/>
        <v>0</v>
      </c>
      <c r="N43" s="128"/>
      <c r="O43" s="129">
        <f t="shared" si="2"/>
        <v>0</v>
      </c>
      <c r="P43" s="128"/>
      <c r="Q43" s="128"/>
      <c r="R43" s="128"/>
      <c r="S43" s="26">
        <f t="shared" si="3"/>
        <v>0</v>
      </c>
      <c r="T43" s="25" t="str">
        <f t="shared" si="4"/>
        <v>OK</v>
      </c>
      <c r="U43" s="138"/>
      <c r="V43" s="139"/>
      <c r="W43" s="22"/>
      <c r="X43" s="22"/>
      <c r="Y43" s="24"/>
      <c r="Z43" s="24"/>
      <c r="AA43" s="24"/>
      <c r="AB43" s="22"/>
      <c r="AC43" s="22"/>
      <c r="AD43" s="22"/>
      <c r="AE43" s="22"/>
      <c r="AF43" s="22"/>
      <c r="AG43" s="22"/>
      <c r="AH43" s="22"/>
    </row>
    <row r="44" spans="1:34" ht="30.25" customHeight="1" x14ac:dyDescent="0.35">
      <c r="A44" s="199"/>
      <c r="B44" s="37">
        <v>41</v>
      </c>
      <c r="C44" s="196"/>
      <c r="D44" s="34" t="s">
        <v>13</v>
      </c>
      <c r="E44" s="41" t="s">
        <v>8</v>
      </c>
      <c r="F44" s="43" t="s">
        <v>28</v>
      </c>
      <c r="G44" s="37" t="s">
        <v>29</v>
      </c>
      <c r="H44" s="37" t="s">
        <v>34</v>
      </c>
      <c r="I44" s="37" t="s">
        <v>9</v>
      </c>
      <c r="J44" s="36">
        <v>75</v>
      </c>
      <c r="K44" s="27">
        <f>0</f>
        <v>0</v>
      </c>
      <c r="L44" s="127">
        <f t="shared" si="0"/>
        <v>0</v>
      </c>
      <c r="M44" s="127">
        <f t="shared" si="1"/>
        <v>0</v>
      </c>
      <c r="N44" s="128"/>
      <c r="O44" s="129">
        <f t="shared" si="2"/>
        <v>0</v>
      </c>
      <c r="P44" s="128"/>
      <c r="Q44" s="128"/>
      <c r="R44" s="128"/>
      <c r="S44" s="26">
        <f t="shared" si="3"/>
        <v>0</v>
      </c>
      <c r="T44" s="25" t="str">
        <f t="shared" si="4"/>
        <v>OK</v>
      </c>
      <c r="U44" s="138"/>
      <c r="V44" s="139"/>
      <c r="W44" s="22"/>
      <c r="X44" s="22"/>
      <c r="Y44" s="24"/>
      <c r="Z44" s="24"/>
      <c r="AA44" s="24"/>
      <c r="AB44" s="22"/>
      <c r="AC44" s="22"/>
      <c r="AD44" s="22"/>
      <c r="AE44" s="22"/>
      <c r="AF44" s="22"/>
      <c r="AG44" s="22"/>
      <c r="AH44" s="22"/>
    </row>
    <row r="45" spans="1:34" ht="30.25" customHeight="1" x14ac:dyDescent="0.35">
      <c r="A45" s="199"/>
      <c r="B45" s="37">
        <v>42</v>
      </c>
      <c r="C45" s="196"/>
      <c r="D45" s="34" t="s">
        <v>157</v>
      </c>
      <c r="E45" s="41" t="s">
        <v>8</v>
      </c>
      <c r="F45" s="43" t="s">
        <v>28</v>
      </c>
      <c r="G45" s="37" t="s">
        <v>29</v>
      </c>
      <c r="H45" s="37" t="s">
        <v>8</v>
      </c>
      <c r="I45" s="37" t="s">
        <v>9</v>
      </c>
      <c r="J45" s="36">
        <v>350</v>
      </c>
      <c r="K45" s="27">
        <f>0</f>
        <v>0</v>
      </c>
      <c r="L45" s="127">
        <f t="shared" si="0"/>
        <v>0</v>
      </c>
      <c r="M45" s="127">
        <f t="shared" si="1"/>
        <v>0</v>
      </c>
      <c r="N45" s="128"/>
      <c r="O45" s="129">
        <f t="shared" si="2"/>
        <v>0</v>
      </c>
      <c r="P45" s="128"/>
      <c r="Q45" s="128"/>
      <c r="R45" s="128"/>
      <c r="S45" s="26">
        <f t="shared" si="3"/>
        <v>0</v>
      </c>
      <c r="T45" s="25" t="str">
        <f t="shared" si="4"/>
        <v>OK</v>
      </c>
      <c r="U45" s="138"/>
      <c r="V45" s="139"/>
      <c r="W45" s="22"/>
      <c r="X45" s="22"/>
      <c r="Y45" s="24"/>
      <c r="Z45" s="24"/>
      <c r="AA45" s="24"/>
      <c r="AB45" s="22"/>
      <c r="AC45" s="22"/>
      <c r="AD45" s="22"/>
      <c r="AE45" s="22"/>
      <c r="AF45" s="22"/>
      <c r="AG45" s="22"/>
      <c r="AH45" s="22"/>
    </row>
    <row r="46" spans="1:34" ht="30.25" customHeight="1" x14ac:dyDescent="0.35">
      <c r="A46" s="199"/>
      <c r="B46" s="37">
        <v>43</v>
      </c>
      <c r="C46" s="196"/>
      <c r="D46" s="34" t="s">
        <v>30</v>
      </c>
      <c r="E46" s="41" t="s">
        <v>8</v>
      </c>
      <c r="F46" s="43" t="s">
        <v>28</v>
      </c>
      <c r="G46" s="37" t="s">
        <v>29</v>
      </c>
      <c r="H46" s="37" t="s">
        <v>8</v>
      </c>
      <c r="I46" s="37" t="s">
        <v>9</v>
      </c>
      <c r="J46" s="36">
        <v>100.25</v>
      </c>
      <c r="K46" s="27">
        <f>0</f>
        <v>0</v>
      </c>
      <c r="L46" s="127">
        <f t="shared" si="0"/>
        <v>0</v>
      </c>
      <c r="M46" s="127">
        <f t="shared" si="1"/>
        <v>0</v>
      </c>
      <c r="N46" s="128"/>
      <c r="O46" s="129">
        <f t="shared" si="2"/>
        <v>0</v>
      </c>
      <c r="P46" s="128"/>
      <c r="Q46" s="128"/>
      <c r="R46" s="128"/>
      <c r="S46" s="26">
        <f t="shared" si="3"/>
        <v>0</v>
      </c>
      <c r="T46" s="25" t="str">
        <f t="shared" si="4"/>
        <v>OK</v>
      </c>
      <c r="U46" s="138"/>
      <c r="V46" s="139"/>
      <c r="W46" s="22"/>
      <c r="X46" s="22"/>
      <c r="Y46" s="24"/>
      <c r="Z46" s="24"/>
      <c r="AA46" s="24"/>
      <c r="AB46" s="22"/>
      <c r="AC46" s="22"/>
      <c r="AD46" s="22"/>
      <c r="AE46" s="22"/>
      <c r="AF46" s="22"/>
      <c r="AG46" s="22"/>
      <c r="AH46" s="22"/>
    </row>
    <row r="47" spans="1:34" ht="30.25" customHeight="1" x14ac:dyDescent="0.35">
      <c r="A47" s="199"/>
      <c r="B47" s="37">
        <v>44</v>
      </c>
      <c r="C47" s="196"/>
      <c r="D47" s="34" t="s">
        <v>158</v>
      </c>
      <c r="E47" s="41" t="s">
        <v>8</v>
      </c>
      <c r="F47" s="42" t="s">
        <v>28</v>
      </c>
      <c r="G47" s="37" t="s">
        <v>159</v>
      </c>
      <c r="H47" s="37" t="s">
        <v>8</v>
      </c>
      <c r="I47" s="37" t="s">
        <v>9</v>
      </c>
      <c r="J47" s="36">
        <v>1424</v>
      </c>
      <c r="K47" s="27">
        <f>0</f>
        <v>0</v>
      </c>
      <c r="L47" s="127">
        <f t="shared" si="0"/>
        <v>0</v>
      </c>
      <c r="M47" s="127">
        <f t="shared" si="1"/>
        <v>0</v>
      </c>
      <c r="N47" s="128"/>
      <c r="O47" s="129">
        <f t="shared" si="2"/>
        <v>0</v>
      </c>
      <c r="P47" s="128"/>
      <c r="Q47" s="128"/>
      <c r="R47" s="128"/>
      <c r="S47" s="26">
        <f t="shared" si="3"/>
        <v>0</v>
      </c>
      <c r="T47" s="25" t="str">
        <f t="shared" si="4"/>
        <v>OK</v>
      </c>
      <c r="U47" s="138"/>
      <c r="V47" s="139"/>
      <c r="W47" s="22"/>
      <c r="X47" s="22"/>
      <c r="Y47" s="24"/>
      <c r="Z47" s="24"/>
      <c r="AA47" s="24"/>
      <c r="AB47" s="22"/>
      <c r="AC47" s="22"/>
      <c r="AD47" s="22"/>
      <c r="AE47" s="22"/>
      <c r="AF47" s="22"/>
      <c r="AG47" s="22"/>
      <c r="AH47" s="22"/>
    </row>
    <row r="48" spans="1:34" ht="30.25" customHeight="1" x14ac:dyDescent="0.35">
      <c r="A48" s="200"/>
      <c r="B48" s="37">
        <v>45</v>
      </c>
      <c r="C48" s="197"/>
      <c r="D48" s="34" t="s">
        <v>160</v>
      </c>
      <c r="E48" s="41" t="s">
        <v>8</v>
      </c>
      <c r="F48" s="43" t="s">
        <v>28</v>
      </c>
      <c r="G48" s="37" t="s">
        <v>29</v>
      </c>
      <c r="H48" s="37" t="s">
        <v>8</v>
      </c>
      <c r="I48" s="37" t="s">
        <v>9</v>
      </c>
      <c r="J48" s="36">
        <v>2503.0100000000002</v>
      </c>
      <c r="K48" s="27">
        <f>0</f>
        <v>0</v>
      </c>
      <c r="L48" s="127">
        <f t="shared" si="0"/>
        <v>0</v>
      </c>
      <c r="M48" s="127">
        <f t="shared" si="1"/>
        <v>0</v>
      </c>
      <c r="N48" s="128"/>
      <c r="O48" s="129">
        <f t="shared" si="2"/>
        <v>0</v>
      </c>
      <c r="P48" s="128"/>
      <c r="Q48" s="128"/>
      <c r="R48" s="128"/>
      <c r="S48" s="26">
        <f t="shared" si="3"/>
        <v>0</v>
      </c>
      <c r="T48" s="25" t="str">
        <f t="shared" si="4"/>
        <v>OK</v>
      </c>
      <c r="U48" s="138"/>
      <c r="V48" s="139"/>
      <c r="W48" s="22"/>
      <c r="X48" s="22"/>
      <c r="Y48" s="24"/>
      <c r="Z48" s="24"/>
      <c r="AA48" s="24"/>
      <c r="AB48" s="22"/>
      <c r="AC48" s="22"/>
      <c r="AD48" s="22"/>
      <c r="AE48" s="22"/>
      <c r="AF48" s="22"/>
      <c r="AG48" s="22"/>
      <c r="AH48" s="22"/>
    </row>
    <row r="49" spans="1:34" ht="30.25" customHeight="1" x14ac:dyDescent="0.35">
      <c r="A49" s="208" t="s">
        <v>161</v>
      </c>
      <c r="B49" s="44">
        <v>46</v>
      </c>
      <c r="C49" s="205" t="s">
        <v>33</v>
      </c>
      <c r="D49" s="46" t="s">
        <v>27</v>
      </c>
      <c r="E49" s="48" t="s">
        <v>8</v>
      </c>
      <c r="F49" s="50" t="s">
        <v>28</v>
      </c>
      <c r="G49" s="44" t="s">
        <v>29</v>
      </c>
      <c r="H49" s="44" t="s">
        <v>8</v>
      </c>
      <c r="I49" s="44" t="s">
        <v>9</v>
      </c>
      <c r="J49" s="47">
        <v>80</v>
      </c>
      <c r="K49" s="27">
        <f>0</f>
        <v>0</v>
      </c>
      <c r="L49" s="127">
        <f t="shared" si="0"/>
        <v>0</v>
      </c>
      <c r="M49" s="127">
        <f t="shared" si="1"/>
        <v>0</v>
      </c>
      <c r="N49" s="128"/>
      <c r="O49" s="129">
        <f t="shared" si="2"/>
        <v>0</v>
      </c>
      <c r="P49" s="128"/>
      <c r="Q49" s="128"/>
      <c r="R49" s="128"/>
      <c r="S49" s="26">
        <f t="shared" si="3"/>
        <v>0</v>
      </c>
      <c r="T49" s="25" t="str">
        <f t="shared" si="4"/>
        <v>OK</v>
      </c>
      <c r="U49" s="138"/>
      <c r="V49" s="139"/>
      <c r="W49" s="22"/>
      <c r="X49" s="22"/>
      <c r="Y49" s="24"/>
      <c r="Z49" s="24"/>
      <c r="AA49" s="24"/>
      <c r="AB49" s="22"/>
      <c r="AC49" s="22"/>
      <c r="AD49" s="22"/>
      <c r="AE49" s="22"/>
      <c r="AF49" s="22"/>
      <c r="AG49" s="22"/>
      <c r="AH49" s="22"/>
    </row>
    <row r="50" spans="1:34" ht="30.25" customHeight="1" x14ac:dyDescent="0.35">
      <c r="A50" s="209"/>
      <c r="B50" s="44">
        <v>47</v>
      </c>
      <c r="C50" s="206"/>
      <c r="D50" s="46" t="s">
        <v>7</v>
      </c>
      <c r="E50" s="48" t="s">
        <v>8</v>
      </c>
      <c r="F50" s="50" t="s">
        <v>28</v>
      </c>
      <c r="G50" s="44" t="s">
        <v>29</v>
      </c>
      <c r="H50" s="44" t="s">
        <v>8</v>
      </c>
      <c r="I50" s="44" t="s">
        <v>9</v>
      </c>
      <c r="J50" s="47">
        <v>550</v>
      </c>
      <c r="K50" s="27">
        <f>0</f>
        <v>0</v>
      </c>
      <c r="L50" s="127">
        <f t="shared" si="0"/>
        <v>0</v>
      </c>
      <c r="M50" s="127">
        <f t="shared" si="1"/>
        <v>0</v>
      </c>
      <c r="N50" s="128"/>
      <c r="O50" s="129">
        <f t="shared" si="2"/>
        <v>0</v>
      </c>
      <c r="P50" s="128"/>
      <c r="Q50" s="128"/>
      <c r="R50" s="128"/>
      <c r="S50" s="26">
        <f t="shared" si="3"/>
        <v>0</v>
      </c>
      <c r="T50" s="25" t="str">
        <f t="shared" si="4"/>
        <v>OK</v>
      </c>
      <c r="U50" s="138"/>
      <c r="V50" s="139"/>
      <c r="W50" s="22"/>
      <c r="X50" s="22"/>
      <c r="Y50" s="24"/>
      <c r="Z50" s="24"/>
      <c r="AA50" s="24"/>
      <c r="AB50" s="22"/>
      <c r="AC50" s="22"/>
      <c r="AD50" s="22"/>
      <c r="AE50" s="22"/>
      <c r="AF50" s="22"/>
      <c r="AG50" s="22"/>
      <c r="AH50" s="22"/>
    </row>
    <row r="51" spans="1:34" ht="30.25" customHeight="1" x14ac:dyDescent="0.35">
      <c r="A51" s="209"/>
      <c r="B51" s="44">
        <v>48</v>
      </c>
      <c r="C51" s="206"/>
      <c r="D51" s="46" t="s">
        <v>10</v>
      </c>
      <c r="E51" s="48" t="s">
        <v>8</v>
      </c>
      <c r="F51" s="50" t="s">
        <v>28</v>
      </c>
      <c r="G51" s="44" t="s">
        <v>29</v>
      </c>
      <c r="H51" s="44" t="s">
        <v>8</v>
      </c>
      <c r="I51" s="44" t="s">
        <v>9</v>
      </c>
      <c r="J51" s="47">
        <v>850</v>
      </c>
      <c r="K51" s="27">
        <f>0</f>
        <v>0</v>
      </c>
      <c r="L51" s="127">
        <f t="shared" si="0"/>
        <v>0</v>
      </c>
      <c r="M51" s="127">
        <f t="shared" si="1"/>
        <v>0</v>
      </c>
      <c r="N51" s="128"/>
      <c r="O51" s="129">
        <f t="shared" si="2"/>
        <v>0</v>
      </c>
      <c r="P51" s="128"/>
      <c r="Q51" s="128"/>
      <c r="R51" s="128"/>
      <c r="S51" s="26">
        <f t="shared" si="3"/>
        <v>0</v>
      </c>
      <c r="T51" s="25" t="str">
        <f t="shared" si="4"/>
        <v>OK</v>
      </c>
      <c r="U51" s="138"/>
      <c r="V51" s="139"/>
      <c r="W51" s="22"/>
      <c r="X51" s="22"/>
      <c r="Y51" s="24"/>
      <c r="Z51" s="24"/>
      <c r="AA51" s="24"/>
      <c r="AB51" s="22"/>
      <c r="AC51" s="22"/>
      <c r="AD51" s="22"/>
      <c r="AE51" s="22"/>
      <c r="AF51" s="22"/>
      <c r="AG51" s="22"/>
      <c r="AH51" s="22"/>
    </row>
    <row r="52" spans="1:34" ht="30.25" customHeight="1" x14ac:dyDescent="0.35">
      <c r="A52" s="209"/>
      <c r="B52" s="44">
        <v>49</v>
      </c>
      <c r="C52" s="206"/>
      <c r="D52" s="46" t="s">
        <v>11</v>
      </c>
      <c r="E52" s="48" t="s">
        <v>8</v>
      </c>
      <c r="F52" s="50" t="s">
        <v>28</v>
      </c>
      <c r="G52" s="44" t="s">
        <v>29</v>
      </c>
      <c r="H52" s="44" t="s">
        <v>8</v>
      </c>
      <c r="I52" s="44" t="s">
        <v>9</v>
      </c>
      <c r="J52" s="47">
        <v>800</v>
      </c>
      <c r="K52" s="27">
        <f>0</f>
        <v>0</v>
      </c>
      <c r="L52" s="127">
        <f t="shared" si="0"/>
        <v>0</v>
      </c>
      <c r="M52" s="127">
        <f t="shared" si="1"/>
        <v>0</v>
      </c>
      <c r="N52" s="128"/>
      <c r="O52" s="129">
        <f t="shared" si="2"/>
        <v>0</v>
      </c>
      <c r="P52" s="128"/>
      <c r="Q52" s="128"/>
      <c r="R52" s="128"/>
      <c r="S52" s="26">
        <f t="shared" si="3"/>
        <v>0</v>
      </c>
      <c r="T52" s="25" t="str">
        <f t="shared" si="4"/>
        <v>OK</v>
      </c>
      <c r="U52" s="138"/>
      <c r="V52" s="139"/>
      <c r="W52" s="22"/>
      <c r="X52" s="22"/>
      <c r="Y52" s="24"/>
      <c r="Z52" s="24"/>
      <c r="AA52" s="24"/>
      <c r="AB52" s="22"/>
      <c r="AC52" s="22"/>
      <c r="AD52" s="22"/>
      <c r="AE52" s="22"/>
      <c r="AF52" s="22"/>
      <c r="AG52" s="22"/>
      <c r="AH52" s="22"/>
    </row>
    <row r="53" spans="1:34" ht="30.25" customHeight="1" x14ac:dyDescent="0.35">
      <c r="A53" s="209"/>
      <c r="B53" s="44">
        <v>50</v>
      </c>
      <c r="C53" s="206"/>
      <c r="D53" s="46" t="s">
        <v>12</v>
      </c>
      <c r="E53" s="48" t="s">
        <v>8</v>
      </c>
      <c r="F53" s="50" t="s">
        <v>28</v>
      </c>
      <c r="G53" s="44" t="s">
        <v>29</v>
      </c>
      <c r="H53" s="44" t="s">
        <v>34</v>
      </c>
      <c r="I53" s="44" t="s">
        <v>9</v>
      </c>
      <c r="J53" s="47">
        <v>50</v>
      </c>
      <c r="K53" s="27">
        <f>0</f>
        <v>0</v>
      </c>
      <c r="L53" s="127">
        <f t="shared" si="0"/>
        <v>0</v>
      </c>
      <c r="M53" s="127">
        <f t="shared" si="1"/>
        <v>0</v>
      </c>
      <c r="N53" s="128"/>
      <c r="O53" s="129">
        <f t="shared" si="2"/>
        <v>0</v>
      </c>
      <c r="P53" s="128"/>
      <c r="Q53" s="128"/>
      <c r="R53" s="128"/>
      <c r="S53" s="26">
        <f t="shared" si="3"/>
        <v>0</v>
      </c>
      <c r="T53" s="25" t="str">
        <f t="shared" si="4"/>
        <v>OK</v>
      </c>
      <c r="U53" s="138"/>
      <c r="V53" s="139"/>
      <c r="W53" s="22"/>
      <c r="X53" s="22"/>
      <c r="Y53" s="24"/>
      <c r="Z53" s="24"/>
      <c r="AA53" s="24"/>
      <c r="AB53" s="22"/>
      <c r="AC53" s="22"/>
      <c r="AD53" s="22"/>
      <c r="AE53" s="22"/>
      <c r="AF53" s="22"/>
      <c r="AG53" s="22"/>
      <c r="AH53" s="22"/>
    </row>
    <row r="54" spans="1:34" ht="30.25" customHeight="1" x14ac:dyDescent="0.35">
      <c r="A54" s="209"/>
      <c r="B54" s="44">
        <v>51</v>
      </c>
      <c r="C54" s="206"/>
      <c r="D54" s="46" t="s">
        <v>156</v>
      </c>
      <c r="E54" s="48" t="s">
        <v>8</v>
      </c>
      <c r="F54" s="50" t="s">
        <v>28</v>
      </c>
      <c r="G54" s="44" t="s">
        <v>29</v>
      </c>
      <c r="H54" s="44" t="s">
        <v>34</v>
      </c>
      <c r="I54" s="44" t="s">
        <v>9</v>
      </c>
      <c r="J54" s="47">
        <v>50</v>
      </c>
      <c r="K54" s="27">
        <f>0</f>
        <v>0</v>
      </c>
      <c r="L54" s="127">
        <f t="shared" si="0"/>
        <v>0</v>
      </c>
      <c r="M54" s="127">
        <f t="shared" si="1"/>
        <v>0</v>
      </c>
      <c r="N54" s="128"/>
      <c r="O54" s="129">
        <f t="shared" si="2"/>
        <v>0</v>
      </c>
      <c r="P54" s="128"/>
      <c r="Q54" s="128"/>
      <c r="R54" s="128"/>
      <c r="S54" s="26">
        <f t="shared" si="3"/>
        <v>0</v>
      </c>
      <c r="T54" s="25" t="str">
        <f t="shared" si="4"/>
        <v>OK</v>
      </c>
      <c r="U54" s="138"/>
      <c r="V54" s="139"/>
      <c r="W54" s="22"/>
      <c r="X54" s="22"/>
      <c r="Y54" s="24"/>
      <c r="Z54" s="24"/>
      <c r="AA54" s="24"/>
      <c r="AB54" s="22"/>
      <c r="AC54" s="22"/>
      <c r="AD54" s="22"/>
      <c r="AE54" s="22"/>
      <c r="AF54" s="22"/>
      <c r="AG54" s="22"/>
      <c r="AH54" s="22"/>
    </row>
    <row r="55" spans="1:34" ht="30.25" customHeight="1" x14ac:dyDescent="0.35">
      <c r="A55" s="209"/>
      <c r="B55" s="44">
        <v>52</v>
      </c>
      <c r="C55" s="206"/>
      <c r="D55" s="46" t="s">
        <v>13</v>
      </c>
      <c r="E55" s="48" t="s">
        <v>8</v>
      </c>
      <c r="F55" s="50" t="s">
        <v>28</v>
      </c>
      <c r="G55" s="44" t="s">
        <v>29</v>
      </c>
      <c r="H55" s="44" t="s">
        <v>34</v>
      </c>
      <c r="I55" s="44" t="s">
        <v>9</v>
      </c>
      <c r="J55" s="47">
        <v>50</v>
      </c>
      <c r="K55" s="27">
        <f>0</f>
        <v>0</v>
      </c>
      <c r="L55" s="127">
        <f t="shared" si="0"/>
        <v>0</v>
      </c>
      <c r="M55" s="127">
        <f t="shared" si="1"/>
        <v>0</v>
      </c>
      <c r="N55" s="128"/>
      <c r="O55" s="129">
        <f t="shared" si="2"/>
        <v>0</v>
      </c>
      <c r="P55" s="128"/>
      <c r="Q55" s="128"/>
      <c r="R55" s="128"/>
      <c r="S55" s="26">
        <f t="shared" si="3"/>
        <v>0</v>
      </c>
      <c r="T55" s="25" t="str">
        <f t="shared" si="4"/>
        <v>OK</v>
      </c>
      <c r="U55" s="138"/>
      <c r="V55" s="139"/>
      <c r="W55" s="22"/>
      <c r="X55" s="22"/>
      <c r="Y55" s="24"/>
      <c r="Z55" s="24"/>
      <c r="AA55" s="24"/>
      <c r="AB55" s="22"/>
      <c r="AC55" s="22"/>
      <c r="AD55" s="22"/>
      <c r="AE55" s="22"/>
      <c r="AF55" s="22"/>
      <c r="AG55" s="22"/>
      <c r="AH55" s="22"/>
    </row>
    <row r="56" spans="1:34" ht="30.25" customHeight="1" x14ac:dyDescent="0.35">
      <c r="A56" s="209"/>
      <c r="B56" s="44">
        <v>53</v>
      </c>
      <c r="C56" s="206"/>
      <c r="D56" s="46" t="s">
        <v>157</v>
      </c>
      <c r="E56" s="48" t="s">
        <v>8</v>
      </c>
      <c r="F56" s="50" t="s">
        <v>28</v>
      </c>
      <c r="G56" s="44" t="s">
        <v>29</v>
      </c>
      <c r="H56" s="44" t="s">
        <v>8</v>
      </c>
      <c r="I56" s="44" t="s">
        <v>9</v>
      </c>
      <c r="J56" s="47">
        <v>50</v>
      </c>
      <c r="K56" s="27">
        <f>0</f>
        <v>0</v>
      </c>
      <c r="L56" s="127">
        <f t="shared" si="0"/>
        <v>0</v>
      </c>
      <c r="M56" s="127">
        <f t="shared" si="1"/>
        <v>0</v>
      </c>
      <c r="N56" s="128"/>
      <c r="O56" s="129">
        <f t="shared" si="2"/>
        <v>0</v>
      </c>
      <c r="P56" s="128"/>
      <c r="Q56" s="128"/>
      <c r="R56" s="128"/>
      <c r="S56" s="26">
        <f t="shared" si="3"/>
        <v>0</v>
      </c>
      <c r="T56" s="25" t="str">
        <f t="shared" si="4"/>
        <v>OK</v>
      </c>
      <c r="U56" s="138"/>
      <c r="V56" s="139"/>
      <c r="W56" s="22"/>
      <c r="X56" s="22"/>
      <c r="Y56" s="24"/>
      <c r="Z56" s="24"/>
      <c r="AA56" s="24"/>
      <c r="AB56" s="22"/>
      <c r="AC56" s="22"/>
      <c r="AD56" s="22"/>
      <c r="AE56" s="22"/>
      <c r="AF56" s="22"/>
      <c r="AG56" s="22"/>
      <c r="AH56" s="22"/>
    </row>
    <row r="57" spans="1:34" ht="30.25" customHeight="1" x14ac:dyDescent="0.35">
      <c r="A57" s="209"/>
      <c r="B57" s="44">
        <v>54</v>
      </c>
      <c r="C57" s="206"/>
      <c r="D57" s="46" t="s">
        <v>30</v>
      </c>
      <c r="E57" s="48" t="s">
        <v>8</v>
      </c>
      <c r="F57" s="50" t="s">
        <v>28</v>
      </c>
      <c r="G57" s="44" t="s">
        <v>29</v>
      </c>
      <c r="H57" s="44" t="s">
        <v>8</v>
      </c>
      <c r="I57" s="44" t="s">
        <v>9</v>
      </c>
      <c r="J57" s="47">
        <v>80</v>
      </c>
      <c r="K57" s="27">
        <f>0</f>
        <v>0</v>
      </c>
      <c r="L57" s="127">
        <f t="shared" si="0"/>
        <v>0</v>
      </c>
      <c r="M57" s="127">
        <f t="shared" si="1"/>
        <v>0</v>
      </c>
      <c r="N57" s="128"/>
      <c r="O57" s="129">
        <f t="shared" si="2"/>
        <v>0</v>
      </c>
      <c r="P57" s="128"/>
      <c r="Q57" s="128"/>
      <c r="R57" s="128"/>
      <c r="S57" s="26">
        <f t="shared" si="3"/>
        <v>0</v>
      </c>
      <c r="T57" s="25" t="str">
        <f t="shared" si="4"/>
        <v>OK</v>
      </c>
      <c r="U57" s="138"/>
      <c r="V57" s="139"/>
      <c r="W57" s="22"/>
      <c r="X57" s="22"/>
      <c r="Y57" s="24"/>
      <c r="Z57" s="24"/>
      <c r="AA57" s="24"/>
      <c r="AB57" s="22"/>
      <c r="AC57" s="22"/>
      <c r="AD57" s="22"/>
      <c r="AE57" s="22"/>
      <c r="AF57" s="22"/>
      <c r="AG57" s="22"/>
      <c r="AH57" s="22"/>
    </row>
    <row r="58" spans="1:34" ht="30.25" customHeight="1" x14ac:dyDescent="0.35">
      <c r="A58" s="209"/>
      <c r="B58" s="44">
        <v>55</v>
      </c>
      <c r="C58" s="206"/>
      <c r="D58" s="46" t="s">
        <v>162</v>
      </c>
      <c r="E58" s="48" t="s">
        <v>8</v>
      </c>
      <c r="F58" s="50" t="s">
        <v>28</v>
      </c>
      <c r="G58" s="44" t="s">
        <v>159</v>
      </c>
      <c r="H58" s="44" t="s">
        <v>8</v>
      </c>
      <c r="I58" s="44" t="s">
        <v>9</v>
      </c>
      <c r="J58" s="47">
        <v>1114</v>
      </c>
      <c r="K58" s="27">
        <f>0</f>
        <v>0</v>
      </c>
      <c r="L58" s="127">
        <f t="shared" si="0"/>
        <v>0</v>
      </c>
      <c r="M58" s="127">
        <f t="shared" si="1"/>
        <v>0</v>
      </c>
      <c r="N58" s="128"/>
      <c r="O58" s="129">
        <f t="shared" si="2"/>
        <v>0</v>
      </c>
      <c r="P58" s="128"/>
      <c r="Q58" s="128"/>
      <c r="R58" s="128"/>
      <c r="S58" s="26">
        <f t="shared" si="3"/>
        <v>0</v>
      </c>
      <c r="T58" s="25" t="str">
        <f t="shared" si="4"/>
        <v>OK</v>
      </c>
      <c r="U58" s="138"/>
      <c r="V58" s="139"/>
      <c r="W58" s="22"/>
      <c r="X58" s="22"/>
      <c r="Y58" s="24"/>
      <c r="Z58" s="24"/>
      <c r="AA58" s="24"/>
      <c r="AB58" s="22"/>
      <c r="AC58" s="22"/>
      <c r="AD58" s="22"/>
      <c r="AE58" s="22"/>
      <c r="AF58" s="22"/>
      <c r="AG58" s="22"/>
      <c r="AH58" s="22"/>
    </row>
    <row r="59" spans="1:34" ht="30.25" customHeight="1" x14ac:dyDescent="0.35">
      <c r="A59" s="210"/>
      <c r="B59" s="44">
        <v>56</v>
      </c>
      <c r="C59" s="207"/>
      <c r="D59" s="46" t="s">
        <v>160</v>
      </c>
      <c r="E59" s="48" t="s">
        <v>8</v>
      </c>
      <c r="F59" s="50" t="s">
        <v>28</v>
      </c>
      <c r="G59" s="44" t="s">
        <v>29</v>
      </c>
      <c r="H59" s="44" t="s">
        <v>8</v>
      </c>
      <c r="I59" s="44" t="s">
        <v>9</v>
      </c>
      <c r="J59" s="47">
        <v>2000</v>
      </c>
      <c r="K59" s="27">
        <f>0</f>
        <v>0</v>
      </c>
      <c r="L59" s="127">
        <f t="shared" si="0"/>
        <v>0</v>
      </c>
      <c r="M59" s="127">
        <f t="shared" si="1"/>
        <v>0</v>
      </c>
      <c r="N59" s="128"/>
      <c r="O59" s="129">
        <f t="shared" si="2"/>
        <v>0</v>
      </c>
      <c r="P59" s="128"/>
      <c r="Q59" s="128"/>
      <c r="R59" s="128"/>
      <c r="S59" s="26">
        <f t="shared" si="3"/>
        <v>0</v>
      </c>
      <c r="T59" s="25" t="str">
        <f t="shared" si="4"/>
        <v>OK</v>
      </c>
      <c r="U59" s="138"/>
      <c r="V59" s="139"/>
      <c r="W59" s="22"/>
      <c r="X59" s="22"/>
      <c r="Y59" s="24"/>
      <c r="Z59" s="24"/>
      <c r="AA59" s="24"/>
      <c r="AB59" s="22"/>
      <c r="AC59" s="22"/>
      <c r="AD59" s="22"/>
      <c r="AE59" s="22"/>
      <c r="AF59" s="22"/>
      <c r="AG59" s="22"/>
      <c r="AH59" s="22"/>
    </row>
    <row r="60" spans="1:34" ht="30.25" customHeight="1" x14ac:dyDescent="0.35">
      <c r="A60" s="198" t="s">
        <v>163</v>
      </c>
      <c r="B60" s="37">
        <v>57</v>
      </c>
      <c r="C60" s="195" t="s">
        <v>33</v>
      </c>
      <c r="D60" s="34" t="s">
        <v>27</v>
      </c>
      <c r="E60" s="41" t="s">
        <v>8</v>
      </c>
      <c r="F60" s="43" t="s">
        <v>28</v>
      </c>
      <c r="G60" s="37" t="s">
        <v>29</v>
      </c>
      <c r="H60" s="37" t="s">
        <v>8</v>
      </c>
      <c r="I60" s="37" t="s">
        <v>9</v>
      </c>
      <c r="J60" s="36">
        <v>250.5</v>
      </c>
      <c r="K60" s="27">
        <f>0</f>
        <v>0</v>
      </c>
      <c r="L60" s="127">
        <f t="shared" si="0"/>
        <v>0</v>
      </c>
      <c r="M60" s="127">
        <f t="shared" si="1"/>
        <v>0</v>
      </c>
      <c r="N60" s="128"/>
      <c r="O60" s="129">
        <f t="shared" si="2"/>
        <v>0</v>
      </c>
      <c r="P60" s="128"/>
      <c r="Q60" s="128"/>
      <c r="R60" s="128"/>
      <c r="S60" s="26">
        <f t="shared" si="3"/>
        <v>0</v>
      </c>
      <c r="T60" s="25" t="str">
        <f t="shared" si="4"/>
        <v>OK</v>
      </c>
      <c r="U60" s="138"/>
      <c r="V60" s="139"/>
      <c r="W60" s="22"/>
      <c r="X60" s="22"/>
      <c r="Y60" s="24"/>
      <c r="Z60" s="24"/>
      <c r="AA60" s="24"/>
      <c r="AB60" s="22"/>
      <c r="AC60" s="22"/>
      <c r="AD60" s="22"/>
      <c r="AE60" s="22"/>
      <c r="AF60" s="22"/>
      <c r="AG60" s="22"/>
      <c r="AH60" s="22"/>
    </row>
    <row r="61" spans="1:34" ht="30.25" customHeight="1" x14ac:dyDescent="0.35">
      <c r="A61" s="199"/>
      <c r="B61" s="37">
        <v>58</v>
      </c>
      <c r="C61" s="196"/>
      <c r="D61" s="34" t="s">
        <v>7</v>
      </c>
      <c r="E61" s="41" t="s">
        <v>8</v>
      </c>
      <c r="F61" s="43" t="s">
        <v>28</v>
      </c>
      <c r="G61" s="37" t="s">
        <v>29</v>
      </c>
      <c r="H61" s="37" t="s">
        <v>8</v>
      </c>
      <c r="I61" s="37" t="s">
        <v>9</v>
      </c>
      <c r="J61" s="36">
        <v>1000</v>
      </c>
      <c r="K61" s="27">
        <f>0</f>
        <v>0</v>
      </c>
      <c r="L61" s="127">
        <f t="shared" si="0"/>
        <v>0</v>
      </c>
      <c r="M61" s="127">
        <f t="shared" si="1"/>
        <v>0</v>
      </c>
      <c r="N61" s="128"/>
      <c r="O61" s="129">
        <f t="shared" si="2"/>
        <v>0</v>
      </c>
      <c r="P61" s="128"/>
      <c r="Q61" s="128"/>
      <c r="R61" s="128"/>
      <c r="S61" s="26">
        <f t="shared" si="3"/>
        <v>0</v>
      </c>
      <c r="T61" s="25" t="str">
        <f t="shared" si="4"/>
        <v>OK</v>
      </c>
      <c r="U61" s="138"/>
      <c r="V61" s="139"/>
      <c r="W61" s="22"/>
      <c r="X61" s="22"/>
      <c r="Y61" s="24"/>
      <c r="Z61" s="24"/>
      <c r="AA61" s="24"/>
      <c r="AB61" s="22"/>
      <c r="AC61" s="22"/>
      <c r="AD61" s="22"/>
      <c r="AE61" s="22"/>
      <c r="AF61" s="22"/>
      <c r="AG61" s="22"/>
      <c r="AH61" s="22"/>
    </row>
    <row r="62" spans="1:34" ht="30.25" customHeight="1" x14ac:dyDescent="0.35">
      <c r="A62" s="199"/>
      <c r="B62" s="37">
        <v>59</v>
      </c>
      <c r="C62" s="196"/>
      <c r="D62" s="34" t="s">
        <v>10</v>
      </c>
      <c r="E62" s="41" t="s">
        <v>8</v>
      </c>
      <c r="F62" s="43" t="s">
        <v>28</v>
      </c>
      <c r="G62" s="37" t="s">
        <v>29</v>
      </c>
      <c r="H62" s="37" t="s">
        <v>8</v>
      </c>
      <c r="I62" s="37" t="s">
        <v>9</v>
      </c>
      <c r="J62" s="36">
        <v>1500</v>
      </c>
      <c r="K62" s="27">
        <f>0</f>
        <v>0</v>
      </c>
      <c r="L62" s="127">
        <f t="shared" si="0"/>
        <v>0</v>
      </c>
      <c r="M62" s="127">
        <f t="shared" si="1"/>
        <v>0</v>
      </c>
      <c r="N62" s="128"/>
      <c r="O62" s="129">
        <f t="shared" si="2"/>
        <v>0</v>
      </c>
      <c r="P62" s="128"/>
      <c r="Q62" s="128"/>
      <c r="R62" s="128"/>
      <c r="S62" s="26">
        <f t="shared" si="3"/>
        <v>0</v>
      </c>
      <c r="T62" s="25" t="str">
        <f t="shared" si="4"/>
        <v>OK</v>
      </c>
      <c r="U62" s="138"/>
      <c r="V62" s="139"/>
      <c r="W62" s="22"/>
      <c r="X62" s="22"/>
      <c r="Y62" s="24"/>
      <c r="Z62" s="24"/>
      <c r="AA62" s="24"/>
      <c r="AB62" s="22"/>
      <c r="AC62" s="22"/>
      <c r="AD62" s="22"/>
      <c r="AE62" s="22"/>
      <c r="AF62" s="22"/>
      <c r="AG62" s="22"/>
      <c r="AH62" s="22"/>
    </row>
    <row r="63" spans="1:34" ht="30.25" customHeight="1" x14ac:dyDescent="0.35">
      <c r="A63" s="199"/>
      <c r="B63" s="37">
        <v>60</v>
      </c>
      <c r="C63" s="196"/>
      <c r="D63" s="34" t="s">
        <v>11</v>
      </c>
      <c r="E63" s="41" t="s">
        <v>8</v>
      </c>
      <c r="F63" s="43" t="s">
        <v>28</v>
      </c>
      <c r="G63" s="37" t="s">
        <v>29</v>
      </c>
      <c r="H63" s="37" t="s">
        <v>8</v>
      </c>
      <c r="I63" s="37" t="s">
        <v>9</v>
      </c>
      <c r="J63" s="36">
        <v>1731</v>
      </c>
      <c r="K63" s="27">
        <f>0</f>
        <v>0</v>
      </c>
      <c r="L63" s="127">
        <f t="shared" si="0"/>
        <v>0</v>
      </c>
      <c r="M63" s="127">
        <f t="shared" si="1"/>
        <v>0</v>
      </c>
      <c r="N63" s="128"/>
      <c r="O63" s="129">
        <f t="shared" si="2"/>
        <v>0</v>
      </c>
      <c r="P63" s="128"/>
      <c r="Q63" s="128"/>
      <c r="R63" s="128"/>
      <c r="S63" s="26">
        <f t="shared" si="3"/>
        <v>0</v>
      </c>
      <c r="T63" s="25" t="str">
        <f t="shared" si="4"/>
        <v>OK</v>
      </c>
      <c r="U63" s="138"/>
      <c r="V63" s="139"/>
      <c r="W63" s="22"/>
      <c r="X63" s="22"/>
      <c r="Y63" s="24"/>
      <c r="Z63" s="24"/>
      <c r="AA63" s="24"/>
      <c r="AB63" s="22"/>
      <c r="AC63" s="22"/>
      <c r="AD63" s="22"/>
      <c r="AE63" s="22"/>
      <c r="AF63" s="22"/>
      <c r="AG63" s="22"/>
      <c r="AH63" s="22"/>
    </row>
    <row r="64" spans="1:34" ht="30.25" customHeight="1" x14ac:dyDescent="0.35">
      <c r="A64" s="199"/>
      <c r="B64" s="37">
        <v>61</v>
      </c>
      <c r="C64" s="196"/>
      <c r="D64" s="34" t="s">
        <v>12</v>
      </c>
      <c r="E64" s="41" t="s">
        <v>8</v>
      </c>
      <c r="F64" s="43" t="s">
        <v>28</v>
      </c>
      <c r="G64" s="37" t="s">
        <v>29</v>
      </c>
      <c r="H64" s="37" t="s">
        <v>34</v>
      </c>
      <c r="I64" s="37" t="s">
        <v>9</v>
      </c>
      <c r="J64" s="36">
        <v>160</v>
      </c>
      <c r="K64" s="27">
        <f>0</f>
        <v>0</v>
      </c>
      <c r="L64" s="127">
        <f t="shared" si="0"/>
        <v>0</v>
      </c>
      <c r="M64" s="127">
        <f t="shared" si="1"/>
        <v>0</v>
      </c>
      <c r="N64" s="128"/>
      <c r="O64" s="129">
        <f t="shared" si="2"/>
        <v>0</v>
      </c>
      <c r="P64" s="128"/>
      <c r="Q64" s="128"/>
      <c r="R64" s="128"/>
      <c r="S64" s="26">
        <f t="shared" si="3"/>
        <v>0</v>
      </c>
      <c r="T64" s="25" t="str">
        <f t="shared" si="4"/>
        <v>OK</v>
      </c>
      <c r="U64" s="138"/>
      <c r="V64" s="139"/>
      <c r="W64" s="22"/>
      <c r="X64" s="22"/>
      <c r="Y64" s="24"/>
      <c r="Z64" s="24"/>
      <c r="AA64" s="24"/>
      <c r="AB64" s="22"/>
      <c r="AC64" s="22"/>
      <c r="AD64" s="22"/>
      <c r="AE64" s="22"/>
      <c r="AF64" s="22"/>
      <c r="AG64" s="22"/>
      <c r="AH64" s="22"/>
    </row>
    <row r="65" spans="1:34" ht="30.25" customHeight="1" x14ac:dyDescent="0.35">
      <c r="A65" s="199"/>
      <c r="B65" s="37">
        <v>62</v>
      </c>
      <c r="C65" s="196"/>
      <c r="D65" s="34" t="s">
        <v>156</v>
      </c>
      <c r="E65" s="41" t="s">
        <v>8</v>
      </c>
      <c r="F65" s="43" t="s">
        <v>28</v>
      </c>
      <c r="G65" s="37" t="s">
        <v>29</v>
      </c>
      <c r="H65" s="37" t="s">
        <v>34</v>
      </c>
      <c r="I65" s="37" t="s">
        <v>9</v>
      </c>
      <c r="J65" s="36">
        <v>135</v>
      </c>
      <c r="K65" s="27">
        <f>0</f>
        <v>0</v>
      </c>
      <c r="L65" s="127">
        <f t="shared" si="0"/>
        <v>0</v>
      </c>
      <c r="M65" s="127">
        <f t="shared" si="1"/>
        <v>0</v>
      </c>
      <c r="N65" s="128"/>
      <c r="O65" s="129">
        <f t="shared" si="2"/>
        <v>0</v>
      </c>
      <c r="P65" s="128"/>
      <c r="Q65" s="128"/>
      <c r="R65" s="128"/>
      <c r="S65" s="26">
        <f t="shared" si="3"/>
        <v>0</v>
      </c>
      <c r="T65" s="25" t="str">
        <f t="shared" si="4"/>
        <v>OK</v>
      </c>
      <c r="U65" s="138"/>
      <c r="V65" s="139"/>
      <c r="W65" s="22"/>
      <c r="X65" s="22"/>
      <c r="Y65" s="24"/>
      <c r="Z65" s="24"/>
      <c r="AA65" s="24"/>
      <c r="AB65" s="22"/>
      <c r="AC65" s="22"/>
      <c r="AD65" s="22"/>
      <c r="AE65" s="22"/>
      <c r="AF65" s="22"/>
      <c r="AG65" s="22"/>
      <c r="AH65" s="22"/>
    </row>
    <row r="66" spans="1:34" ht="30.25" customHeight="1" x14ac:dyDescent="0.35">
      <c r="A66" s="199"/>
      <c r="B66" s="37">
        <v>63</v>
      </c>
      <c r="C66" s="196"/>
      <c r="D66" s="34" t="s">
        <v>13</v>
      </c>
      <c r="E66" s="41" t="s">
        <v>8</v>
      </c>
      <c r="F66" s="43" t="s">
        <v>28</v>
      </c>
      <c r="G66" s="37" t="s">
        <v>29</v>
      </c>
      <c r="H66" s="37" t="s">
        <v>34</v>
      </c>
      <c r="I66" s="37" t="s">
        <v>9</v>
      </c>
      <c r="J66" s="36">
        <v>135</v>
      </c>
      <c r="K66" s="27">
        <f>0</f>
        <v>0</v>
      </c>
      <c r="L66" s="127">
        <f t="shared" si="0"/>
        <v>0</v>
      </c>
      <c r="M66" s="127">
        <f t="shared" si="1"/>
        <v>0</v>
      </c>
      <c r="N66" s="128"/>
      <c r="O66" s="129">
        <f t="shared" si="2"/>
        <v>0</v>
      </c>
      <c r="P66" s="128"/>
      <c r="Q66" s="128"/>
      <c r="R66" s="128"/>
      <c r="S66" s="26">
        <f t="shared" si="3"/>
        <v>0</v>
      </c>
      <c r="T66" s="25" t="str">
        <f t="shared" si="4"/>
        <v>OK</v>
      </c>
      <c r="U66" s="138"/>
      <c r="V66" s="139"/>
      <c r="W66" s="22"/>
      <c r="X66" s="22"/>
      <c r="Y66" s="24"/>
      <c r="Z66" s="24"/>
      <c r="AA66" s="24"/>
      <c r="AB66" s="22"/>
      <c r="AC66" s="22"/>
      <c r="AD66" s="22"/>
      <c r="AE66" s="22"/>
      <c r="AF66" s="22"/>
      <c r="AG66" s="22"/>
      <c r="AH66" s="22"/>
    </row>
    <row r="67" spans="1:34" ht="30.25" customHeight="1" x14ac:dyDescent="0.35">
      <c r="A67" s="199"/>
      <c r="B67" s="37">
        <v>64</v>
      </c>
      <c r="C67" s="196"/>
      <c r="D67" s="34" t="s">
        <v>157</v>
      </c>
      <c r="E67" s="41" t="s">
        <v>8</v>
      </c>
      <c r="F67" s="43" t="s">
        <v>28</v>
      </c>
      <c r="G67" s="37" t="s">
        <v>29</v>
      </c>
      <c r="H67" s="37" t="s">
        <v>8</v>
      </c>
      <c r="I67" s="37" t="s">
        <v>9</v>
      </c>
      <c r="J67" s="36">
        <v>365</v>
      </c>
      <c r="K67" s="27">
        <f>0</f>
        <v>0</v>
      </c>
      <c r="L67" s="127">
        <f t="shared" si="0"/>
        <v>0</v>
      </c>
      <c r="M67" s="127">
        <f t="shared" si="1"/>
        <v>0</v>
      </c>
      <c r="N67" s="128"/>
      <c r="O67" s="129">
        <f t="shared" si="2"/>
        <v>0</v>
      </c>
      <c r="P67" s="128"/>
      <c r="Q67" s="128"/>
      <c r="R67" s="128"/>
      <c r="S67" s="26">
        <f t="shared" si="3"/>
        <v>0</v>
      </c>
      <c r="T67" s="25" t="str">
        <f t="shared" si="4"/>
        <v>OK</v>
      </c>
      <c r="U67" s="138"/>
      <c r="V67" s="139"/>
      <c r="W67" s="22"/>
      <c r="X67" s="22"/>
      <c r="Y67" s="24"/>
      <c r="Z67" s="24"/>
      <c r="AA67" s="24"/>
      <c r="AB67" s="22"/>
      <c r="AC67" s="22"/>
      <c r="AD67" s="22"/>
      <c r="AE67" s="22"/>
      <c r="AF67" s="22"/>
      <c r="AG67" s="22"/>
      <c r="AH67" s="22"/>
    </row>
    <row r="68" spans="1:34" ht="30.25" customHeight="1" x14ac:dyDescent="0.35">
      <c r="A68" s="200"/>
      <c r="B68" s="37">
        <v>65</v>
      </c>
      <c r="C68" s="197"/>
      <c r="D68" s="34" t="s">
        <v>30</v>
      </c>
      <c r="E68" s="41" t="s">
        <v>8</v>
      </c>
      <c r="F68" s="43" t="s">
        <v>28</v>
      </c>
      <c r="G68" s="37" t="s">
        <v>29</v>
      </c>
      <c r="H68" s="37" t="s">
        <v>8</v>
      </c>
      <c r="I68" s="37" t="s">
        <v>9</v>
      </c>
      <c r="J68" s="36">
        <v>100</v>
      </c>
      <c r="K68" s="27">
        <f>0</f>
        <v>0</v>
      </c>
      <c r="L68" s="127">
        <f t="shared" si="0"/>
        <v>0</v>
      </c>
      <c r="M68" s="127">
        <f t="shared" si="1"/>
        <v>0</v>
      </c>
      <c r="N68" s="128"/>
      <c r="O68" s="129">
        <f t="shared" si="2"/>
        <v>0</v>
      </c>
      <c r="P68" s="128"/>
      <c r="Q68" s="128"/>
      <c r="R68" s="128"/>
      <c r="S68" s="26">
        <f t="shared" si="3"/>
        <v>0</v>
      </c>
      <c r="T68" s="25" t="str">
        <f t="shared" si="4"/>
        <v>OK</v>
      </c>
      <c r="U68" s="138"/>
      <c r="V68" s="139"/>
      <c r="W68" s="22"/>
      <c r="X68" s="22"/>
      <c r="Y68" s="24"/>
      <c r="Z68" s="24"/>
      <c r="AA68" s="24"/>
      <c r="AB68" s="22"/>
      <c r="AC68" s="22"/>
      <c r="AD68" s="22"/>
      <c r="AE68" s="22"/>
      <c r="AF68" s="22"/>
      <c r="AG68" s="22"/>
      <c r="AH68" s="22"/>
    </row>
    <row r="69" spans="1:34" ht="30.25" customHeight="1" x14ac:dyDescent="0.35">
      <c r="A69" s="208" t="s">
        <v>164</v>
      </c>
      <c r="B69" s="44">
        <v>66</v>
      </c>
      <c r="C69" s="205" t="s">
        <v>92</v>
      </c>
      <c r="D69" s="46" t="s">
        <v>27</v>
      </c>
      <c r="E69" s="48" t="s">
        <v>8</v>
      </c>
      <c r="F69" s="50" t="s">
        <v>28</v>
      </c>
      <c r="G69" s="44" t="s">
        <v>29</v>
      </c>
      <c r="H69" s="44" t="s">
        <v>8</v>
      </c>
      <c r="I69" s="44" t="s">
        <v>9</v>
      </c>
      <c r="J69" s="47">
        <v>140</v>
      </c>
      <c r="K69" s="27">
        <f>0</f>
        <v>0</v>
      </c>
      <c r="L69" s="127">
        <f t="shared" ref="L69:L81" si="5">IF(SUM(U69:AL69)&gt;K69+N69,K69+N69,SUM(U69:AL69))</f>
        <v>0</v>
      </c>
      <c r="M69" s="127">
        <f t="shared" ref="M69:M81" si="6">(SUM(U69:AL69))</f>
        <v>0</v>
      </c>
      <c r="N69" s="128"/>
      <c r="O69" s="129">
        <f t="shared" ref="O69:O81" si="7">ROUND(IF(K69*0.25-0.5&lt;0,0,K69*0.25-0.5),0)-R69-P69</f>
        <v>0</v>
      </c>
      <c r="P69" s="128"/>
      <c r="Q69" s="128"/>
      <c r="R69" s="128"/>
      <c r="S69" s="26">
        <f t="shared" ref="S69:S81" si="8">K69-SUM(U69:AH69)+N69</f>
        <v>0</v>
      </c>
      <c r="T69" s="25" t="str">
        <f t="shared" ref="T69:T82" si="9">IF(S69&lt;0,"ATENÇÃO","OK")</f>
        <v>OK</v>
      </c>
      <c r="U69" s="138"/>
      <c r="V69" s="139"/>
      <c r="W69" s="22"/>
      <c r="X69" s="22"/>
      <c r="Y69" s="24"/>
      <c r="Z69" s="24"/>
      <c r="AA69" s="24"/>
      <c r="AB69" s="22"/>
      <c r="AC69" s="22"/>
      <c r="AD69" s="22"/>
      <c r="AE69" s="22"/>
      <c r="AF69" s="22"/>
      <c r="AG69" s="22"/>
      <c r="AH69" s="22"/>
    </row>
    <row r="70" spans="1:34" ht="30.25" customHeight="1" x14ac:dyDescent="0.35">
      <c r="A70" s="209"/>
      <c r="B70" s="44">
        <v>67</v>
      </c>
      <c r="C70" s="206"/>
      <c r="D70" s="46" t="s">
        <v>7</v>
      </c>
      <c r="E70" s="48" t="s">
        <v>8</v>
      </c>
      <c r="F70" s="50" t="s">
        <v>28</v>
      </c>
      <c r="G70" s="44" t="s">
        <v>29</v>
      </c>
      <c r="H70" s="44" t="s">
        <v>8</v>
      </c>
      <c r="I70" s="44" t="s">
        <v>9</v>
      </c>
      <c r="J70" s="47">
        <v>530</v>
      </c>
      <c r="K70" s="27">
        <f>0</f>
        <v>0</v>
      </c>
      <c r="L70" s="127">
        <f t="shared" si="5"/>
        <v>0</v>
      </c>
      <c r="M70" s="127">
        <f t="shared" si="6"/>
        <v>0</v>
      </c>
      <c r="N70" s="128"/>
      <c r="O70" s="129">
        <f t="shared" si="7"/>
        <v>0</v>
      </c>
      <c r="P70" s="128"/>
      <c r="Q70" s="128"/>
      <c r="R70" s="128"/>
      <c r="S70" s="26">
        <f t="shared" si="8"/>
        <v>0</v>
      </c>
      <c r="T70" s="25" t="str">
        <f t="shared" si="9"/>
        <v>OK</v>
      </c>
      <c r="U70" s="138"/>
      <c r="V70" s="139"/>
      <c r="W70" s="22"/>
      <c r="X70" s="22"/>
      <c r="Y70" s="24"/>
      <c r="Z70" s="24"/>
      <c r="AA70" s="24"/>
      <c r="AB70" s="22"/>
      <c r="AC70" s="22"/>
      <c r="AD70" s="22"/>
      <c r="AE70" s="22"/>
      <c r="AF70" s="22"/>
      <c r="AG70" s="22"/>
      <c r="AH70" s="22"/>
    </row>
    <row r="71" spans="1:34" ht="30.25" customHeight="1" x14ac:dyDescent="0.35">
      <c r="A71" s="209"/>
      <c r="B71" s="44">
        <v>68</v>
      </c>
      <c r="C71" s="206"/>
      <c r="D71" s="46" t="s">
        <v>10</v>
      </c>
      <c r="E71" s="48" t="s">
        <v>8</v>
      </c>
      <c r="F71" s="50" t="s">
        <v>28</v>
      </c>
      <c r="G71" s="44" t="s">
        <v>29</v>
      </c>
      <c r="H71" s="44" t="s">
        <v>8</v>
      </c>
      <c r="I71" s="44" t="s">
        <v>9</v>
      </c>
      <c r="J71" s="47">
        <v>660</v>
      </c>
      <c r="K71" s="27">
        <f>0</f>
        <v>0</v>
      </c>
      <c r="L71" s="127">
        <f t="shared" si="5"/>
        <v>0</v>
      </c>
      <c r="M71" s="127">
        <f t="shared" si="6"/>
        <v>0</v>
      </c>
      <c r="N71" s="128"/>
      <c r="O71" s="129">
        <f t="shared" si="7"/>
        <v>0</v>
      </c>
      <c r="P71" s="128"/>
      <c r="Q71" s="128"/>
      <c r="R71" s="128"/>
      <c r="S71" s="26">
        <f t="shared" si="8"/>
        <v>0</v>
      </c>
      <c r="T71" s="25" t="str">
        <f t="shared" si="9"/>
        <v>OK</v>
      </c>
      <c r="U71" s="138"/>
      <c r="V71" s="139"/>
      <c r="W71" s="22"/>
      <c r="X71" s="22"/>
      <c r="Y71" s="24"/>
      <c r="Z71" s="24"/>
      <c r="AA71" s="24"/>
      <c r="AB71" s="22"/>
      <c r="AC71" s="22"/>
      <c r="AD71" s="22"/>
      <c r="AE71" s="22"/>
      <c r="AF71" s="22"/>
      <c r="AG71" s="22"/>
      <c r="AH71" s="22"/>
    </row>
    <row r="72" spans="1:34" ht="30.25" customHeight="1" x14ac:dyDescent="0.35">
      <c r="A72" s="209"/>
      <c r="B72" s="44">
        <v>69</v>
      </c>
      <c r="C72" s="206"/>
      <c r="D72" s="46" t="s">
        <v>11</v>
      </c>
      <c r="E72" s="48" t="s">
        <v>8</v>
      </c>
      <c r="F72" s="50" t="s">
        <v>28</v>
      </c>
      <c r="G72" s="44" t="s">
        <v>29</v>
      </c>
      <c r="H72" s="44" t="s">
        <v>8</v>
      </c>
      <c r="I72" s="44" t="s">
        <v>9</v>
      </c>
      <c r="J72" s="47">
        <v>760</v>
      </c>
      <c r="K72" s="27">
        <f>0</f>
        <v>0</v>
      </c>
      <c r="L72" s="127">
        <f t="shared" si="5"/>
        <v>0</v>
      </c>
      <c r="M72" s="127">
        <f t="shared" si="6"/>
        <v>0</v>
      </c>
      <c r="N72" s="128"/>
      <c r="O72" s="129">
        <f t="shared" si="7"/>
        <v>0</v>
      </c>
      <c r="P72" s="128"/>
      <c r="Q72" s="128"/>
      <c r="R72" s="128"/>
      <c r="S72" s="26">
        <f t="shared" si="8"/>
        <v>0</v>
      </c>
      <c r="T72" s="25" t="str">
        <f t="shared" si="9"/>
        <v>OK</v>
      </c>
      <c r="U72" s="138"/>
      <c r="V72" s="139"/>
      <c r="W72" s="22"/>
      <c r="X72" s="22"/>
      <c r="Y72" s="24"/>
      <c r="Z72" s="24"/>
      <c r="AA72" s="24"/>
      <c r="AB72" s="22"/>
      <c r="AC72" s="22"/>
      <c r="AD72" s="22"/>
      <c r="AE72" s="22"/>
      <c r="AF72" s="22"/>
      <c r="AG72" s="22"/>
      <c r="AH72" s="22"/>
    </row>
    <row r="73" spans="1:34" ht="30.25" customHeight="1" x14ac:dyDescent="0.35">
      <c r="A73" s="209"/>
      <c r="B73" s="44">
        <v>70</v>
      </c>
      <c r="C73" s="206"/>
      <c r="D73" s="46" t="s">
        <v>12</v>
      </c>
      <c r="E73" s="48" t="s">
        <v>8</v>
      </c>
      <c r="F73" s="50" t="s">
        <v>28</v>
      </c>
      <c r="G73" s="44" t="s">
        <v>29</v>
      </c>
      <c r="H73" s="44" t="s">
        <v>34</v>
      </c>
      <c r="I73" s="44" t="s">
        <v>9</v>
      </c>
      <c r="J73" s="47">
        <v>70</v>
      </c>
      <c r="K73" s="27">
        <f>0</f>
        <v>0</v>
      </c>
      <c r="L73" s="127">
        <f t="shared" si="5"/>
        <v>0</v>
      </c>
      <c r="M73" s="127">
        <f t="shared" si="6"/>
        <v>0</v>
      </c>
      <c r="N73" s="128"/>
      <c r="O73" s="129">
        <f t="shared" si="7"/>
        <v>0</v>
      </c>
      <c r="P73" s="128"/>
      <c r="Q73" s="128"/>
      <c r="R73" s="128"/>
      <c r="S73" s="26">
        <f t="shared" si="8"/>
        <v>0</v>
      </c>
      <c r="T73" s="25" t="str">
        <f t="shared" si="9"/>
        <v>OK</v>
      </c>
      <c r="U73" s="138"/>
      <c r="V73" s="139"/>
      <c r="W73" s="22"/>
      <c r="X73" s="22"/>
      <c r="Y73" s="24"/>
      <c r="Z73" s="24"/>
      <c r="AA73" s="24"/>
      <c r="AB73" s="22"/>
      <c r="AC73" s="22"/>
      <c r="AD73" s="22"/>
      <c r="AE73" s="22"/>
      <c r="AF73" s="22"/>
      <c r="AG73" s="22"/>
      <c r="AH73" s="22"/>
    </row>
    <row r="74" spans="1:34" ht="30.25" customHeight="1" x14ac:dyDescent="0.35">
      <c r="A74" s="209"/>
      <c r="B74" s="44">
        <v>71</v>
      </c>
      <c r="C74" s="206"/>
      <c r="D74" s="46" t="s">
        <v>156</v>
      </c>
      <c r="E74" s="48" t="s">
        <v>8</v>
      </c>
      <c r="F74" s="50" t="s">
        <v>28</v>
      </c>
      <c r="G74" s="44" t="s">
        <v>29</v>
      </c>
      <c r="H74" s="44" t="s">
        <v>34</v>
      </c>
      <c r="I74" s="44" t="s">
        <v>9</v>
      </c>
      <c r="J74" s="47">
        <v>75</v>
      </c>
      <c r="K74" s="27">
        <f>0</f>
        <v>0</v>
      </c>
      <c r="L74" s="127">
        <f t="shared" si="5"/>
        <v>0</v>
      </c>
      <c r="M74" s="127">
        <f t="shared" si="6"/>
        <v>0</v>
      </c>
      <c r="N74" s="128"/>
      <c r="O74" s="129">
        <f t="shared" si="7"/>
        <v>0</v>
      </c>
      <c r="P74" s="128"/>
      <c r="Q74" s="128"/>
      <c r="R74" s="128"/>
      <c r="S74" s="26">
        <f t="shared" si="8"/>
        <v>0</v>
      </c>
      <c r="T74" s="25" t="str">
        <f t="shared" si="9"/>
        <v>OK</v>
      </c>
      <c r="U74" s="138"/>
      <c r="V74" s="139"/>
      <c r="W74" s="22"/>
      <c r="X74" s="22"/>
      <c r="Y74" s="24"/>
      <c r="Z74" s="24"/>
      <c r="AA74" s="24"/>
      <c r="AB74" s="22"/>
      <c r="AC74" s="22"/>
      <c r="AD74" s="22"/>
      <c r="AE74" s="22"/>
      <c r="AF74" s="22"/>
      <c r="AG74" s="22"/>
      <c r="AH74" s="22"/>
    </row>
    <row r="75" spans="1:34" ht="30.25" customHeight="1" x14ac:dyDescent="0.35">
      <c r="A75" s="209"/>
      <c r="B75" s="44">
        <v>72</v>
      </c>
      <c r="C75" s="206"/>
      <c r="D75" s="46" t="s">
        <v>13</v>
      </c>
      <c r="E75" s="48" t="s">
        <v>8</v>
      </c>
      <c r="F75" s="50" t="s">
        <v>28</v>
      </c>
      <c r="G75" s="44" t="s">
        <v>29</v>
      </c>
      <c r="H75" s="44" t="s">
        <v>34</v>
      </c>
      <c r="I75" s="44" t="s">
        <v>9</v>
      </c>
      <c r="J75" s="47">
        <v>80</v>
      </c>
      <c r="K75" s="27">
        <f>0</f>
        <v>0</v>
      </c>
      <c r="L75" s="127">
        <f t="shared" si="5"/>
        <v>0</v>
      </c>
      <c r="M75" s="127">
        <f t="shared" si="6"/>
        <v>0</v>
      </c>
      <c r="N75" s="128"/>
      <c r="O75" s="129">
        <f t="shared" si="7"/>
        <v>0</v>
      </c>
      <c r="P75" s="128"/>
      <c r="Q75" s="128"/>
      <c r="R75" s="128"/>
      <c r="S75" s="26">
        <f t="shared" si="8"/>
        <v>0</v>
      </c>
      <c r="T75" s="25" t="str">
        <f t="shared" si="9"/>
        <v>OK</v>
      </c>
      <c r="U75" s="138"/>
      <c r="V75" s="139"/>
      <c r="W75" s="22"/>
      <c r="X75" s="22"/>
      <c r="Y75" s="24"/>
      <c r="Z75" s="24"/>
      <c r="AA75" s="24"/>
      <c r="AB75" s="22"/>
      <c r="AC75" s="22"/>
      <c r="AD75" s="22"/>
      <c r="AE75" s="22"/>
      <c r="AF75" s="22"/>
      <c r="AG75" s="22"/>
      <c r="AH75" s="22"/>
    </row>
    <row r="76" spans="1:34" ht="30.25" customHeight="1" x14ac:dyDescent="0.35">
      <c r="A76" s="209"/>
      <c r="B76" s="44">
        <v>73</v>
      </c>
      <c r="C76" s="206"/>
      <c r="D76" s="46" t="s">
        <v>157</v>
      </c>
      <c r="E76" s="48" t="s">
        <v>8</v>
      </c>
      <c r="F76" s="50" t="s">
        <v>28</v>
      </c>
      <c r="G76" s="44" t="s">
        <v>29</v>
      </c>
      <c r="H76" s="44" t="s">
        <v>8</v>
      </c>
      <c r="I76" s="44" t="s">
        <v>9</v>
      </c>
      <c r="J76" s="47">
        <v>150</v>
      </c>
      <c r="K76" s="27">
        <f>0</f>
        <v>0</v>
      </c>
      <c r="L76" s="127">
        <f t="shared" si="5"/>
        <v>0</v>
      </c>
      <c r="M76" s="127">
        <f t="shared" si="6"/>
        <v>0</v>
      </c>
      <c r="N76" s="128"/>
      <c r="O76" s="129">
        <f t="shared" si="7"/>
        <v>0</v>
      </c>
      <c r="P76" s="128"/>
      <c r="Q76" s="128"/>
      <c r="R76" s="128"/>
      <c r="S76" s="26">
        <f t="shared" si="8"/>
        <v>0</v>
      </c>
      <c r="T76" s="25" t="str">
        <f t="shared" si="9"/>
        <v>OK</v>
      </c>
      <c r="U76" s="138"/>
      <c r="V76" s="139"/>
      <c r="W76" s="22"/>
      <c r="X76" s="22"/>
      <c r="Y76" s="24"/>
      <c r="Z76" s="24"/>
      <c r="AA76" s="24"/>
      <c r="AB76" s="22"/>
      <c r="AC76" s="22"/>
      <c r="AD76" s="22"/>
      <c r="AE76" s="22"/>
      <c r="AF76" s="22"/>
      <c r="AG76" s="22"/>
      <c r="AH76" s="22"/>
    </row>
    <row r="77" spans="1:34" ht="30.25" customHeight="1" x14ac:dyDescent="0.35">
      <c r="A77" s="209"/>
      <c r="B77" s="44">
        <v>74</v>
      </c>
      <c r="C77" s="206"/>
      <c r="D77" s="46" t="s">
        <v>30</v>
      </c>
      <c r="E77" s="48" t="s">
        <v>8</v>
      </c>
      <c r="F77" s="50" t="s">
        <v>28</v>
      </c>
      <c r="G77" s="44" t="s">
        <v>29</v>
      </c>
      <c r="H77" s="44" t="s">
        <v>8</v>
      </c>
      <c r="I77" s="44" t="s">
        <v>9</v>
      </c>
      <c r="J77" s="47">
        <v>150</v>
      </c>
      <c r="K77" s="27">
        <f>0</f>
        <v>0</v>
      </c>
      <c r="L77" s="127">
        <f t="shared" si="5"/>
        <v>0</v>
      </c>
      <c r="M77" s="127">
        <f t="shared" si="6"/>
        <v>0</v>
      </c>
      <c r="N77" s="128"/>
      <c r="O77" s="129">
        <f t="shared" si="7"/>
        <v>0</v>
      </c>
      <c r="P77" s="128"/>
      <c r="Q77" s="128"/>
      <c r="R77" s="128"/>
      <c r="S77" s="26">
        <f t="shared" si="8"/>
        <v>0</v>
      </c>
      <c r="T77" s="25" t="str">
        <f t="shared" si="9"/>
        <v>OK</v>
      </c>
      <c r="U77" s="138"/>
      <c r="V77" s="139"/>
      <c r="W77" s="22"/>
      <c r="X77" s="22"/>
      <c r="Y77" s="24"/>
      <c r="Z77" s="24"/>
      <c r="AA77" s="24"/>
      <c r="AB77" s="22"/>
      <c r="AC77" s="22"/>
      <c r="AD77" s="22"/>
      <c r="AE77" s="22"/>
      <c r="AF77" s="22"/>
      <c r="AG77" s="22"/>
      <c r="AH77" s="22"/>
    </row>
    <row r="78" spans="1:34" ht="30.25" customHeight="1" x14ac:dyDescent="0.35">
      <c r="A78" s="210"/>
      <c r="B78" s="44">
        <v>75</v>
      </c>
      <c r="C78" s="207"/>
      <c r="D78" s="46" t="s">
        <v>165</v>
      </c>
      <c r="E78" s="48" t="s">
        <v>8</v>
      </c>
      <c r="F78" s="50" t="s">
        <v>28</v>
      </c>
      <c r="G78" s="44" t="s">
        <v>29</v>
      </c>
      <c r="H78" s="44" t="s">
        <v>8</v>
      </c>
      <c r="I78" s="44" t="s">
        <v>9</v>
      </c>
      <c r="J78" s="47">
        <v>300</v>
      </c>
      <c r="K78" s="27">
        <f>0</f>
        <v>0</v>
      </c>
      <c r="L78" s="127">
        <f t="shared" si="5"/>
        <v>0</v>
      </c>
      <c r="M78" s="127">
        <f t="shared" si="6"/>
        <v>0</v>
      </c>
      <c r="N78" s="128"/>
      <c r="O78" s="129">
        <f t="shared" si="7"/>
        <v>0</v>
      </c>
      <c r="P78" s="128"/>
      <c r="Q78" s="128"/>
      <c r="R78" s="128"/>
      <c r="S78" s="26">
        <f t="shared" si="8"/>
        <v>0</v>
      </c>
      <c r="T78" s="25" t="str">
        <f t="shared" si="9"/>
        <v>OK</v>
      </c>
      <c r="U78" s="138"/>
      <c r="V78" s="139"/>
      <c r="W78" s="22"/>
      <c r="X78" s="22"/>
      <c r="Y78" s="24"/>
      <c r="Z78" s="24"/>
      <c r="AA78" s="24"/>
      <c r="AB78" s="22"/>
      <c r="AC78" s="22"/>
      <c r="AD78" s="22"/>
      <c r="AE78" s="22"/>
      <c r="AF78" s="22"/>
      <c r="AG78" s="22"/>
      <c r="AH78" s="22"/>
    </row>
    <row r="79" spans="1:34" ht="30.25" customHeight="1" x14ac:dyDescent="0.35">
      <c r="A79" s="198" t="s">
        <v>166</v>
      </c>
      <c r="B79" s="37">
        <v>76</v>
      </c>
      <c r="C79" s="195" t="s">
        <v>33</v>
      </c>
      <c r="D79" s="34" t="s">
        <v>7</v>
      </c>
      <c r="E79" s="41" t="s">
        <v>8</v>
      </c>
      <c r="F79" s="43" t="s">
        <v>28</v>
      </c>
      <c r="G79" s="37" t="s">
        <v>29</v>
      </c>
      <c r="H79" s="37" t="s">
        <v>8</v>
      </c>
      <c r="I79" s="37" t="s">
        <v>9</v>
      </c>
      <c r="J79" s="36">
        <v>1001</v>
      </c>
      <c r="K79" s="27">
        <f>10</f>
        <v>10</v>
      </c>
      <c r="L79" s="127">
        <f t="shared" si="5"/>
        <v>0</v>
      </c>
      <c r="M79" s="127">
        <f t="shared" si="6"/>
        <v>0</v>
      </c>
      <c r="N79" s="128"/>
      <c r="O79" s="129">
        <f t="shared" si="7"/>
        <v>2</v>
      </c>
      <c r="P79" s="128"/>
      <c r="Q79" s="128"/>
      <c r="R79" s="128"/>
      <c r="S79" s="26">
        <f t="shared" si="8"/>
        <v>10</v>
      </c>
      <c r="T79" s="25" t="str">
        <f t="shared" si="9"/>
        <v>OK</v>
      </c>
      <c r="U79" s="138"/>
      <c r="V79" s="139"/>
      <c r="W79" s="22"/>
      <c r="X79" s="22"/>
      <c r="Y79" s="24"/>
      <c r="Z79" s="24"/>
      <c r="AA79" s="24"/>
      <c r="AB79" s="22"/>
      <c r="AC79" s="22"/>
      <c r="AD79" s="22"/>
      <c r="AE79" s="22"/>
      <c r="AF79" s="22"/>
      <c r="AG79" s="22"/>
      <c r="AH79" s="22"/>
    </row>
    <row r="80" spans="1:34" ht="30.25" customHeight="1" x14ac:dyDescent="0.35">
      <c r="A80" s="199"/>
      <c r="B80" s="37">
        <v>77</v>
      </c>
      <c r="C80" s="196"/>
      <c r="D80" s="34" t="s">
        <v>12</v>
      </c>
      <c r="E80" s="41" t="s">
        <v>8</v>
      </c>
      <c r="F80" s="43" t="s">
        <v>28</v>
      </c>
      <c r="G80" s="37" t="s">
        <v>29</v>
      </c>
      <c r="H80" s="37" t="s">
        <v>34</v>
      </c>
      <c r="I80" s="37" t="s">
        <v>9</v>
      </c>
      <c r="J80" s="36">
        <v>130</v>
      </c>
      <c r="K80" s="27">
        <f>10</f>
        <v>10</v>
      </c>
      <c r="L80" s="127">
        <f t="shared" si="5"/>
        <v>0</v>
      </c>
      <c r="M80" s="127">
        <f t="shared" si="6"/>
        <v>0</v>
      </c>
      <c r="N80" s="128"/>
      <c r="O80" s="129">
        <f t="shared" si="7"/>
        <v>2</v>
      </c>
      <c r="P80" s="128"/>
      <c r="Q80" s="128"/>
      <c r="R80" s="128"/>
      <c r="S80" s="26">
        <f t="shared" si="8"/>
        <v>10</v>
      </c>
      <c r="T80" s="25" t="str">
        <f t="shared" si="9"/>
        <v>OK</v>
      </c>
      <c r="U80" s="138"/>
      <c r="V80" s="139"/>
      <c r="W80" s="22"/>
      <c r="X80" s="22"/>
      <c r="Y80" s="24"/>
      <c r="Z80" s="24"/>
      <c r="AA80" s="24"/>
      <c r="AB80" s="22"/>
      <c r="AC80" s="22"/>
      <c r="AD80" s="22"/>
      <c r="AE80" s="22"/>
      <c r="AF80" s="22"/>
      <c r="AG80" s="22"/>
      <c r="AH80" s="22"/>
    </row>
    <row r="81" spans="1:34" ht="30.25" customHeight="1" x14ac:dyDescent="0.35">
      <c r="A81" s="200"/>
      <c r="B81" s="37">
        <v>78</v>
      </c>
      <c r="C81" s="197"/>
      <c r="D81" s="34" t="s">
        <v>157</v>
      </c>
      <c r="E81" s="41" t="s">
        <v>8</v>
      </c>
      <c r="F81" s="43" t="s">
        <v>28</v>
      </c>
      <c r="G81" s="37" t="s">
        <v>29</v>
      </c>
      <c r="H81" s="37" t="s">
        <v>8</v>
      </c>
      <c r="I81" s="37" t="s">
        <v>9</v>
      </c>
      <c r="J81" s="36">
        <v>200</v>
      </c>
      <c r="K81" s="27">
        <f>5</f>
        <v>5</v>
      </c>
      <c r="L81" s="127">
        <f t="shared" si="5"/>
        <v>0</v>
      </c>
      <c r="M81" s="127">
        <f t="shared" si="6"/>
        <v>0</v>
      </c>
      <c r="N81" s="128"/>
      <c r="O81" s="129">
        <f t="shared" si="7"/>
        <v>1</v>
      </c>
      <c r="P81" s="128"/>
      <c r="Q81" s="128"/>
      <c r="R81" s="128"/>
      <c r="S81" s="26">
        <f t="shared" si="8"/>
        <v>5</v>
      </c>
      <c r="T81" s="25" t="str">
        <f t="shared" si="9"/>
        <v>OK</v>
      </c>
      <c r="U81" s="138"/>
      <c r="V81" s="139"/>
      <c r="W81" s="22"/>
      <c r="X81" s="22"/>
      <c r="Y81" s="24"/>
      <c r="Z81" s="24"/>
      <c r="AA81" s="24"/>
      <c r="AB81" s="22"/>
      <c r="AC81" s="22"/>
      <c r="AD81" s="22"/>
      <c r="AE81" s="22"/>
      <c r="AF81" s="22"/>
      <c r="AG81" s="22"/>
      <c r="AH81" s="22"/>
    </row>
    <row r="82" spans="1:34" ht="15" thickBot="1" x14ac:dyDescent="0.4">
      <c r="K82" s="4">
        <f>SUM(K4:K81)</f>
        <v>35</v>
      </c>
      <c r="N82" s="132"/>
      <c r="O82" s="132"/>
      <c r="P82" s="132"/>
      <c r="Q82" s="132"/>
      <c r="R82" s="132"/>
      <c r="S82" s="12">
        <f>SUM(S4:S81)</f>
        <v>25</v>
      </c>
      <c r="T82" s="5" t="str">
        <f t="shared" si="9"/>
        <v>OK</v>
      </c>
      <c r="U82" s="30">
        <f t="shared" ref="U82:AH82" si="10">SUMPRODUCT($J$4:$J$81,U4:U81)</f>
        <v>3600</v>
      </c>
      <c r="V82" s="30">
        <f t="shared" si="10"/>
        <v>28767.420000000002</v>
      </c>
      <c r="W82" s="30">
        <f t="shared" si="10"/>
        <v>0</v>
      </c>
      <c r="X82" s="30">
        <f t="shared" si="10"/>
        <v>0</v>
      </c>
      <c r="Y82" s="30">
        <f t="shared" si="10"/>
        <v>0</v>
      </c>
      <c r="Z82" s="30">
        <f t="shared" si="10"/>
        <v>0</v>
      </c>
      <c r="AA82" s="30">
        <f t="shared" si="10"/>
        <v>0</v>
      </c>
      <c r="AB82" s="30">
        <f t="shared" si="10"/>
        <v>0</v>
      </c>
      <c r="AC82" s="30">
        <f t="shared" si="10"/>
        <v>0</v>
      </c>
      <c r="AD82" s="30">
        <f t="shared" si="10"/>
        <v>0</v>
      </c>
      <c r="AE82" s="30">
        <f t="shared" si="10"/>
        <v>0</v>
      </c>
      <c r="AF82" s="30">
        <f t="shared" si="10"/>
        <v>0</v>
      </c>
      <c r="AG82" s="30">
        <f t="shared" si="10"/>
        <v>0</v>
      </c>
      <c r="AH82" s="30">
        <f t="shared" si="10"/>
        <v>0</v>
      </c>
    </row>
    <row r="83" spans="1:34" ht="14.5" x14ac:dyDescent="0.35">
      <c r="D83" s="31" t="s">
        <v>53</v>
      </c>
      <c r="K83" s="132">
        <f>SUMPRODUCT($J$4:$J$81,K4:K81)</f>
        <v>43470.479999999996</v>
      </c>
      <c r="L83" s="132">
        <f>SUMPRODUCT($J$4:$J$81,L4:L81)</f>
        <v>32367.42</v>
      </c>
      <c r="M83" s="132">
        <f>SUMPRODUCT($J$4:$J$81,M4:M81)</f>
        <v>32367.42</v>
      </c>
      <c r="R83" s="126"/>
      <c r="U83" s="142"/>
      <c r="V83" s="142"/>
    </row>
    <row r="84" spans="1:34" ht="29" x14ac:dyDescent="0.35">
      <c r="D84" s="32" t="s">
        <v>54</v>
      </c>
      <c r="R84" s="125"/>
      <c r="U84" s="142"/>
      <c r="V84" s="142"/>
    </row>
    <row r="85" spans="1:34" ht="15.75" customHeight="1" thickBot="1" x14ac:dyDescent="0.4">
      <c r="D85" s="33" t="s">
        <v>55</v>
      </c>
      <c r="R85" s="125"/>
      <c r="U85" s="142"/>
      <c r="V85" s="142"/>
    </row>
    <row r="86" spans="1:34" ht="14.5" x14ac:dyDescent="0.35">
      <c r="U86" s="142"/>
      <c r="V86" s="142"/>
    </row>
    <row r="87" spans="1:34" ht="14.5" x14ac:dyDescent="0.35">
      <c r="U87" s="142"/>
      <c r="V87" s="142"/>
    </row>
    <row r="88" spans="1:34" ht="14.5" x14ac:dyDescent="0.35">
      <c r="U88" s="142"/>
      <c r="V88" s="142"/>
    </row>
    <row r="89" spans="1:34" ht="14.5" x14ac:dyDescent="0.35">
      <c r="U89" s="142"/>
      <c r="V89" s="142"/>
    </row>
    <row r="90" spans="1:34" ht="14.5" x14ac:dyDescent="0.35">
      <c r="U90" s="142"/>
      <c r="V90" s="142"/>
    </row>
    <row r="91" spans="1:34" ht="14.5" x14ac:dyDescent="0.35">
      <c r="U91" s="142"/>
      <c r="V91" s="142"/>
    </row>
    <row r="92" spans="1:34" ht="14.5" x14ac:dyDescent="0.35">
      <c r="U92" s="142"/>
      <c r="V92" s="142"/>
    </row>
  </sheetData>
  <mergeCells count="29">
    <mergeCell ref="A69:A78"/>
    <mergeCell ref="C69:C78"/>
    <mergeCell ref="A79:A81"/>
    <mergeCell ref="C79:C81"/>
    <mergeCell ref="A38:A48"/>
    <mergeCell ref="C38:C48"/>
    <mergeCell ref="A49:A59"/>
    <mergeCell ref="C49:C59"/>
    <mergeCell ref="A60:A68"/>
    <mergeCell ref="C60:C68"/>
    <mergeCell ref="AD1:AD2"/>
    <mergeCell ref="AE1:AE2"/>
    <mergeCell ref="AF1:AF2"/>
    <mergeCell ref="AG1:AG2"/>
    <mergeCell ref="AH1:AH2"/>
    <mergeCell ref="AA1:AA2"/>
    <mergeCell ref="AB1:AB2"/>
    <mergeCell ref="AC1:AC2"/>
    <mergeCell ref="A1:C1"/>
    <mergeCell ref="D1:J1"/>
    <mergeCell ref="K1:T1"/>
    <mergeCell ref="U1:U2"/>
    <mergeCell ref="V1:V2"/>
    <mergeCell ref="W1:W2"/>
    <mergeCell ref="A2:J2"/>
    <mergeCell ref="K2:T2"/>
    <mergeCell ref="X1:X2"/>
    <mergeCell ref="Y1:Y2"/>
    <mergeCell ref="Z1:Z2"/>
  </mergeCells>
  <conditionalFormatting sqref="T1 T3:T1048576">
    <cfRule type="cellIs" dxfId="20" priority="2" operator="equal">
      <formula>"ATENÇÃO"</formula>
    </cfRule>
  </conditionalFormatting>
  <conditionalFormatting sqref="W4:AH81">
    <cfRule type="cellIs" dxfId="19" priority="1" operator="greaterThan">
      <formula>0</formula>
    </cfRule>
  </conditionalFormatting>
  <pageMargins left="0.511811024" right="0.511811024" top="0.78740157499999996" bottom="0.78740157499999996" header="0.31496062000000002" footer="0.31496062000000002"/>
  <pageSetup paperSize="9" scale="60" orientation="landscape" r:id="rId1"/>
  <colBreaks count="1" manualBreakCount="1">
    <brk id="24" max="1048575"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F8582-1FD4-4453-B599-2E3FCCE185F1}">
  <dimension ref="A1:AH92"/>
  <sheetViews>
    <sheetView topLeftCell="A36" zoomScale="80" zoomScaleNormal="80" workbookViewId="0">
      <selection activeCell="B45" sqref="B45"/>
    </sheetView>
  </sheetViews>
  <sheetFormatPr defaultColWidth="9.7265625" defaultRowHeight="30.25" customHeight="1" x14ac:dyDescent="0.35"/>
  <cols>
    <col min="1" max="1" width="6.1796875" style="1" customWidth="1"/>
    <col min="2" max="2" width="6.453125" style="1" customWidth="1"/>
    <col min="3" max="3" width="13.26953125" style="1" customWidth="1"/>
    <col min="4" max="4" width="17.81640625" style="3" customWidth="1"/>
    <col min="5" max="5" width="16.1796875" style="1" customWidth="1"/>
    <col min="6" max="6" width="8.54296875" style="1" customWidth="1"/>
    <col min="7" max="7" width="8.453125" style="1" customWidth="1"/>
    <col min="8" max="8" width="8.26953125" style="1" customWidth="1"/>
    <col min="9" max="9" width="12.7265625" style="1" customWidth="1"/>
    <col min="10" max="10" width="13.54296875" style="3" customWidth="1"/>
    <col min="11" max="11" width="13.7265625" style="4" bestFit="1" customWidth="1"/>
    <col min="12" max="14" width="12.453125" style="4" customWidth="1"/>
    <col min="15" max="15" width="18.1796875" style="4" customWidth="1"/>
    <col min="16" max="17" width="12.453125" style="4" customWidth="1"/>
    <col min="18" max="18" width="16.453125" style="4" bestFit="1" customWidth="1"/>
    <col min="19" max="19" width="13.26953125" style="12" customWidth="1"/>
    <col min="20" max="20" width="12.453125" style="5" customWidth="1"/>
    <col min="21" max="21" width="13.453125" style="6" customWidth="1"/>
    <col min="22" max="22" width="13" style="6" customWidth="1"/>
    <col min="23" max="23" width="13.453125" style="6" customWidth="1"/>
    <col min="24" max="25" width="14.1796875" style="6" customWidth="1"/>
    <col min="26" max="26" width="12.453125" style="6" customWidth="1"/>
    <col min="27" max="27" width="14.1796875" style="6" customWidth="1"/>
    <col min="28" max="28" width="12.7265625" style="6" customWidth="1"/>
    <col min="29" max="29" width="12" style="6" customWidth="1"/>
    <col min="30" max="30" width="12.7265625" style="6" customWidth="1"/>
    <col min="31" max="31" width="13.81640625" style="6" customWidth="1"/>
    <col min="32" max="32" width="13.453125" style="6" customWidth="1"/>
    <col min="33" max="33" width="12.453125" style="2" customWidth="1"/>
    <col min="34" max="34" width="13.7265625" style="2" customWidth="1"/>
    <col min="35" max="16384" width="9.7265625" style="2"/>
  </cols>
  <sheetData>
    <row r="1" spans="1:34" ht="40.15" customHeight="1" x14ac:dyDescent="0.35">
      <c r="A1" s="202" t="s">
        <v>52</v>
      </c>
      <c r="B1" s="203"/>
      <c r="C1" s="204"/>
      <c r="D1" s="211" t="s">
        <v>48</v>
      </c>
      <c r="E1" s="212"/>
      <c r="F1" s="212"/>
      <c r="G1" s="212"/>
      <c r="H1" s="212"/>
      <c r="I1" s="212"/>
      <c r="J1" s="213"/>
      <c r="K1" s="201" t="s">
        <v>49</v>
      </c>
      <c r="L1" s="201"/>
      <c r="M1" s="201"/>
      <c r="N1" s="201"/>
      <c r="O1" s="201"/>
      <c r="P1" s="201"/>
      <c r="Q1" s="201"/>
      <c r="R1" s="201"/>
      <c r="S1" s="201"/>
      <c r="T1" s="201"/>
      <c r="U1" s="177" t="s">
        <v>223</v>
      </c>
      <c r="V1" s="177" t="s">
        <v>225</v>
      </c>
      <c r="W1" s="221" t="s">
        <v>227</v>
      </c>
      <c r="X1" s="221" t="s">
        <v>228</v>
      </c>
      <c r="Y1" s="177" t="s">
        <v>229</v>
      </c>
      <c r="Z1" s="221" t="s">
        <v>231</v>
      </c>
      <c r="AA1" s="221" t="s">
        <v>232</v>
      </c>
      <c r="AB1" s="221" t="s">
        <v>233</v>
      </c>
      <c r="AC1" s="221" t="s">
        <v>349</v>
      </c>
      <c r="AD1" s="177" t="s">
        <v>350</v>
      </c>
      <c r="AE1" s="221" t="s">
        <v>352</v>
      </c>
      <c r="AF1" s="177" t="s">
        <v>353</v>
      </c>
      <c r="AG1" s="221" t="s">
        <v>355</v>
      </c>
      <c r="AH1" s="177" t="s">
        <v>356</v>
      </c>
    </row>
    <row r="2" spans="1:34" ht="25" customHeight="1" x14ac:dyDescent="0.35">
      <c r="A2" s="211" t="s">
        <v>44</v>
      </c>
      <c r="B2" s="212"/>
      <c r="C2" s="212"/>
      <c r="D2" s="212"/>
      <c r="E2" s="212"/>
      <c r="F2" s="212"/>
      <c r="G2" s="212"/>
      <c r="H2" s="212"/>
      <c r="I2" s="212"/>
      <c r="J2" s="213"/>
      <c r="K2" s="214" t="s">
        <v>62</v>
      </c>
      <c r="L2" s="215"/>
      <c r="M2" s="215"/>
      <c r="N2" s="215"/>
      <c r="O2" s="215"/>
      <c r="P2" s="215"/>
      <c r="Q2" s="215"/>
      <c r="R2" s="215"/>
      <c r="S2" s="215"/>
      <c r="T2" s="216"/>
      <c r="U2" s="179" t="s">
        <v>224</v>
      </c>
      <c r="V2" s="179" t="s">
        <v>226</v>
      </c>
      <c r="W2" s="222"/>
      <c r="X2" s="222"/>
      <c r="Y2" s="179" t="s">
        <v>230</v>
      </c>
      <c r="Z2" s="222"/>
      <c r="AA2" s="222"/>
      <c r="AB2" s="222"/>
      <c r="AC2" s="222"/>
      <c r="AD2" s="179" t="s">
        <v>351</v>
      </c>
      <c r="AE2" s="222"/>
      <c r="AF2" s="179" t="s">
        <v>354</v>
      </c>
      <c r="AG2" s="222"/>
      <c r="AH2" s="179" t="s">
        <v>357</v>
      </c>
    </row>
    <row r="3" spans="1:34" s="3" customFormat="1" ht="30.25" customHeight="1" x14ac:dyDescent="0.25">
      <c r="A3" s="7" t="s">
        <v>3</v>
      </c>
      <c r="B3" s="7" t="s">
        <v>56</v>
      </c>
      <c r="C3" s="7" t="s">
        <v>57</v>
      </c>
      <c r="D3" s="8" t="s">
        <v>58</v>
      </c>
      <c r="E3" s="8" t="s">
        <v>59</v>
      </c>
      <c r="F3" s="8" t="s">
        <v>18</v>
      </c>
      <c r="G3" s="8" t="s">
        <v>19</v>
      </c>
      <c r="H3" s="8" t="s">
        <v>60</v>
      </c>
      <c r="I3" s="8" t="s">
        <v>61</v>
      </c>
      <c r="J3" s="9" t="s">
        <v>50</v>
      </c>
      <c r="K3" s="10" t="s">
        <v>4</v>
      </c>
      <c r="L3" s="52" t="s">
        <v>207</v>
      </c>
      <c r="M3" s="52" t="s">
        <v>208</v>
      </c>
      <c r="N3" s="52" t="s">
        <v>209</v>
      </c>
      <c r="O3" s="52" t="s">
        <v>210</v>
      </c>
      <c r="P3" s="52" t="s">
        <v>211</v>
      </c>
      <c r="Q3" s="52" t="s">
        <v>213</v>
      </c>
      <c r="R3" s="52" t="s">
        <v>214</v>
      </c>
      <c r="S3" s="11" t="s">
        <v>0</v>
      </c>
      <c r="T3" s="7" t="s">
        <v>2</v>
      </c>
      <c r="U3" s="149">
        <v>45526</v>
      </c>
      <c r="V3" s="149">
        <v>45533</v>
      </c>
      <c r="W3" s="149">
        <v>45533</v>
      </c>
      <c r="X3" s="149">
        <v>45533</v>
      </c>
      <c r="Y3" s="149">
        <v>45552</v>
      </c>
      <c r="Z3" s="149">
        <v>45566</v>
      </c>
      <c r="AA3" s="149">
        <v>45567</v>
      </c>
      <c r="AB3" s="149">
        <v>45586</v>
      </c>
      <c r="AC3" s="149">
        <v>45615</v>
      </c>
      <c r="AD3" s="149">
        <v>45615</v>
      </c>
      <c r="AE3" s="149">
        <v>45615</v>
      </c>
      <c r="AF3" s="149">
        <v>45617</v>
      </c>
      <c r="AG3" s="149">
        <v>45694</v>
      </c>
      <c r="AH3" s="149">
        <v>45772</v>
      </c>
    </row>
    <row r="4" spans="1:34" ht="30.25" customHeight="1" x14ac:dyDescent="0.35">
      <c r="A4" s="37">
        <v>1</v>
      </c>
      <c r="B4" s="37">
        <v>1</v>
      </c>
      <c r="C4" s="35" t="s">
        <v>63</v>
      </c>
      <c r="D4" s="34" t="s">
        <v>64</v>
      </c>
      <c r="E4" s="35" t="s">
        <v>65</v>
      </c>
      <c r="F4" s="35" t="s">
        <v>20</v>
      </c>
      <c r="G4" s="35" t="s">
        <v>66</v>
      </c>
      <c r="H4" s="35" t="s">
        <v>5</v>
      </c>
      <c r="I4" s="35" t="s">
        <v>6</v>
      </c>
      <c r="J4" s="36">
        <v>1670</v>
      </c>
      <c r="K4" s="27">
        <f>0</f>
        <v>0</v>
      </c>
      <c r="L4" s="127">
        <f>IF(SUM(U4:AL4)&gt;K4+N4,K4+N4,SUM(U4:AL4))</f>
        <v>0</v>
      </c>
      <c r="M4" s="127">
        <f>(SUM(U4:AL4))</f>
        <v>0</v>
      </c>
      <c r="N4" s="128"/>
      <c r="O4" s="129">
        <f>ROUND(IF(K4*0.25-0.5&lt;0,0,K4*0.25-0.5),0)-R4-P4</f>
        <v>0</v>
      </c>
      <c r="P4" s="128"/>
      <c r="Q4" s="128"/>
      <c r="R4" s="128"/>
      <c r="S4" s="26">
        <f>K4-SUM(U4:AH4)+N4</f>
        <v>0</v>
      </c>
      <c r="T4" s="25" t="str">
        <f>IF(S4&lt;0,"ATENÇÃO","OK")</f>
        <v>OK</v>
      </c>
      <c r="U4" s="138"/>
      <c r="V4" s="138"/>
      <c r="W4" s="138"/>
      <c r="X4" s="138"/>
      <c r="Y4" s="139"/>
      <c r="Z4" s="139"/>
      <c r="AA4" s="139"/>
      <c r="AB4" s="138"/>
      <c r="AC4" s="138"/>
      <c r="AD4" s="138"/>
      <c r="AE4" s="138"/>
      <c r="AF4" s="138"/>
      <c r="AG4" s="138"/>
      <c r="AH4" s="138"/>
    </row>
    <row r="5" spans="1:34" ht="30.25" customHeight="1" x14ac:dyDescent="0.35">
      <c r="A5" s="44">
        <v>2</v>
      </c>
      <c r="B5" s="44">
        <v>2</v>
      </c>
      <c r="C5" s="45" t="s">
        <v>67</v>
      </c>
      <c r="D5" s="46" t="s">
        <v>68</v>
      </c>
      <c r="E5" s="45" t="s">
        <v>69</v>
      </c>
      <c r="F5" s="45" t="s">
        <v>20</v>
      </c>
      <c r="G5" s="45" t="s">
        <v>66</v>
      </c>
      <c r="H5" s="45" t="s">
        <v>5</v>
      </c>
      <c r="I5" s="45" t="s">
        <v>6</v>
      </c>
      <c r="J5" s="47">
        <v>1651.67</v>
      </c>
      <c r="K5" s="27">
        <f>4</f>
        <v>4</v>
      </c>
      <c r="L5" s="127">
        <f t="shared" ref="L5:L68" si="0">IF(SUM(U5:AL5)&gt;K5+N5,K5+N5,SUM(U5:AL5))</f>
        <v>4</v>
      </c>
      <c r="M5" s="127">
        <f t="shared" ref="M5:M68" si="1">(SUM(U5:AL5))</f>
        <v>4</v>
      </c>
      <c r="N5" s="128"/>
      <c r="O5" s="129">
        <f t="shared" ref="O5:O68" si="2">ROUND(IF(K5*0.25-0.5&lt;0,0,K5*0.25-0.5),0)-R5-P5</f>
        <v>1</v>
      </c>
      <c r="P5" s="128"/>
      <c r="Q5" s="128"/>
      <c r="R5" s="128"/>
      <c r="S5" s="26">
        <f t="shared" ref="S5:S68" si="3">K5-SUM(U5:AH5)+N5</f>
        <v>0</v>
      </c>
      <c r="T5" s="25" t="str">
        <f t="shared" ref="T5:T68" si="4">IF(S5&lt;0,"ATENÇÃO","OK")</f>
        <v>OK</v>
      </c>
      <c r="U5" s="138"/>
      <c r="V5" s="138"/>
      <c r="W5" s="138"/>
      <c r="X5" s="138"/>
      <c r="Y5" s="139"/>
      <c r="Z5" s="139"/>
      <c r="AA5" s="139"/>
      <c r="AB5" s="138"/>
      <c r="AC5" s="138"/>
      <c r="AD5" s="138"/>
      <c r="AE5" s="138"/>
      <c r="AF5" s="140">
        <v>4</v>
      </c>
      <c r="AG5" s="138"/>
      <c r="AH5" s="138"/>
    </row>
    <row r="6" spans="1:34" ht="30.25" customHeight="1" x14ac:dyDescent="0.35">
      <c r="A6" s="37">
        <v>3</v>
      </c>
      <c r="B6" s="37">
        <v>3</v>
      </c>
      <c r="C6" s="35" t="s">
        <v>63</v>
      </c>
      <c r="D6" s="34" t="s">
        <v>70</v>
      </c>
      <c r="E6" s="35" t="s">
        <v>71</v>
      </c>
      <c r="F6" s="35" t="s">
        <v>20</v>
      </c>
      <c r="G6" s="35" t="s">
        <v>72</v>
      </c>
      <c r="H6" s="35" t="s">
        <v>5</v>
      </c>
      <c r="I6" s="35" t="s">
        <v>6</v>
      </c>
      <c r="J6" s="36">
        <v>1802</v>
      </c>
      <c r="K6" s="27">
        <f>0</f>
        <v>0</v>
      </c>
      <c r="L6" s="127">
        <f t="shared" si="0"/>
        <v>0</v>
      </c>
      <c r="M6" s="127">
        <f t="shared" si="1"/>
        <v>0</v>
      </c>
      <c r="N6" s="128"/>
      <c r="O6" s="129">
        <f t="shared" si="2"/>
        <v>0</v>
      </c>
      <c r="P6" s="128"/>
      <c r="Q6" s="128"/>
      <c r="R6" s="128"/>
      <c r="S6" s="26">
        <f t="shared" si="3"/>
        <v>0</v>
      </c>
      <c r="T6" s="25" t="str">
        <f t="shared" si="4"/>
        <v>OK</v>
      </c>
      <c r="U6" s="138"/>
      <c r="V6" s="138"/>
      <c r="W6" s="138"/>
      <c r="X6" s="138"/>
      <c r="Y6" s="139"/>
      <c r="Z6" s="139"/>
      <c r="AA6" s="139"/>
      <c r="AB6" s="138"/>
      <c r="AC6" s="138"/>
      <c r="AD6" s="138"/>
      <c r="AE6" s="138"/>
      <c r="AF6" s="138"/>
      <c r="AG6" s="138"/>
      <c r="AH6" s="138"/>
    </row>
    <row r="7" spans="1:34" ht="30.25" customHeight="1" x14ac:dyDescent="0.35">
      <c r="A7" s="44">
        <v>4</v>
      </c>
      <c r="B7" s="44">
        <v>4</v>
      </c>
      <c r="C7" s="45" t="s">
        <v>67</v>
      </c>
      <c r="D7" s="46" t="s">
        <v>73</v>
      </c>
      <c r="E7" s="45" t="s">
        <v>74</v>
      </c>
      <c r="F7" s="45" t="s">
        <v>20</v>
      </c>
      <c r="G7" s="45" t="s">
        <v>75</v>
      </c>
      <c r="H7" s="45" t="s">
        <v>5</v>
      </c>
      <c r="I7" s="45" t="s">
        <v>6</v>
      </c>
      <c r="J7" s="47">
        <v>1800</v>
      </c>
      <c r="K7" s="27">
        <f>0</f>
        <v>0</v>
      </c>
      <c r="L7" s="127">
        <f t="shared" si="0"/>
        <v>0</v>
      </c>
      <c r="M7" s="127">
        <f t="shared" si="1"/>
        <v>0</v>
      </c>
      <c r="N7" s="128"/>
      <c r="O7" s="129">
        <f t="shared" si="2"/>
        <v>0</v>
      </c>
      <c r="P7" s="128"/>
      <c r="Q7" s="128"/>
      <c r="R7" s="128"/>
      <c r="S7" s="26">
        <f t="shared" si="3"/>
        <v>0</v>
      </c>
      <c r="T7" s="25" t="str">
        <f t="shared" si="4"/>
        <v>OK</v>
      </c>
      <c r="U7" s="138"/>
      <c r="V7" s="138"/>
      <c r="W7" s="138"/>
      <c r="X7" s="138"/>
      <c r="Y7" s="139"/>
      <c r="Z7" s="139"/>
      <c r="AA7" s="139"/>
      <c r="AB7" s="138"/>
      <c r="AC7" s="138"/>
      <c r="AD7" s="138"/>
      <c r="AE7" s="138"/>
      <c r="AF7" s="138"/>
      <c r="AG7" s="138"/>
      <c r="AH7" s="138"/>
    </row>
    <row r="8" spans="1:34" ht="30.25" customHeight="1" x14ac:dyDescent="0.35">
      <c r="A8" s="37">
        <v>5</v>
      </c>
      <c r="B8" s="37">
        <v>5</v>
      </c>
      <c r="C8" s="35" t="s">
        <v>63</v>
      </c>
      <c r="D8" s="34" t="s">
        <v>76</v>
      </c>
      <c r="E8" s="35" t="s">
        <v>77</v>
      </c>
      <c r="F8" s="35" t="s">
        <v>20</v>
      </c>
      <c r="G8" s="35" t="s">
        <v>78</v>
      </c>
      <c r="H8" s="35" t="s">
        <v>5</v>
      </c>
      <c r="I8" s="35" t="s">
        <v>6</v>
      </c>
      <c r="J8" s="36">
        <v>2686</v>
      </c>
      <c r="K8" s="27">
        <f>0</f>
        <v>0</v>
      </c>
      <c r="L8" s="127">
        <f t="shared" si="0"/>
        <v>0</v>
      </c>
      <c r="M8" s="127">
        <f t="shared" si="1"/>
        <v>0</v>
      </c>
      <c r="N8" s="128"/>
      <c r="O8" s="129">
        <f t="shared" si="2"/>
        <v>0</v>
      </c>
      <c r="P8" s="128"/>
      <c r="Q8" s="128"/>
      <c r="R8" s="128"/>
      <c r="S8" s="26">
        <f t="shared" si="3"/>
        <v>0</v>
      </c>
      <c r="T8" s="25" t="str">
        <f t="shared" si="4"/>
        <v>OK</v>
      </c>
      <c r="U8" s="138"/>
      <c r="V8" s="138"/>
      <c r="W8" s="138"/>
      <c r="X8" s="138"/>
      <c r="Y8" s="139"/>
      <c r="Z8" s="139"/>
      <c r="AA8" s="139"/>
      <c r="AB8" s="138"/>
      <c r="AC8" s="138"/>
      <c r="AD8" s="138"/>
      <c r="AE8" s="138"/>
      <c r="AF8" s="138"/>
      <c r="AG8" s="138"/>
      <c r="AH8" s="138"/>
    </row>
    <row r="9" spans="1:34" ht="59.9" customHeight="1" x14ac:dyDescent="0.35">
      <c r="A9" s="80">
        <v>6</v>
      </c>
      <c r="B9" s="80">
        <v>6</v>
      </c>
      <c r="C9" s="81" t="s">
        <v>67</v>
      </c>
      <c r="D9" s="82" t="s">
        <v>79</v>
      </c>
      <c r="E9" s="87" t="s">
        <v>182</v>
      </c>
      <c r="F9" s="81" t="s">
        <v>20</v>
      </c>
      <c r="G9" s="81" t="s">
        <v>21</v>
      </c>
      <c r="H9" s="81" t="s">
        <v>5</v>
      </c>
      <c r="I9" s="81" t="s">
        <v>6</v>
      </c>
      <c r="J9" s="83">
        <v>2821.51</v>
      </c>
      <c r="K9" s="27">
        <f>8</f>
        <v>8</v>
      </c>
      <c r="L9" s="127">
        <f t="shared" si="0"/>
        <v>7</v>
      </c>
      <c r="M9" s="127">
        <f t="shared" si="1"/>
        <v>7</v>
      </c>
      <c r="N9" s="128"/>
      <c r="O9" s="129">
        <f t="shared" si="2"/>
        <v>2</v>
      </c>
      <c r="P9" s="128"/>
      <c r="Q9" s="128"/>
      <c r="R9" s="128"/>
      <c r="S9" s="26">
        <f t="shared" si="3"/>
        <v>1</v>
      </c>
      <c r="T9" s="25" t="str">
        <f t="shared" si="4"/>
        <v>OK</v>
      </c>
      <c r="U9" s="138"/>
      <c r="V9" s="140">
        <v>3</v>
      </c>
      <c r="W9" s="138"/>
      <c r="X9" s="138"/>
      <c r="Y9" s="139"/>
      <c r="Z9" s="139"/>
      <c r="AA9" s="139"/>
      <c r="AB9" s="138"/>
      <c r="AC9" s="138"/>
      <c r="AD9" s="138"/>
      <c r="AE9" s="138"/>
      <c r="AF9" s="140">
        <v>4</v>
      </c>
      <c r="AG9" s="138"/>
      <c r="AH9" s="138"/>
    </row>
    <row r="10" spans="1:34" ht="30.25" customHeight="1" x14ac:dyDescent="0.35">
      <c r="A10" s="37">
        <v>7</v>
      </c>
      <c r="B10" s="37">
        <v>7</v>
      </c>
      <c r="C10" s="35" t="s">
        <v>63</v>
      </c>
      <c r="D10" s="34" t="s">
        <v>80</v>
      </c>
      <c r="E10" s="35" t="s">
        <v>81</v>
      </c>
      <c r="F10" s="35" t="s">
        <v>20</v>
      </c>
      <c r="G10" s="35" t="s">
        <v>21</v>
      </c>
      <c r="H10" s="35" t="s">
        <v>5</v>
      </c>
      <c r="I10" s="35" t="s">
        <v>6</v>
      </c>
      <c r="J10" s="36">
        <v>7446</v>
      </c>
      <c r="K10" s="27">
        <f>0</f>
        <v>0</v>
      </c>
      <c r="L10" s="127">
        <f t="shared" si="0"/>
        <v>0</v>
      </c>
      <c r="M10" s="127">
        <f t="shared" si="1"/>
        <v>0</v>
      </c>
      <c r="N10" s="128"/>
      <c r="O10" s="129">
        <f t="shared" si="2"/>
        <v>0</v>
      </c>
      <c r="P10" s="128"/>
      <c r="Q10" s="128"/>
      <c r="R10" s="128"/>
      <c r="S10" s="26">
        <f t="shared" si="3"/>
        <v>0</v>
      </c>
      <c r="T10" s="25" t="str">
        <f t="shared" si="4"/>
        <v>OK</v>
      </c>
      <c r="U10" s="138"/>
      <c r="V10" s="138"/>
      <c r="W10" s="138"/>
      <c r="X10" s="138"/>
      <c r="Y10" s="139"/>
      <c r="Z10" s="139"/>
      <c r="AA10" s="139"/>
      <c r="AB10" s="138"/>
      <c r="AC10" s="138"/>
      <c r="AD10" s="138"/>
      <c r="AE10" s="138"/>
      <c r="AF10" s="138"/>
      <c r="AG10" s="138"/>
      <c r="AH10" s="138"/>
    </row>
    <row r="11" spans="1:34" ht="30.25" customHeight="1" x14ac:dyDescent="0.35">
      <c r="A11" s="44">
        <v>8</v>
      </c>
      <c r="B11" s="44">
        <v>8</v>
      </c>
      <c r="C11" s="45" t="s">
        <v>63</v>
      </c>
      <c r="D11" s="46" t="s">
        <v>82</v>
      </c>
      <c r="E11" s="45" t="s">
        <v>81</v>
      </c>
      <c r="F11" s="45" t="s">
        <v>20</v>
      </c>
      <c r="G11" s="45" t="s">
        <v>21</v>
      </c>
      <c r="H11" s="45" t="s">
        <v>5</v>
      </c>
      <c r="I11" s="45" t="s">
        <v>6</v>
      </c>
      <c r="J11" s="47">
        <v>7375</v>
      </c>
      <c r="K11" s="27">
        <f>0</f>
        <v>0</v>
      </c>
      <c r="L11" s="127">
        <f t="shared" si="0"/>
        <v>0</v>
      </c>
      <c r="M11" s="127">
        <f t="shared" si="1"/>
        <v>0</v>
      </c>
      <c r="N11" s="128"/>
      <c r="O11" s="129">
        <f t="shared" si="2"/>
        <v>0</v>
      </c>
      <c r="P11" s="128"/>
      <c r="Q11" s="128"/>
      <c r="R11" s="128"/>
      <c r="S11" s="26">
        <f t="shared" si="3"/>
        <v>0</v>
      </c>
      <c r="T11" s="25" t="str">
        <f t="shared" si="4"/>
        <v>OK</v>
      </c>
      <c r="U11" s="138"/>
      <c r="V11" s="138"/>
      <c r="W11" s="138"/>
      <c r="X11" s="138"/>
      <c r="Y11" s="139"/>
      <c r="Z11" s="139"/>
      <c r="AA11" s="139"/>
      <c r="AB11" s="138"/>
      <c r="AC11" s="138"/>
      <c r="AD11" s="138"/>
      <c r="AE11" s="138"/>
      <c r="AF11" s="138"/>
      <c r="AG11" s="138"/>
      <c r="AH11" s="138"/>
    </row>
    <row r="12" spans="1:34" ht="30.25" customHeight="1" x14ac:dyDescent="0.35">
      <c r="A12" s="37">
        <v>9</v>
      </c>
      <c r="B12" s="37">
        <v>9</v>
      </c>
      <c r="C12" s="35" t="s">
        <v>83</v>
      </c>
      <c r="D12" s="34" t="s">
        <v>84</v>
      </c>
      <c r="E12" s="35" t="s">
        <v>85</v>
      </c>
      <c r="F12" s="35" t="s">
        <v>20</v>
      </c>
      <c r="G12" s="35" t="s">
        <v>22</v>
      </c>
      <c r="H12" s="35" t="s">
        <v>5</v>
      </c>
      <c r="I12" s="35" t="s">
        <v>6</v>
      </c>
      <c r="J12" s="36">
        <v>6213.51</v>
      </c>
      <c r="K12" s="27">
        <f>0</f>
        <v>0</v>
      </c>
      <c r="L12" s="127">
        <f t="shared" si="0"/>
        <v>0</v>
      </c>
      <c r="M12" s="127">
        <f t="shared" si="1"/>
        <v>0</v>
      </c>
      <c r="N12" s="128"/>
      <c r="O12" s="129">
        <f t="shared" si="2"/>
        <v>0</v>
      </c>
      <c r="P12" s="128"/>
      <c r="Q12" s="128"/>
      <c r="R12" s="128"/>
      <c r="S12" s="26">
        <f t="shared" si="3"/>
        <v>0</v>
      </c>
      <c r="T12" s="25" t="str">
        <f t="shared" si="4"/>
        <v>OK</v>
      </c>
      <c r="U12" s="138"/>
      <c r="V12" s="138"/>
      <c r="W12" s="138"/>
      <c r="X12" s="138"/>
      <c r="Y12" s="139"/>
      <c r="Z12" s="139"/>
      <c r="AA12" s="139"/>
      <c r="AB12" s="138"/>
      <c r="AC12" s="138"/>
      <c r="AD12" s="138"/>
      <c r="AE12" s="138"/>
      <c r="AF12" s="138"/>
      <c r="AG12" s="138"/>
      <c r="AH12" s="138"/>
    </row>
    <row r="13" spans="1:34" ht="30.25" customHeight="1" x14ac:dyDescent="0.35">
      <c r="A13" s="44">
        <v>10</v>
      </c>
      <c r="B13" s="44">
        <v>10</v>
      </c>
      <c r="C13" s="45" t="s">
        <v>63</v>
      </c>
      <c r="D13" s="46" t="s">
        <v>86</v>
      </c>
      <c r="E13" s="45" t="s">
        <v>87</v>
      </c>
      <c r="F13" s="45" t="s">
        <v>20</v>
      </c>
      <c r="G13" s="45" t="s">
        <v>22</v>
      </c>
      <c r="H13" s="45" t="s">
        <v>5</v>
      </c>
      <c r="I13" s="45" t="s">
        <v>6</v>
      </c>
      <c r="J13" s="47">
        <v>6689.61</v>
      </c>
      <c r="K13" s="27">
        <f>0</f>
        <v>0</v>
      </c>
      <c r="L13" s="127">
        <f t="shared" si="0"/>
        <v>0</v>
      </c>
      <c r="M13" s="127">
        <f t="shared" si="1"/>
        <v>0</v>
      </c>
      <c r="N13" s="128"/>
      <c r="O13" s="129">
        <f t="shared" si="2"/>
        <v>0</v>
      </c>
      <c r="P13" s="128"/>
      <c r="Q13" s="128"/>
      <c r="R13" s="128"/>
      <c r="S13" s="26">
        <f t="shared" si="3"/>
        <v>0</v>
      </c>
      <c r="T13" s="25" t="str">
        <f t="shared" si="4"/>
        <v>OK</v>
      </c>
      <c r="U13" s="138"/>
      <c r="V13" s="138"/>
      <c r="W13" s="138"/>
      <c r="X13" s="138"/>
      <c r="Y13" s="139"/>
      <c r="Z13" s="139"/>
      <c r="AA13" s="139"/>
      <c r="AB13" s="138"/>
      <c r="AC13" s="138"/>
      <c r="AD13" s="138"/>
      <c r="AE13" s="138"/>
      <c r="AF13" s="138"/>
      <c r="AG13" s="138"/>
      <c r="AH13" s="138"/>
    </row>
    <row r="14" spans="1:34" ht="30.25" customHeight="1" x14ac:dyDescent="0.35">
      <c r="A14" s="37">
        <v>11</v>
      </c>
      <c r="B14" s="37">
        <v>11</v>
      </c>
      <c r="C14" s="35" t="s">
        <v>83</v>
      </c>
      <c r="D14" s="34" t="s">
        <v>88</v>
      </c>
      <c r="E14" s="35" t="s">
        <v>89</v>
      </c>
      <c r="F14" s="37" t="s">
        <v>20</v>
      </c>
      <c r="G14" s="35" t="s">
        <v>22</v>
      </c>
      <c r="H14" s="37" t="s">
        <v>5</v>
      </c>
      <c r="I14" s="35" t="s">
        <v>6</v>
      </c>
      <c r="J14" s="36">
        <v>3445.06</v>
      </c>
      <c r="K14" s="27">
        <f>0</f>
        <v>0</v>
      </c>
      <c r="L14" s="127">
        <f t="shared" si="0"/>
        <v>0</v>
      </c>
      <c r="M14" s="127">
        <f t="shared" si="1"/>
        <v>0</v>
      </c>
      <c r="N14" s="128"/>
      <c r="O14" s="129">
        <f t="shared" si="2"/>
        <v>0</v>
      </c>
      <c r="P14" s="128"/>
      <c r="Q14" s="128"/>
      <c r="R14" s="128"/>
      <c r="S14" s="26">
        <f t="shared" si="3"/>
        <v>0</v>
      </c>
      <c r="T14" s="25" t="str">
        <f t="shared" si="4"/>
        <v>OK</v>
      </c>
      <c r="U14" s="138"/>
      <c r="V14" s="138"/>
      <c r="W14" s="138"/>
      <c r="X14" s="138"/>
      <c r="Y14" s="139"/>
      <c r="Z14" s="139"/>
      <c r="AA14" s="139"/>
      <c r="AB14" s="138"/>
      <c r="AC14" s="138"/>
      <c r="AD14" s="138"/>
      <c r="AE14" s="138"/>
      <c r="AF14" s="138"/>
      <c r="AG14" s="138"/>
      <c r="AH14" s="138"/>
    </row>
    <row r="15" spans="1:34" ht="30.25" customHeight="1" x14ac:dyDescent="0.35">
      <c r="A15" s="44">
        <v>12</v>
      </c>
      <c r="B15" s="44">
        <v>12</v>
      </c>
      <c r="C15" s="45" t="s">
        <v>83</v>
      </c>
      <c r="D15" s="46" t="s">
        <v>90</v>
      </c>
      <c r="E15" s="45" t="s">
        <v>91</v>
      </c>
      <c r="F15" s="44" t="s">
        <v>20</v>
      </c>
      <c r="G15" s="44" t="s">
        <v>22</v>
      </c>
      <c r="H15" s="44" t="s">
        <v>5</v>
      </c>
      <c r="I15" s="45" t="s">
        <v>6</v>
      </c>
      <c r="J15" s="47">
        <v>3617.48</v>
      </c>
      <c r="K15" s="27">
        <f>4</f>
        <v>4</v>
      </c>
      <c r="L15" s="127">
        <f t="shared" si="0"/>
        <v>3</v>
      </c>
      <c r="M15" s="127">
        <f t="shared" si="1"/>
        <v>3</v>
      </c>
      <c r="N15" s="128">
        <v>-1</v>
      </c>
      <c r="O15" s="129">
        <f t="shared" si="2"/>
        <v>1</v>
      </c>
      <c r="P15" s="128"/>
      <c r="Q15" s="128"/>
      <c r="R15" s="128"/>
      <c r="S15" s="26">
        <f t="shared" si="3"/>
        <v>0</v>
      </c>
      <c r="T15" s="25" t="str">
        <f t="shared" si="4"/>
        <v>OK</v>
      </c>
      <c r="U15" s="138"/>
      <c r="V15" s="138"/>
      <c r="W15" s="140">
        <v>2</v>
      </c>
      <c r="X15" s="138"/>
      <c r="Y15" s="139"/>
      <c r="Z15" s="139"/>
      <c r="AA15" s="139"/>
      <c r="AB15" s="138"/>
      <c r="AC15" s="138"/>
      <c r="AD15" s="138"/>
      <c r="AE15" s="140">
        <v>1</v>
      </c>
      <c r="AF15" s="138"/>
      <c r="AG15" s="138"/>
      <c r="AH15" s="138"/>
    </row>
    <row r="16" spans="1:34" ht="30.25" customHeight="1" x14ac:dyDescent="0.35">
      <c r="A16" s="37">
        <v>13</v>
      </c>
      <c r="B16" s="37">
        <v>13</v>
      </c>
      <c r="C16" s="35" t="s">
        <v>92</v>
      </c>
      <c r="D16" s="34" t="s">
        <v>93</v>
      </c>
      <c r="E16" s="35" t="s">
        <v>94</v>
      </c>
      <c r="F16" s="37" t="s">
        <v>20</v>
      </c>
      <c r="G16" s="37" t="s">
        <v>22</v>
      </c>
      <c r="H16" s="37" t="s">
        <v>5</v>
      </c>
      <c r="I16" s="35" t="s">
        <v>6</v>
      </c>
      <c r="J16" s="36">
        <v>7453.33</v>
      </c>
      <c r="K16" s="27">
        <f>0</f>
        <v>0</v>
      </c>
      <c r="L16" s="127">
        <f t="shared" si="0"/>
        <v>0</v>
      </c>
      <c r="M16" s="127">
        <f t="shared" si="1"/>
        <v>0</v>
      </c>
      <c r="N16" s="128"/>
      <c r="O16" s="129">
        <f t="shared" si="2"/>
        <v>0</v>
      </c>
      <c r="P16" s="128"/>
      <c r="Q16" s="128"/>
      <c r="R16" s="128"/>
      <c r="S16" s="26">
        <f t="shared" si="3"/>
        <v>0</v>
      </c>
      <c r="T16" s="25" t="str">
        <f t="shared" si="4"/>
        <v>OK</v>
      </c>
      <c r="U16" s="138"/>
      <c r="V16" s="138"/>
      <c r="W16" s="138"/>
      <c r="X16" s="138"/>
      <c r="Y16" s="139"/>
      <c r="Z16" s="139"/>
      <c r="AA16" s="139"/>
      <c r="AB16" s="138"/>
      <c r="AC16" s="138"/>
      <c r="AD16" s="138"/>
      <c r="AE16" s="138"/>
      <c r="AF16" s="138"/>
      <c r="AG16" s="138"/>
      <c r="AH16" s="138"/>
    </row>
    <row r="17" spans="1:34" ht="30.25" customHeight="1" x14ac:dyDescent="0.35">
      <c r="A17" s="44">
        <v>14</v>
      </c>
      <c r="B17" s="44">
        <v>14</v>
      </c>
      <c r="C17" s="45" t="s">
        <v>92</v>
      </c>
      <c r="D17" s="46" t="s">
        <v>95</v>
      </c>
      <c r="E17" s="45" t="s">
        <v>94</v>
      </c>
      <c r="F17" s="45" t="s">
        <v>20</v>
      </c>
      <c r="G17" s="45" t="s">
        <v>22</v>
      </c>
      <c r="H17" s="45" t="s">
        <v>5</v>
      </c>
      <c r="I17" s="45" t="s">
        <v>6</v>
      </c>
      <c r="J17" s="47">
        <v>9561.2000000000007</v>
      </c>
      <c r="K17" s="27">
        <f>0</f>
        <v>0</v>
      </c>
      <c r="L17" s="127">
        <f t="shared" si="0"/>
        <v>0</v>
      </c>
      <c r="M17" s="127">
        <f t="shared" si="1"/>
        <v>0</v>
      </c>
      <c r="N17" s="128"/>
      <c r="O17" s="129">
        <f t="shared" si="2"/>
        <v>0</v>
      </c>
      <c r="P17" s="128"/>
      <c r="Q17" s="128"/>
      <c r="R17" s="128"/>
      <c r="S17" s="26">
        <f t="shared" si="3"/>
        <v>0</v>
      </c>
      <c r="T17" s="25" t="str">
        <f t="shared" si="4"/>
        <v>OK</v>
      </c>
      <c r="U17" s="138"/>
      <c r="V17" s="138"/>
      <c r="W17" s="138"/>
      <c r="X17" s="138"/>
      <c r="Y17" s="139"/>
      <c r="Z17" s="139"/>
      <c r="AA17" s="139"/>
      <c r="AB17" s="138"/>
      <c r="AC17" s="138"/>
      <c r="AD17" s="138"/>
      <c r="AE17" s="138"/>
      <c r="AF17" s="138"/>
      <c r="AG17" s="138"/>
      <c r="AH17" s="138"/>
    </row>
    <row r="18" spans="1:34" ht="30.25" customHeight="1" x14ac:dyDescent="0.35">
      <c r="A18" s="37">
        <v>15</v>
      </c>
      <c r="B18" s="37">
        <v>15</v>
      </c>
      <c r="C18" s="35" t="s">
        <v>63</v>
      </c>
      <c r="D18" s="34" t="s">
        <v>96</v>
      </c>
      <c r="E18" s="35" t="s">
        <v>97</v>
      </c>
      <c r="F18" s="35" t="s">
        <v>20</v>
      </c>
      <c r="G18" s="35" t="s">
        <v>31</v>
      </c>
      <c r="H18" s="35" t="s">
        <v>5</v>
      </c>
      <c r="I18" s="35" t="s">
        <v>6</v>
      </c>
      <c r="J18" s="36">
        <v>7598</v>
      </c>
      <c r="K18" s="27">
        <f>0</f>
        <v>0</v>
      </c>
      <c r="L18" s="127">
        <f t="shared" si="0"/>
        <v>0</v>
      </c>
      <c r="M18" s="127">
        <f t="shared" si="1"/>
        <v>0</v>
      </c>
      <c r="N18" s="128"/>
      <c r="O18" s="129">
        <f t="shared" si="2"/>
        <v>0</v>
      </c>
      <c r="P18" s="128"/>
      <c r="Q18" s="128"/>
      <c r="R18" s="128"/>
      <c r="S18" s="26">
        <f t="shared" si="3"/>
        <v>0</v>
      </c>
      <c r="T18" s="25" t="str">
        <f t="shared" si="4"/>
        <v>OK</v>
      </c>
      <c r="U18" s="138"/>
      <c r="V18" s="138"/>
      <c r="W18" s="138"/>
      <c r="X18" s="138"/>
      <c r="Y18" s="139"/>
      <c r="Z18" s="139"/>
      <c r="AA18" s="139"/>
      <c r="AB18" s="138"/>
      <c r="AC18" s="138"/>
      <c r="AD18" s="138"/>
      <c r="AE18" s="138"/>
      <c r="AF18" s="138"/>
      <c r="AG18" s="138"/>
      <c r="AH18" s="138"/>
    </row>
    <row r="19" spans="1:34" ht="30.25" customHeight="1" x14ac:dyDescent="0.35">
      <c r="A19" s="44">
        <v>16</v>
      </c>
      <c r="B19" s="44">
        <v>16</v>
      </c>
      <c r="C19" s="45" t="s">
        <v>83</v>
      </c>
      <c r="D19" s="46" t="s">
        <v>98</v>
      </c>
      <c r="E19" s="45" t="s">
        <v>99</v>
      </c>
      <c r="F19" s="45" t="s">
        <v>20</v>
      </c>
      <c r="G19" s="45" t="s">
        <v>100</v>
      </c>
      <c r="H19" s="45" t="s">
        <v>5</v>
      </c>
      <c r="I19" s="45" t="s">
        <v>6</v>
      </c>
      <c r="J19" s="47">
        <v>4540.34</v>
      </c>
      <c r="K19" s="27">
        <f>4</f>
        <v>4</v>
      </c>
      <c r="L19" s="127">
        <f t="shared" si="0"/>
        <v>1</v>
      </c>
      <c r="M19" s="127">
        <f t="shared" si="1"/>
        <v>1</v>
      </c>
      <c r="N19" s="128"/>
      <c r="O19" s="129">
        <f t="shared" si="2"/>
        <v>1</v>
      </c>
      <c r="P19" s="128"/>
      <c r="Q19" s="128"/>
      <c r="R19" s="128"/>
      <c r="S19" s="26">
        <f t="shared" si="3"/>
        <v>3</v>
      </c>
      <c r="T19" s="25" t="str">
        <f t="shared" si="4"/>
        <v>OK</v>
      </c>
      <c r="U19" s="138"/>
      <c r="V19" s="138"/>
      <c r="W19" s="138"/>
      <c r="X19" s="138"/>
      <c r="Y19" s="139"/>
      <c r="Z19" s="139"/>
      <c r="AA19" s="139"/>
      <c r="AB19" s="138"/>
      <c r="AC19" s="138"/>
      <c r="AD19" s="138"/>
      <c r="AE19" s="140">
        <v>1</v>
      </c>
      <c r="AF19" s="138"/>
      <c r="AG19" s="138"/>
      <c r="AH19" s="138"/>
    </row>
    <row r="20" spans="1:34" ht="30.25" customHeight="1" x14ac:dyDescent="0.35">
      <c r="A20" s="37">
        <v>17</v>
      </c>
      <c r="B20" s="37">
        <v>17</v>
      </c>
      <c r="C20" s="35" t="s">
        <v>63</v>
      </c>
      <c r="D20" s="38" t="s">
        <v>101</v>
      </c>
      <c r="E20" s="39" t="s">
        <v>102</v>
      </c>
      <c r="F20" s="40" t="s">
        <v>20</v>
      </c>
      <c r="G20" s="40" t="s">
        <v>103</v>
      </c>
      <c r="H20" s="40" t="s">
        <v>5</v>
      </c>
      <c r="I20" s="40" t="s">
        <v>6</v>
      </c>
      <c r="J20" s="36">
        <v>7499</v>
      </c>
      <c r="K20" s="27">
        <f>0</f>
        <v>0</v>
      </c>
      <c r="L20" s="127">
        <f t="shared" si="0"/>
        <v>0</v>
      </c>
      <c r="M20" s="127">
        <f t="shared" si="1"/>
        <v>0</v>
      </c>
      <c r="N20" s="128"/>
      <c r="O20" s="129">
        <f t="shared" si="2"/>
        <v>0</v>
      </c>
      <c r="P20" s="128"/>
      <c r="Q20" s="128"/>
      <c r="R20" s="128"/>
      <c r="S20" s="26">
        <f t="shared" si="3"/>
        <v>0</v>
      </c>
      <c r="T20" s="25" t="str">
        <f t="shared" si="4"/>
        <v>OK</v>
      </c>
      <c r="U20" s="138"/>
      <c r="V20" s="138"/>
      <c r="W20" s="138"/>
      <c r="X20" s="138"/>
      <c r="Y20" s="139"/>
      <c r="Z20" s="139"/>
      <c r="AA20" s="139"/>
      <c r="AB20" s="138"/>
      <c r="AC20" s="138"/>
      <c r="AD20" s="138"/>
      <c r="AE20" s="138"/>
      <c r="AF20" s="138"/>
      <c r="AG20" s="138"/>
      <c r="AH20" s="138"/>
    </row>
    <row r="21" spans="1:34" ht="30.25" customHeight="1" x14ac:dyDescent="0.35">
      <c r="A21" s="44">
        <v>18</v>
      </c>
      <c r="B21" s="44">
        <v>18</v>
      </c>
      <c r="C21" s="45" t="s">
        <v>104</v>
      </c>
      <c r="D21" s="46" t="s">
        <v>105</v>
      </c>
      <c r="E21" s="48" t="s">
        <v>106</v>
      </c>
      <c r="F21" s="49" t="s">
        <v>20</v>
      </c>
      <c r="G21" s="44" t="s">
        <v>107</v>
      </c>
      <c r="H21" s="44" t="s">
        <v>5</v>
      </c>
      <c r="I21" s="44" t="s">
        <v>6</v>
      </c>
      <c r="J21" s="47">
        <v>9553.2000000000007</v>
      </c>
      <c r="K21" s="27">
        <f>2</f>
        <v>2</v>
      </c>
      <c r="L21" s="127">
        <f t="shared" si="0"/>
        <v>1</v>
      </c>
      <c r="M21" s="127">
        <f t="shared" si="1"/>
        <v>1</v>
      </c>
      <c r="N21" s="128"/>
      <c r="O21" s="129">
        <f t="shared" si="2"/>
        <v>0</v>
      </c>
      <c r="P21" s="128"/>
      <c r="Q21" s="128"/>
      <c r="R21" s="128"/>
      <c r="S21" s="26">
        <f t="shared" si="3"/>
        <v>1</v>
      </c>
      <c r="T21" s="25" t="str">
        <f t="shared" si="4"/>
        <v>OK</v>
      </c>
      <c r="U21" s="138"/>
      <c r="V21" s="138"/>
      <c r="W21" s="140">
        <v>1</v>
      </c>
      <c r="X21" s="138"/>
      <c r="Y21" s="139"/>
      <c r="Z21" s="139"/>
      <c r="AA21" s="139"/>
      <c r="AB21" s="138"/>
      <c r="AC21" s="138"/>
      <c r="AD21" s="138"/>
      <c r="AE21" s="138"/>
      <c r="AF21" s="138"/>
      <c r="AG21" s="138"/>
      <c r="AH21" s="138"/>
    </row>
    <row r="22" spans="1:34" ht="30.25" customHeight="1" x14ac:dyDescent="0.35">
      <c r="A22" s="37">
        <v>19</v>
      </c>
      <c r="B22" s="37">
        <v>19</v>
      </c>
      <c r="C22" s="35" t="s">
        <v>63</v>
      </c>
      <c r="D22" s="34" t="s">
        <v>108</v>
      </c>
      <c r="E22" s="41" t="s">
        <v>109</v>
      </c>
      <c r="F22" s="43" t="s">
        <v>20</v>
      </c>
      <c r="G22" s="37" t="s">
        <v>107</v>
      </c>
      <c r="H22" s="37" t="s">
        <v>5</v>
      </c>
      <c r="I22" s="37" t="s">
        <v>6</v>
      </c>
      <c r="J22" s="36">
        <v>8608</v>
      </c>
      <c r="K22" s="27">
        <f>0</f>
        <v>0</v>
      </c>
      <c r="L22" s="127">
        <f t="shared" si="0"/>
        <v>0</v>
      </c>
      <c r="M22" s="127">
        <f t="shared" si="1"/>
        <v>0</v>
      </c>
      <c r="N22" s="128"/>
      <c r="O22" s="129">
        <f t="shared" si="2"/>
        <v>0</v>
      </c>
      <c r="P22" s="128"/>
      <c r="Q22" s="128"/>
      <c r="R22" s="128"/>
      <c r="S22" s="26">
        <f t="shared" si="3"/>
        <v>0</v>
      </c>
      <c r="T22" s="25" t="str">
        <f t="shared" si="4"/>
        <v>OK</v>
      </c>
      <c r="U22" s="138"/>
      <c r="V22" s="138"/>
      <c r="W22" s="138"/>
      <c r="X22" s="138"/>
      <c r="Y22" s="139"/>
      <c r="Z22" s="139"/>
      <c r="AA22" s="139"/>
      <c r="AB22" s="138"/>
      <c r="AC22" s="138"/>
      <c r="AD22" s="138"/>
      <c r="AE22" s="138"/>
      <c r="AF22" s="138"/>
      <c r="AG22" s="138"/>
      <c r="AH22" s="138"/>
    </row>
    <row r="23" spans="1:34" ht="30.25" customHeight="1" x14ac:dyDescent="0.35">
      <c r="A23" s="44">
        <v>20</v>
      </c>
      <c r="B23" s="44">
        <v>20</v>
      </c>
      <c r="C23" s="45" t="s">
        <v>63</v>
      </c>
      <c r="D23" s="46" t="s">
        <v>110</v>
      </c>
      <c r="E23" s="48" t="s">
        <v>111</v>
      </c>
      <c r="F23" s="50" t="s">
        <v>20</v>
      </c>
      <c r="G23" s="44" t="s">
        <v>112</v>
      </c>
      <c r="H23" s="44" t="s">
        <v>5</v>
      </c>
      <c r="I23" s="44" t="s">
        <v>6</v>
      </c>
      <c r="J23" s="47">
        <v>10488</v>
      </c>
      <c r="K23" s="27">
        <f>0</f>
        <v>0</v>
      </c>
      <c r="L23" s="127">
        <f t="shared" si="0"/>
        <v>0</v>
      </c>
      <c r="M23" s="127">
        <f t="shared" si="1"/>
        <v>0</v>
      </c>
      <c r="N23" s="128"/>
      <c r="O23" s="129">
        <f t="shared" si="2"/>
        <v>0</v>
      </c>
      <c r="P23" s="128"/>
      <c r="Q23" s="128"/>
      <c r="R23" s="128"/>
      <c r="S23" s="26">
        <f t="shared" si="3"/>
        <v>0</v>
      </c>
      <c r="T23" s="25" t="str">
        <f t="shared" si="4"/>
        <v>OK</v>
      </c>
      <c r="U23" s="138"/>
      <c r="V23" s="138"/>
      <c r="W23" s="138"/>
      <c r="X23" s="138"/>
      <c r="Y23" s="139"/>
      <c r="Z23" s="139"/>
      <c r="AA23" s="139"/>
      <c r="AB23" s="138"/>
      <c r="AC23" s="138"/>
      <c r="AD23" s="138"/>
      <c r="AE23" s="138"/>
      <c r="AF23" s="138"/>
      <c r="AG23" s="138"/>
      <c r="AH23" s="138"/>
    </row>
    <row r="24" spans="1:34" ht="30.25" customHeight="1" x14ac:dyDescent="0.35">
      <c r="A24" s="37">
        <v>21</v>
      </c>
      <c r="B24" s="37">
        <v>21</v>
      </c>
      <c r="C24" s="35" t="s">
        <v>63</v>
      </c>
      <c r="D24" s="34" t="s">
        <v>113</v>
      </c>
      <c r="E24" s="41" t="s">
        <v>114</v>
      </c>
      <c r="F24" s="43" t="s">
        <v>20</v>
      </c>
      <c r="G24" s="37" t="s">
        <v>115</v>
      </c>
      <c r="H24" s="37" t="s">
        <v>5</v>
      </c>
      <c r="I24" s="37" t="s">
        <v>6</v>
      </c>
      <c r="J24" s="36">
        <v>10968</v>
      </c>
      <c r="K24" s="27">
        <f>0</f>
        <v>0</v>
      </c>
      <c r="L24" s="127">
        <f t="shared" si="0"/>
        <v>0</v>
      </c>
      <c r="M24" s="127">
        <f t="shared" si="1"/>
        <v>0</v>
      </c>
      <c r="N24" s="128"/>
      <c r="O24" s="129">
        <f t="shared" si="2"/>
        <v>0</v>
      </c>
      <c r="P24" s="128"/>
      <c r="Q24" s="128"/>
      <c r="R24" s="128"/>
      <c r="S24" s="26">
        <f t="shared" si="3"/>
        <v>0</v>
      </c>
      <c r="T24" s="25" t="str">
        <f t="shared" si="4"/>
        <v>OK</v>
      </c>
      <c r="U24" s="138"/>
      <c r="V24" s="138"/>
      <c r="W24" s="138"/>
      <c r="X24" s="138"/>
      <c r="Y24" s="139"/>
      <c r="Z24" s="139"/>
      <c r="AA24" s="139"/>
      <c r="AB24" s="138"/>
      <c r="AC24" s="138"/>
      <c r="AD24" s="138"/>
      <c r="AE24" s="138"/>
      <c r="AF24" s="138"/>
      <c r="AG24" s="138"/>
      <c r="AH24" s="138"/>
    </row>
    <row r="25" spans="1:34" ht="30.25" customHeight="1" x14ac:dyDescent="0.35">
      <c r="A25" s="44">
        <v>22</v>
      </c>
      <c r="B25" s="44">
        <v>22</v>
      </c>
      <c r="C25" s="45" t="s">
        <v>32</v>
      </c>
      <c r="D25" s="46" t="s">
        <v>116</v>
      </c>
      <c r="E25" s="48" t="s">
        <v>117</v>
      </c>
      <c r="F25" s="50" t="s">
        <v>20</v>
      </c>
      <c r="G25" s="44" t="s">
        <v>118</v>
      </c>
      <c r="H25" s="44" t="s">
        <v>5</v>
      </c>
      <c r="I25" s="44" t="s">
        <v>6</v>
      </c>
      <c r="J25" s="47">
        <v>13446</v>
      </c>
      <c r="K25" s="27">
        <f>10</f>
        <v>10</v>
      </c>
      <c r="L25" s="127">
        <f t="shared" si="0"/>
        <v>2</v>
      </c>
      <c r="M25" s="127">
        <f t="shared" si="1"/>
        <v>2</v>
      </c>
      <c r="N25" s="128">
        <v>-7</v>
      </c>
      <c r="O25" s="129">
        <f t="shared" si="2"/>
        <v>2</v>
      </c>
      <c r="P25" s="128"/>
      <c r="Q25" s="128"/>
      <c r="R25" s="128"/>
      <c r="S25" s="26">
        <f t="shared" si="3"/>
        <v>1</v>
      </c>
      <c r="T25" s="25" t="str">
        <f t="shared" si="4"/>
        <v>OK</v>
      </c>
      <c r="U25" s="138"/>
      <c r="V25" s="138"/>
      <c r="W25" s="138"/>
      <c r="X25" s="138"/>
      <c r="Y25" s="141">
        <v>1</v>
      </c>
      <c r="Z25" s="139"/>
      <c r="AA25" s="139"/>
      <c r="AB25" s="138"/>
      <c r="AC25" s="138"/>
      <c r="AD25" s="140">
        <v>1</v>
      </c>
      <c r="AE25" s="138"/>
      <c r="AF25" s="138"/>
      <c r="AG25" s="138"/>
      <c r="AH25" s="138"/>
    </row>
    <row r="26" spans="1:34" ht="30.25" customHeight="1" x14ac:dyDescent="0.35">
      <c r="A26" s="37">
        <v>23</v>
      </c>
      <c r="B26" s="37">
        <v>23</v>
      </c>
      <c r="C26" s="35" t="s">
        <v>119</v>
      </c>
      <c r="D26" s="34" t="s">
        <v>120</v>
      </c>
      <c r="E26" s="41" t="s">
        <v>121</v>
      </c>
      <c r="F26" s="43" t="s">
        <v>20</v>
      </c>
      <c r="G26" s="37" t="s">
        <v>115</v>
      </c>
      <c r="H26" s="37" t="s">
        <v>5</v>
      </c>
      <c r="I26" s="37" t="s">
        <v>6</v>
      </c>
      <c r="J26" s="36">
        <v>11764.7</v>
      </c>
      <c r="K26" s="27">
        <f>6</f>
        <v>6</v>
      </c>
      <c r="L26" s="127">
        <f t="shared" si="0"/>
        <v>1</v>
      </c>
      <c r="M26" s="127">
        <f t="shared" si="1"/>
        <v>1</v>
      </c>
      <c r="N26" s="128"/>
      <c r="O26" s="129">
        <f t="shared" si="2"/>
        <v>1</v>
      </c>
      <c r="P26" s="128"/>
      <c r="Q26" s="128"/>
      <c r="R26" s="128"/>
      <c r="S26" s="26">
        <f t="shared" si="3"/>
        <v>5</v>
      </c>
      <c r="T26" s="25" t="str">
        <f t="shared" si="4"/>
        <v>OK</v>
      </c>
      <c r="U26" s="138"/>
      <c r="V26" s="138"/>
      <c r="W26" s="138"/>
      <c r="X26" s="140">
        <v>1</v>
      </c>
      <c r="Y26" s="139"/>
      <c r="Z26" s="139"/>
      <c r="AA26" s="139"/>
      <c r="AB26" s="138"/>
      <c r="AC26" s="138"/>
      <c r="AD26" s="138"/>
      <c r="AE26" s="138"/>
      <c r="AF26" s="138"/>
      <c r="AG26" s="138"/>
      <c r="AH26" s="138"/>
    </row>
    <row r="27" spans="1:34" ht="30.25" customHeight="1" x14ac:dyDescent="0.35">
      <c r="A27" s="44">
        <v>24</v>
      </c>
      <c r="B27" s="44">
        <v>24</v>
      </c>
      <c r="C27" s="45" t="s">
        <v>32</v>
      </c>
      <c r="D27" s="46" t="s">
        <v>122</v>
      </c>
      <c r="E27" s="48" t="s">
        <v>123</v>
      </c>
      <c r="F27" s="50" t="s">
        <v>20</v>
      </c>
      <c r="G27" s="44" t="s">
        <v>124</v>
      </c>
      <c r="H27" s="44" t="s">
        <v>60</v>
      </c>
      <c r="I27" s="44" t="s">
        <v>6</v>
      </c>
      <c r="J27" s="47">
        <v>13333.33</v>
      </c>
      <c r="K27" s="27">
        <f>0</f>
        <v>0</v>
      </c>
      <c r="L27" s="127">
        <f t="shared" si="0"/>
        <v>0</v>
      </c>
      <c r="M27" s="127">
        <f t="shared" si="1"/>
        <v>0</v>
      </c>
      <c r="N27" s="128"/>
      <c r="O27" s="129">
        <f t="shared" si="2"/>
        <v>0</v>
      </c>
      <c r="P27" s="128"/>
      <c r="Q27" s="128"/>
      <c r="R27" s="128"/>
      <c r="S27" s="26">
        <f t="shared" si="3"/>
        <v>0</v>
      </c>
      <c r="T27" s="25" t="str">
        <f t="shared" si="4"/>
        <v>OK</v>
      </c>
      <c r="U27" s="138"/>
      <c r="V27" s="138"/>
      <c r="W27" s="138"/>
      <c r="X27" s="138"/>
      <c r="Y27" s="139"/>
      <c r="Z27" s="139"/>
      <c r="AA27" s="139"/>
      <c r="AB27" s="138"/>
      <c r="AC27" s="138"/>
      <c r="AD27" s="138"/>
      <c r="AE27" s="138"/>
      <c r="AF27" s="138"/>
      <c r="AG27" s="138"/>
      <c r="AH27" s="138"/>
    </row>
    <row r="28" spans="1:34" ht="30.25" customHeight="1" x14ac:dyDescent="0.35">
      <c r="A28" s="37">
        <v>25</v>
      </c>
      <c r="B28" s="37">
        <v>25</v>
      </c>
      <c r="C28" s="35" t="s">
        <v>125</v>
      </c>
      <c r="D28" s="34" t="s">
        <v>126</v>
      </c>
      <c r="E28" s="41" t="s">
        <v>127</v>
      </c>
      <c r="F28" s="43" t="s">
        <v>24</v>
      </c>
      <c r="G28" s="37" t="s">
        <v>25</v>
      </c>
      <c r="H28" s="37" t="s">
        <v>5</v>
      </c>
      <c r="I28" s="37" t="s">
        <v>26</v>
      </c>
      <c r="J28" s="36">
        <v>1320</v>
      </c>
      <c r="K28" s="27">
        <f>0</f>
        <v>0</v>
      </c>
      <c r="L28" s="127">
        <f t="shared" si="0"/>
        <v>10</v>
      </c>
      <c r="M28" s="127">
        <f t="shared" si="1"/>
        <v>10</v>
      </c>
      <c r="N28" s="128">
        <f>5+5</f>
        <v>10</v>
      </c>
      <c r="O28" s="129">
        <f t="shared" si="2"/>
        <v>0</v>
      </c>
      <c r="P28" s="128"/>
      <c r="Q28" s="128"/>
      <c r="R28" s="128"/>
      <c r="S28" s="26">
        <f t="shared" si="3"/>
        <v>0</v>
      </c>
      <c r="T28" s="25" t="str">
        <f t="shared" si="4"/>
        <v>OK</v>
      </c>
      <c r="U28" s="138"/>
      <c r="V28" s="138"/>
      <c r="W28" s="138"/>
      <c r="X28" s="138"/>
      <c r="Y28" s="139"/>
      <c r="Z28" s="141">
        <v>3</v>
      </c>
      <c r="AA28" s="139"/>
      <c r="AB28" s="138"/>
      <c r="AC28" s="140">
        <v>7</v>
      </c>
      <c r="AD28" s="138"/>
      <c r="AE28" s="138"/>
      <c r="AF28" s="138"/>
      <c r="AG28" s="138"/>
      <c r="AH28" s="138"/>
    </row>
    <row r="29" spans="1:34" ht="30.25" customHeight="1" x14ac:dyDescent="0.35">
      <c r="A29" s="44">
        <v>26</v>
      </c>
      <c r="B29" s="44">
        <v>26</v>
      </c>
      <c r="C29" s="45" t="s">
        <v>119</v>
      </c>
      <c r="D29" s="46" t="s">
        <v>14</v>
      </c>
      <c r="E29" s="48" t="s">
        <v>128</v>
      </c>
      <c r="F29" s="50" t="s">
        <v>23</v>
      </c>
      <c r="G29" s="44" t="s">
        <v>129</v>
      </c>
      <c r="H29" s="44" t="s">
        <v>5</v>
      </c>
      <c r="I29" s="44" t="s">
        <v>6</v>
      </c>
      <c r="J29" s="47">
        <v>650</v>
      </c>
      <c r="K29" s="27">
        <f>6</f>
        <v>6</v>
      </c>
      <c r="L29" s="127">
        <f t="shared" si="0"/>
        <v>0</v>
      </c>
      <c r="M29" s="127">
        <f t="shared" si="1"/>
        <v>0</v>
      </c>
      <c r="N29" s="128"/>
      <c r="O29" s="129">
        <f t="shared" si="2"/>
        <v>1</v>
      </c>
      <c r="P29" s="128"/>
      <c r="Q29" s="128"/>
      <c r="R29" s="128"/>
      <c r="S29" s="26">
        <f t="shared" si="3"/>
        <v>6</v>
      </c>
      <c r="T29" s="25" t="str">
        <f t="shared" si="4"/>
        <v>OK</v>
      </c>
      <c r="U29" s="138"/>
      <c r="V29" s="138"/>
      <c r="W29" s="138"/>
      <c r="X29" s="138"/>
      <c r="Y29" s="139"/>
      <c r="Z29" s="139"/>
      <c r="AA29" s="139"/>
      <c r="AB29" s="138"/>
      <c r="AC29" s="138"/>
      <c r="AD29" s="138"/>
      <c r="AE29" s="138"/>
      <c r="AF29" s="138"/>
      <c r="AG29" s="138"/>
      <c r="AH29" s="138"/>
    </row>
    <row r="30" spans="1:34" ht="30.25" customHeight="1" x14ac:dyDescent="0.35">
      <c r="A30" s="37">
        <v>27</v>
      </c>
      <c r="B30" s="37">
        <v>27</v>
      </c>
      <c r="C30" s="35" t="s">
        <v>130</v>
      </c>
      <c r="D30" s="34" t="s">
        <v>131</v>
      </c>
      <c r="E30" s="41" t="s">
        <v>132</v>
      </c>
      <c r="F30" s="43" t="s">
        <v>28</v>
      </c>
      <c r="G30" s="37" t="s">
        <v>29</v>
      </c>
      <c r="H30" s="37" t="s">
        <v>8</v>
      </c>
      <c r="I30" s="37" t="s">
        <v>26</v>
      </c>
      <c r="J30" s="36">
        <v>39.78</v>
      </c>
      <c r="K30" s="27">
        <f>0</f>
        <v>0</v>
      </c>
      <c r="L30" s="127">
        <f t="shared" si="0"/>
        <v>0</v>
      </c>
      <c r="M30" s="127">
        <f t="shared" si="1"/>
        <v>0</v>
      </c>
      <c r="N30" s="128"/>
      <c r="O30" s="129">
        <f t="shared" si="2"/>
        <v>0</v>
      </c>
      <c r="P30" s="128"/>
      <c r="Q30" s="128"/>
      <c r="R30" s="128"/>
      <c r="S30" s="26">
        <f t="shared" si="3"/>
        <v>0</v>
      </c>
      <c r="T30" s="25" t="str">
        <f t="shared" si="4"/>
        <v>OK</v>
      </c>
      <c r="U30" s="138"/>
      <c r="V30" s="138"/>
      <c r="W30" s="138"/>
      <c r="X30" s="138"/>
      <c r="Y30" s="139"/>
      <c r="Z30" s="139"/>
      <c r="AA30" s="139"/>
      <c r="AB30" s="138"/>
      <c r="AC30" s="138"/>
      <c r="AD30" s="138"/>
      <c r="AE30" s="138"/>
      <c r="AF30" s="138"/>
      <c r="AG30" s="138"/>
      <c r="AH30" s="138"/>
    </row>
    <row r="31" spans="1:34" ht="30.25" customHeight="1" x14ac:dyDescent="0.35">
      <c r="A31" s="44">
        <v>28</v>
      </c>
      <c r="B31" s="44">
        <v>28</v>
      </c>
      <c r="C31" s="45" t="s">
        <v>133</v>
      </c>
      <c r="D31" s="46" t="s">
        <v>134</v>
      </c>
      <c r="E31" s="48" t="s">
        <v>135</v>
      </c>
      <c r="F31" s="50" t="s">
        <v>136</v>
      </c>
      <c r="G31" s="44" t="s">
        <v>137</v>
      </c>
      <c r="H31" s="44" t="s">
        <v>5</v>
      </c>
      <c r="I31" s="44" t="s">
        <v>6</v>
      </c>
      <c r="J31" s="47">
        <v>2259.91</v>
      </c>
      <c r="K31" s="27">
        <f>0</f>
        <v>0</v>
      </c>
      <c r="L31" s="127">
        <f t="shared" si="0"/>
        <v>0</v>
      </c>
      <c r="M31" s="127">
        <f t="shared" si="1"/>
        <v>0</v>
      </c>
      <c r="N31" s="128"/>
      <c r="O31" s="129">
        <f t="shared" si="2"/>
        <v>0</v>
      </c>
      <c r="P31" s="128"/>
      <c r="Q31" s="128"/>
      <c r="R31" s="128"/>
      <c r="S31" s="26">
        <f t="shared" si="3"/>
        <v>0</v>
      </c>
      <c r="T31" s="25" t="str">
        <f t="shared" si="4"/>
        <v>OK</v>
      </c>
      <c r="U31" s="138"/>
      <c r="V31" s="138"/>
      <c r="W31" s="138"/>
      <c r="X31" s="138"/>
      <c r="Y31" s="139"/>
      <c r="Z31" s="139"/>
      <c r="AA31" s="139"/>
      <c r="AB31" s="138"/>
      <c r="AC31" s="138"/>
      <c r="AD31" s="138"/>
      <c r="AE31" s="138"/>
      <c r="AF31" s="138"/>
      <c r="AG31" s="138"/>
      <c r="AH31" s="138"/>
    </row>
    <row r="32" spans="1:34" ht="30.25" customHeight="1" x14ac:dyDescent="0.35">
      <c r="A32" s="37">
        <v>29</v>
      </c>
      <c r="B32" s="37">
        <v>29</v>
      </c>
      <c r="C32" s="35" t="s">
        <v>138</v>
      </c>
      <c r="D32" s="34" t="s">
        <v>139</v>
      </c>
      <c r="E32" s="41" t="s">
        <v>140</v>
      </c>
      <c r="F32" s="43" t="s">
        <v>136</v>
      </c>
      <c r="G32" s="37" t="s">
        <v>137</v>
      </c>
      <c r="H32" s="37" t="s">
        <v>5</v>
      </c>
      <c r="I32" s="37" t="s">
        <v>6</v>
      </c>
      <c r="J32" s="36">
        <v>3391.3</v>
      </c>
      <c r="K32" s="27">
        <f>0</f>
        <v>0</v>
      </c>
      <c r="L32" s="127">
        <f t="shared" si="0"/>
        <v>0</v>
      </c>
      <c r="M32" s="127">
        <f t="shared" si="1"/>
        <v>0</v>
      </c>
      <c r="N32" s="128"/>
      <c r="O32" s="129">
        <f t="shared" si="2"/>
        <v>0</v>
      </c>
      <c r="P32" s="128"/>
      <c r="Q32" s="128"/>
      <c r="R32" s="128"/>
      <c r="S32" s="26">
        <f t="shared" si="3"/>
        <v>0</v>
      </c>
      <c r="T32" s="25" t="str">
        <f t="shared" si="4"/>
        <v>OK</v>
      </c>
      <c r="U32" s="138"/>
      <c r="V32" s="138"/>
      <c r="W32" s="138"/>
      <c r="X32" s="138"/>
      <c r="Y32" s="139"/>
      <c r="Z32" s="139"/>
      <c r="AA32" s="139"/>
      <c r="AB32" s="138"/>
      <c r="AC32" s="138"/>
      <c r="AD32" s="138"/>
      <c r="AE32" s="138"/>
      <c r="AF32" s="138"/>
      <c r="AG32" s="138"/>
      <c r="AH32" s="138"/>
    </row>
    <row r="33" spans="1:34" ht="30.25" customHeight="1" x14ac:dyDescent="0.35">
      <c r="A33" s="44">
        <v>30</v>
      </c>
      <c r="B33" s="44">
        <v>30</v>
      </c>
      <c r="C33" s="45" t="s">
        <v>141</v>
      </c>
      <c r="D33" s="46" t="s">
        <v>142</v>
      </c>
      <c r="E33" s="48" t="s">
        <v>143</v>
      </c>
      <c r="F33" s="50" t="s">
        <v>136</v>
      </c>
      <c r="G33" s="44" t="s">
        <v>137</v>
      </c>
      <c r="H33" s="44" t="s">
        <v>5</v>
      </c>
      <c r="I33" s="44" t="s">
        <v>6</v>
      </c>
      <c r="J33" s="47">
        <v>9961.5300000000007</v>
      </c>
      <c r="K33" s="27">
        <f>0</f>
        <v>0</v>
      </c>
      <c r="L33" s="127">
        <f t="shared" si="0"/>
        <v>0</v>
      </c>
      <c r="M33" s="127">
        <f t="shared" si="1"/>
        <v>0</v>
      </c>
      <c r="N33" s="128"/>
      <c r="O33" s="129">
        <f t="shared" si="2"/>
        <v>0</v>
      </c>
      <c r="P33" s="128"/>
      <c r="Q33" s="128"/>
      <c r="R33" s="128"/>
      <c r="S33" s="26">
        <f t="shared" si="3"/>
        <v>0</v>
      </c>
      <c r="T33" s="25" t="str">
        <f t="shared" si="4"/>
        <v>OK</v>
      </c>
      <c r="U33" s="138"/>
      <c r="V33" s="138"/>
      <c r="W33" s="138"/>
      <c r="X33" s="138"/>
      <c r="Y33" s="139"/>
      <c r="Z33" s="139"/>
      <c r="AA33" s="139"/>
      <c r="AB33" s="138"/>
      <c r="AC33" s="138"/>
      <c r="AD33" s="138"/>
      <c r="AE33" s="138"/>
      <c r="AF33" s="138"/>
      <c r="AG33" s="138"/>
      <c r="AH33" s="138"/>
    </row>
    <row r="34" spans="1:34" ht="30.25" customHeight="1" x14ac:dyDescent="0.35">
      <c r="A34" s="37">
        <v>31</v>
      </c>
      <c r="B34" s="37">
        <v>31</v>
      </c>
      <c r="C34" s="35" t="s">
        <v>144</v>
      </c>
      <c r="D34" s="34" t="s">
        <v>145</v>
      </c>
      <c r="E34" s="41" t="s">
        <v>146</v>
      </c>
      <c r="F34" s="43" t="s">
        <v>20</v>
      </c>
      <c r="G34" s="37" t="s">
        <v>147</v>
      </c>
      <c r="H34" s="37" t="s">
        <v>60</v>
      </c>
      <c r="I34" s="37">
        <v>44905212</v>
      </c>
      <c r="J34" s="36">
        <v>630</v>
      </c>
      <c r="K34" s="27">
        <f>0</f>
        <v>0</v>
      </c>
      <c r="L34" s="127">
        <f t="shared" si="0"/>
        <v>0</v>
      </c>
      <c r="M34" s="127">
        <f t="shared" si="1"/>
        <v>0</v>
      </c>
      <c r="N34" s="128"/>
      <c r="O34" s="129">
        <f t="shared" si="2"/>
        <v>0</v>
      </c>
      <c r="P34" s="128"/>
      <c r="Q34" s="128"/>
      <c r="R34" s="128"/>
      <c r="S34" s="26">
        <f t="shared" si="3"/>
        <v>0</v>
      </c>
      <c r="T34" s="25" t="str">
        <f t="shared" si="4"/>
        <v>OK</v>
      </c>
      <c r="U34" s="138"/>
      <c r="V34" s="138"/>
      <c r="W34" s="138"/>
      <c r="X34" s="138"/>
      <c r="Y34" s="139"/>
      <c r="Z34" s="139"/>
      <c r="AA34" s="139"/>
      <c r="AB34" s="138"/>
      <c r="AC34" s="138"/>
      <c r="AD34" s="138"/>
      <c r="AE34" s="138"/>
      <c r="AF34" s="138"/>
      <c r="AG34" s="138"/>
      <c r="AH34" s="138"/>
    </row>
    <row r="35" spans="1:34" ht="30.25" customHeight="1" x14ac:dyDescent="0.35">
      <c r="A35" s="44">
        <v>32</v>
      </c>
      <c r="B35" s="44">
        <v>32</v>
      </c>
      <c r="C35" s="45" t="s">
        <v>144</v>
      </c>
      <c r="D35" s="46" t="s">
        <v>148</v>
      </c>
      <c r="E35" s="48" t="s">
        <v>149</v>
      </c>
      <c r="F35" s="50" t="s">
        <v>20</v>
      </c>
      <c r="G35" s="44" t="s">
        <v>147</v>
      </c>
      <c r="H35" s="44" t="s">
        <v>60</v>
      </c>
      <c r="I35" s="44">
        <v>44905212</v>
      </c>
      <c r="J35" s="47">
        <v>1550</v>
      </c>
      <c r="K35" s="27">
        <f>0</f>
        <v>0</v>
      </c>
      <c r="L35" s="127">
        <f t="shared" si="0"/>
        <v>0</v>
      </c>
      <c r="M35" s="127">
        <f t="shared" si="1"/>
        <v>0</v>
      </c>
      <c r="N35" s="128"/>
      <c r="O35" s="129">
        <f t="shared" si="2"/>
        <v>0</v>
      </c>
      <c r="P35" s="128"/>
      <c r="Q35" s="128"/>
      <c r="R35" s="128"/>
      <c r="S35" s="26">
        <f t="shared" si="3"/>
        <v>0</v>
      </c>
      <c r="T35" s="25" t="str">
        <f t="shared" si="4"/>
        <v>OK</v>
      </c>
      <c r="U35" s="138"/>
      <c r="V35" s="138"/>
      <c r="W35" s="138"/>
      <c r="X35" s="138"/>
      <c r="Y35" s="139"/>
      <c r="Z35" s="139"/>
      <c r="AA35" s="139"/>
      <c r="AB35" s="138"/>
      <c r="AC35" s="138"/>
      <c r="AD35" s="138"/>
      <c r="AE35" s="138"/>
      <c r="AF35" s="138"/>
      <c r="AG35" s="138"/>
      <c r="AH35" s="138"/>
    </row>
    <row r="36" spans="1:34" ht="30.25" customHeight="1" x14ac:dyDescent="0.35">
      <c r="A36" s="37">
        <v>33</v>
      </c>
      <c r="B36" s="37">
        <v>33</v>
      </c>
      <c r="C36" s="35" t="s">
        <v>150</v>
      </c>
      <c r="D36" s="34" t="s">
        <v>151</v>
      </c>
      <c r="E36" s="41" t="s">
        <v>152</v>
      </c>
      <c r="F36" s="43" t="s">
        <v>20</v>
      </c>
      <c r="G36" s="37" t="s">
        <v>147</v>
      </c>
      <c r="H36" s="37" t="s">
        <v>60</v>
      </c>
      <c r="I36" s="37">
        <v>44905212</v>
      </c>
      <c r="J36" s="36">
        <v>930</v>
      </c>
      <c r="K36" s="27">
        <f>0</f>
        <v>0</v>
      </c>
      <c r="L36" s="127">
        <f t="shared" si="0"/>
        <v>0</v>
      </c>
      <c r="M36" s="127">
        <f t="shared" si="1"/>
        <v>0</v>
      </c>
      <c r="N36" s="128"/>
      <c r="O36" s="129">
        <f t="shared" si="2"/>
        <v>0</v>
      </c>
      <c r="P36" s="128"/>
      <c r="Q36" s="128"/>
      <c r="R36" s="128"/>
      <c r="S36" s="26">
        <f t="shared" si="3"/>
        <v>0</v>
      </c>
      <c r="T36" s="25" t="str">
        <f t="shared" si="4"/>
        <v>OK</v>
      </c>
      <c r="U36" s="138"/>
      <c r="V36" s="138"/>
      <c r="W36" s="138"/>
      <c r="X36" s="138"/>
      <c r="Y36" s="139"/>
      <c r="Z36" s="139"/>
      <c r="AA36" s="139"/>
      <c r="AB36" s="138"/>
      <c r="AC36" s="138"/>
      <c r="AD36" s="138"/>
      <c r="AE36" s="138"/>
      <c r="AF36" s="138"/>
      <c r="AG36" s="138"/>
      <c r="AH36" s="138"/>
    </row>
    <row r="37" spans="1:34" ht="30.25" customHeight="1" x14ac:dyDescent="0.35">
      <c r="A37" s="44">
        <v>34</v>
      </c>
      <c r="B37" s="44">
        <v>34</v>
      </c>
      <c r="C37" s="45" t="s">
        <v>150</v>
      </c>
      <c r="D37" s="46" t="s">
        <v>153</v>
      </c>
      <c r="E37" s="48" t="s">
        <v>154</v>
      </c>
      <c r="F37" s="50" t="s">
        <v>20</v>
      </c>
      <c r="G37" s="44" t="s">
        <v>147</v>
      </c>
      <c r="H37" s="44" t="s">
        <v>60</v>
      </c>
      <c r="I37" s="44">
        <v>44905212</v>
      </c>
      <c r="J37" s="47">
        <v>2560</v>
      </c>
      <c r="K37" s="27">
        <f>0</f>
        <v>0</v>
      </c>
      <c r="L37" s="127">
        <f t="shared" si="0"/>
        <v>0</v>
      </c>
      <c r="M37" s="127">
        <f t="shared" si="1"/>
        <v>0</v>
      </c>
      <c r="N37" s="128"/>
      <c r="O37" s="129">
        <f t="shared" si="2"/>
        <v>0</v>
      </c>
      <c r="P37" s="128"/>
      <c r="Q37" s="128"/>
      <c r="R37" s="128"/>
      <c r="S37" s="26">
        <f t="shared" si="3"/>
        <v>0</v>
      </c>
      <c r="T37" s="25" t="str">
        <f t="shared" si="4"/>
        <v>OK</v>
      </c>
      <c r="U37" s="138"/>
      <c r="V37" s="138"/>
      <c r="W37" s="138"/>
      <c r="X37" s="138"/>
      <c r="Y37" s="139"/>
      <c r="Z37" s="139"/>
      <c r="AA37" s="139"/>
      <c r="AB37" s="138"/>
      <c r="AC37" s="138"/>
      <c r="AD37" s="138"/>
      <c r="AE37" s="138"/>
      <c r="AF37" s="138"/>
      <c r="AG37" s="138"/>
      <c r="AH37" s="138"/>
    </row>
    <row r="38" spans="1:34" ht="30.25" customHeight="1" x14ac:dyDescent="0.35">
      <c r="A38" s="198" t="s">
        <v>155</v>
      </c>
      <c r="B38" s="84">
        <v>35</v>
      </c>
      <c r="C38" s="227" t="s">
        <v>33</v>
      </c>
      <c r="D38" s="85" t="s">
        <v>27</v>
      </c>
      <c r="E38" s="114" t="s">
        <v>8</v>
      </c>
      <c r="F38" s="61" t="s">
        <v>28</v>
      </c>
      <c r="G38" s="84" t="s">
        <v>29</v>
      </c>
      <c r="H38" s="84" t="s">
        <v>8</v>
      </c>
      <c r="I38" s="84" t="s">
        <v>9</v>
      </c>
      <c r="J38" s="86">
        <v>150.13999999999999</v>
      </c>
      <c r="K38" s="27">
        <f>6</f>
        <v>6</v>
      </c>
      <c r="L38" s="127">
        <f t="shared" si="0"/>
        <v>0</v>
      </c>
      <c r="M38" s="127">
        <f t="shared" si="1"/>
        <v>0</v>
      </c>
      <c r="N38" s="128"/>
      <c r="O38" s="129">
        <f t="shared" si="2"/>
        <v>1</v>
      </c>
      <c r="P38" s="128"/>
      <c r="Q38" s="128"/>
      <c r="R38" s="128"/>
      <c r="S38" s="26">
        <f t="shared" si="3"/>
        <v>6</v>
      </c>
      <c r="T38" s="25" t="str">
        <f t="shared" si="4"/>
        <v>OK</v>
      </c>
      <c r="U38" s="138"/>
      <c r="V38" s="138"/>
      <c r="W38" s="138"/>
      <c r="X38" s="138"/>
      <c r="Y38" s="139"/>
      <c r="Z38" s="139"/>
      <c r="AA38" s="139"/>
      <c r="AB38" s="138"/>
      <c r="AC38" s="138"/>
      <c r="AD38" s="138"/>
      <c r="AE38" s="138"/>
      <c r="AF38" s="138"/>
      <c r="AG38" s="138"/>
      <c r="AH38" s="138"/>
    </row>
    <row r="39" spans="1:34" ht="72.75" customHeight="1" x14ac:dyDescent="0.35">
      <c r="A39" s="199"/>
      <c r="B39" s="84">
        <v>36</v>
      </c>
      <c r="C39" s="228"/>
      <c r="D39" s="85" t="s">
        <v>7</v>
      </c>
      <c r="E39" s="114" t="s">
        <v>8</v>
      </c>
      <c r="F39" s="115" t="s">
        <v>28</v>
      </c>
      <c r="G39" s="84" t="s">
        <v>29</v>
      </c>
      <c r="H39" s="84" t="s">
        <v>8</v>
      </c>
      <c r="I39" s="84" t="s">
        <v>9</v>
      </c>
      <c r="J39" s="86">
        <v>1076</v>
      </c>
      <c r="K39" s="27">
        <f>16</f>
        <v>16</v>
      </c>
      <c r="L39" s="127">
        <f t="shared" si="0"/>
        <v>22</v>
      </c>
      <c r="M39" s="127">
        <f t="shared" si="1"/>
        <v>22</v>
      </c>
      <c r="N39" s="128">
        <v>6</v>
      </c>
      <c r="O39" s="129">
        <f t="shared" si="2"/>
        <v>4</v>
      </c>
      <c r="P39" s="128"/>
      <c r="Q39" s="128"/>
      <c r="R39" s="128"/>
      <c r="S39" s="26">
        <f t="shared" si="3"/>
        <v>0</v>
      </c>
      <c r="T39" s="25" t="str">
        <f t="shared" si="4"/>
        <v>OK</v>
      </c>
      <c r="U39" s="140">
        <v>6</v>
      </c>
      <c r="V39" s="138"/>
      <c r="W39" s="138"/>
      <c r="X39" s="138"/>
      <c r="Y39" s="139"/>
      <c r="Z39" s="139"/>
      <c r="AA39" s="141">
        <v>6</v>
      </c>
      <c r="AB39" s="138"/>
      <c r="AC39" s="138"/>
      <c r="AD39" s="138"/>
      <c r="AE39" s="138"/>
      <c r="AF39" s="138"/>
      <c r="AG39" s="140">
        <v>4</v>
      </c>
      <c r="AH39" s="140">
        <v>6</v>
      </c>
    </row>
    <row r="40" spans="1:34" ht="30.25" customHeight="1" x14ac:dyDescent="0.35">
      <c r="A40" s="199"/>
      <c r="B40" s="84">
        <v>37</v>
      </c>
      <c r="C40" s="228"/>
      <c r="D40" s="85" t="s">
        <v>156</v>
      </c>
      <c r="E40" s="114" t="s">
        <v>8</v>
      </c>
      <c r="F40" s="115" t="s">
        <v>28</v>
      </c>
      <c r="G40" s="84" t="s">
        <v>29</v>
      </c>
      <c r="H40" s="84" t="s">
        <v>34</v>
      </c>
      <c r="I40" s="84" t="s">
        <v>9</v>
      </c>
      <c r="J40" s="86">
        <v>75</v>
      </c>
      <c r="K40" s="27">
        <f>20</f>
        <v>20</v>
      </c>
      <c r="L40" s="127">
        <f t="shared" si="0"/>
        <v>0</v>
      </c>
      <c r="M40" s="127">
        <f t="shared" si="1"/>
        <v>0</v>
      </c>
      <c r="N40" s="128">
        <v>-8</v>
      </c>
      <c r="O40" s="129">
        <f t="shared" si="2"/>
        <v>5</v>
      </c>
      <c r="P40" s="128"/>
      <c r="Q40" s="128"/>
      <c r="R40" s="128"/>
      <c r="S40" s="26">
        <f t="shared" si="3"/>
        <v>12</v>
      </c>
      <c r="T40" s="25" t="str">
        <f t="shared" si="4"/>
        <v>OK</v>
      </c>
      <c r="U40" s="138"/>
      <c r="V40" s="138"/>
      <c r="W40" s="138"/>
      <c r="X40" s="138"/>
      <c r="Y40" s="139"/>
      <c r="Z40" s="139"/>
      <c r="AA40" s="139"/>
      <c r="AB40" s="138"/>
      <c r="AC40" s="138"/>
      <c r="AD40" s="138"/>
      <c r="AE40" s="138"/>
      <c r="AF40" s="138"/>
      <c r="AG40" s="138"/>
      <c r="AH40" s="138"/>
    </row>
    <row r="41" spans="1:34" ht="30.25" customHeight="1" x14ac:dyDescent="0.35">
      <c r="A41" s="199"/>
      <c r="B41" s="84">
        <v>38</v>
      </c>
      <c r="C41" s="228"/>
      <c r="D41" s="85" t="s">
        <v>11</v>
      </c>
      <c r="E41" s="114" t="s">
        <v>8</v>
      </c>
      <c r="F41" s="115" t="s">
        <v>28</v>
      </c>
      <c r="G41" s="84" t="s">
        <v>29</v>
      </c>
      <c r="H41" s="84" t="s">
        <v>8</v>
      </c>
      <c r="I41" s="84" t="s">
        <v>9</v>
      </c>
      <c r="J41" s="86">
        <v>1400</v>
      </c>
      <c r="K41" s="27">
        <f>16</f>
        <v>16</v>
      </c>
      <c r="L41" s="127">
        <f t="shared" si="0"/>
        <v>5</v>
      </c>
      <c r="M41" s="127">
        <f t="shared" si="1"/>
        <v>5</v>
      </c>
      <c r="N41" s="128"/>
      <c r="O41" s="129">
        <f t="shared" si="2"/>
        <v>4</v>
      </c>
      <c r="P41" s="128"/>
      <c r="Q41" s="128"/>
      <c r="R41" s="128"/>
      <c r="S41" s="26">
        <f t="shared" si="3"/>
        <v>11</v>
      </c>
      <c r="T41" s="25" t="str">
        <f t="shared" si="4"/>
        <v>OK</v>
      </c>
      <c r="U41" s="138"/>
      <c r="V41" s="138"/>
      <c r="W41" s="138"/>
      <c r="X41" s="138"/>
      <c r="Y41" s="139"/>
      <c r="Z41" s="139"/>
      <c r="AA41" s="141">
        <v>3</v>
      </c>
      <c r="AB41" s="138"/>
      <c r="AC41" s="138"/>
      <c r="AD41" s="138"/>
      <c r="AE41" s="138"/>
      <c r="AF41" s="138"/>
      <c r="AG41" s="140">
        <v>2</v>
      </c>
      <c r="AH41" s="138"/>
    </row>
    <row r="42" spans="1:34" ht="30.25" customHeight="1" x14ac:dyDescent="0.35">
      <c r="A42" s="199"/>
      <c r="B42" s="84">
        <v>39</v>
      </c>
      <c r="C42" s="228"/>
      <c r="D42" s="85" t="s">
        <v>12</v>
      </c>
      <c r="E42" s="114" t="s">
        <v>8</v>
      </c>
      <c r="F42" s="115" t="s">
        <v>28</v>
      </c>
      <c r="G42" s="84" t="s">
        <v>29</v>
      </c>
      <c r="H42" s="84" t="s">
        <v>34</v>
      </c>
      <c r="I42" s="84" t="s">
        <v>9</v>
      </c>
      <c r="J42" s="86">
        <v>75.5</v>
      </c>
      <c r="K42" s="27">
        <f>20</f>
        <v>20</v>
      </c>
      <c r="L42" s="127">
        <f t="shared" si="0"/>
        <v>10</v>
      </c>
      <c r="M42" s="127">
        <f t="shared" si="1"/>
        <v>10</v>
      </c>
      <c r="N42" s="128">
        <v>-3</v>
      </c>
      <c r="O42" s="129">
        <f t="shared" si="2"/>
        <v>5</v>
      </c>
      <c r="P42" s="128"/>
      <c r="Q42" s="128"/>
      <c r="R42" s="128"/>
      <c r="S42" s="26">
        <f t="shared" si="3"/>
        <v>7</v>
      </c>
      <c r="T42" s="25" t="str">
        <f t="shared" si="4"/>
        <v>OK</v>
      </c>
      <c r="U42" s="140">
        <v>4</v>
      </c>
      <c r="V42" s="138"/>
      <c r="W42" s="138"/>
      <c r="X42" s="138"/>
      <c r="Y42" s="139"/>
      <c r="Z42" s="139"/>
      <c r="AA42" s="139"/>
      <c r="AB42" s="138"/>
      <c r="AC42" s="138"/>
      <c r="AD42" s="138"/>
      <c r="AE42" s="138"/>
      <c r="AF42" s="138"/>
      <c r="AG42" s="140">
        <v>6</v>
      </c>
      <c r="AH42" s="138"/>
    </row>
    <row r="43" spans="1:34" ht="30.25" customHeight="1" x14ac:dyDescent="0.35">
      <c r="A43" s="199"/>
      <c r="B43" s="84">
        <v>40</v>
      </c>
      <c r="C43" s="228"/>
      <c r="D43" s="85" t="s">
        <v>10</v>
      </c>
      <c r="E43" s="114" t="s">
        <v>8</v>
      </c>
      <c r="F43" s="115" t="s">
        <v>28</v>
      </c>
      <c r="G43" s="84" t="s">
        <v>29</v>
      </c>
      <c r="H43" s="84" t="s">
        <v>8</v>
      </c>
      <c r="I43" s="84" t="s">
        <v>9</v>
      </c>
      <c r="J43" s="86">
        <v>1600</v>
      </c>
      <c r="K43" s="27">
        <f>6</f>
        <v>6</v>
      </c>
      <c r="L43" s="127">
        <f t="shared" si="0"/>
        <v>2</v>
      </c>
      <c r="M43" s="127">
        <f t="shared" si="1"/>
        <v>2</v>
      </c>
      <c r="N43" s="128"/>
      <c r="O43" s="129">
        <f t="shared" si="2"/>
        <v>1</v>
      </c>
      <c r="P43" s="128"/>
      <c r="Q43" s="128"/>
      <c r="R43" s="128"/>
      <c r="S43" s="26">
        <f t="shared" si="3"/>
        <v>4</v>
      </c>
      <c r="T43" s="25" t="str">
        <f t="shared" si="4"/>
        <v>OK</v>
      </c>
      <c r="U43" s="138"/>
      <c r="V43" s="138"/>
      <c r="W43" s="138"/>
      <c r="X43" s="138"/>
      <c r="Y43" s="139"/>
      <c r="Z43" s="139"/>
      <c r="AA43" s="141">
        <v>1</v>
      </c>
      <c r="AB43" s="138"/>
      <c r="AC43" s="138"/>
      <c r="AD43" s="138"/>
      <c r="AE43" s="138"/>
      <c r="AF43" s="138"/>
      <c r="AG43" s="140">
        <v>1</v>
      </c>
      <c r="AH43" s="138"/>
    </row>
    <row r="44" spans="1:34" ht="30.25" customHeight="1" x14ac:dyDescent="0.35">
      <c r="A44" s="199"/>
      <c r="B44" s="84">
        <v>41</v>
      </c>
      <c r="C44" s="228"/>
      <c r="D44" s="85" t="s">
        <v>13</v>
      </c>
      <c r="E44" s="114" t="s">
        <v>8</v>
      </c>
      <c r="F44" s="115" t="s">
        <v>28</v>
      </c>
      <c r="G44" s="84" t="s">
        <v>29</v>
      </c>
      <c r="H44" s="84" t="s">
        <v>34</v>
      </c>
      <c r="I44" s="84" t="s">
        <v>9</v>
      </c>
      <c r="J44" s="86">
        <v>75</v>
      </c>
      <c r="K44" s="27">
        <f>30</f>
        <v>30</v>
      </c>
      <c r="L44" s="127">
        <f t="shared" si="0"/>
        <v>3</v>
      </c>
      <c r="M44" s="127">
        <f t="shared" si="1"/>
        <v>3</v>
      </c>
      <c r="N44" s="128">
        <v>-10</v>
      </c>
      <c r="O44" s="129">
        <f t="shared" si="2"/>
        <v>7</v>
      </c>
      <c r="P44" s="128"/>
      <c r="Q44" s="128"/>
      <c r="R44" s="128"/>
      <c r="S44" s="26">
        <f t="shared" si="3"/>
        <v>17</v>
      </c>
      <c r="T44" s="25" t="str">
        <f t="shared" si="4"/>
        <v>OK</v>
      </c>
      <c r="U44" s="138"/>
      <c r="V44" s="138"/>
      <c r="W44" s="138"/>
      <c r="X44" s="138"/>
      <c r="Y44" s="139"/>
      <c r="Z44" s="139"/>
      <c r="AA44" s="139"/>
      <c r="AB44" s="138"/>
      <c r="AC44" s="138"/>
      <c r="AD44" s="138"/>
      <c r="AE44" s="138"/>
      <c r="AF44" s="138"/>
      <c r="AG44" s="140">
        <v>3</v>
      </c>
      <c r="AH44" s="138"/>
    </row>
    <row r="45" spans="1:34" ht="30.25" customHeight="1" x14ac:dyDescent="0.35">
      <c r="A45" s="199"/>
      <c r="B45" s="84">
        <v>42</v>
      </c>
      <c r="C45" s="228"/>
      <c r="D45" s="85" t="s">
        <v>157</v>
      </c>
      <c r="E45" s="114" t="s">
        <v>8</v>
      </c>
      <c r="F45" s="115" t="s">
        <v>28</v>
      </c>
      <c r="G45" s="84" t="s">
        <v>29</v>
      </c>
      <c r="H45" s="84" t="s">
        <v>8</v>
      </c>
      <c r="I45" s="84" t="s">
        <v>9</v>
      </c>
      <c r="J45" s="86">
        <v>350</v>
      </c>
      <c r="K45" s="27">
        <f>38</f>
        <v>38</v>
      </c>
      <c r="L45" s="127">
        <f t="shared" si="0"/>
        <v>21</v>
      </c>
      <c r="M45" s="127">
        <f t="shared" si="1"/>
        <v>21</v>
      </c>
      <c r="N45" s="128">
        <v>-8</v>
      </c>
      <c r="O45" s="129">
        <f t="shared" si="2"/>
        <v>9</v>
      </c>
      <c r="P45" s="128"/>
      <c r="Q45" s="128"/>
      <c r="R45" s="128"/>
      <c r="S45" s="26">
        <f t="shared" si="3"/>
        <v>9</v>
      </c>
      <c r="T45" s="25" t="str">
        <f t="shared" si="4"/>
        <v>OK</v>
      </c>
      <c r="U45" s="140">
        <v>6</v>
      </c>
      <c r="V45" s="138"/>
      <c r="W45" s="138"/>
      <c r="X45" s="138"/>
      <c r="Y45" s="139"/>
      <c r="Z45" s="139"/>
      <c r="AA45" s="141">
        <v>8</v>
      </c>
      <c r="AB45" s="138"/>
      <c r="AC45" s="138"/>
      <c r="AD45" s="138"/>
      <c r="AE45" s="138"/>
      <c r="AF45" s="138"/>
      <c r="AG45" s="140">
        <v>3</v>
      </c>
      <c r="AH45" s="140">
        <v>4</v>
      </c>
    </row>
    <row r="46" spans="1:34" ht="30.25" customHeight="1" x14ac:dyDescent="0.35">
      <c r="A46" s="199"/>
      <c r="B46" s="84">
        <v>43</v>
      </c>
      <c r="C46" s="228"/>
      <c r="D46" s="85" t="s">
        <v>30</v>
      </c>
      <c r="E46" s="114" t="s">
        <v>8</v>
      </c>
      <c r="F46" s="115" t="s">
        <v>28</v>
      </c>
      <c r="G46" s="84" t="s">
        <v>29</v>
      </c>
      <c r="H46" s="84" t="s">
        <v>8</v>
      </c>
      <c r="I46" s="84" t="s">
        <v>9</v>
      </c>
      <c r="J46" s="86">
        <v>100.25</v>
      </c>
      <c r="K46" s="27">
        <f>15</f>
        <v>15</v>
      </c>
      <c r="L46" s="127">
        <f t="shared" si="0"/>
        <v>6</v>
      </c>
      <c r="M46" s="127">
        <f t="shared" si="1"/>
        <v>6</v>
      </c>
      <c r="N46" s="128">
        <v>-4</v>
      </c>
      <c r="O46" s="129">
        <f t="shared" si="2"/>
        <v>3</v>
      </c>
      <c r="P46" s="128"/>
      <c r="Q46" s="128"/>
      <c r="R46" s="128"/>
      <c r="S46" s="26">
        <f t="shared" si="3"/>
        <v>5</v>
      </c>
      <c r="T46" s="25" t="str">
        <f t="shared" si="4"/>
        <v>OK</v>
      </c>
      <c r="U46" s="138"/>
      <c r="V46" s="138"/>
      <c r="W46" s="138"/>
      <c r="X46" s="138"/>
      <c r="Y46" s="139"/>
      <c r="Z46" s="139"/>
      <c r="AA46" s="139"/>
      <c r="AB46" s="140">
        <v>3</v>
      </c>
      <c r="AC46" s="138"/>
      <c r="AD46" s="138"/>
      <c r="AE46" s="138"/>
      <c r="AF46" s="138"/>
      <c r="AG46" s="140">
        <v>3</v>
      </c>
      <c r="AH46" s="138"/>
    </row>
    <row r="47" spans="1:34" ht="30.25" customHeight="1" x14ac:dyDescent="0.35">
      <c r="A47" s="199"/>
      <c r="B47" s="84">
        <v>44</v>
      </c>
      <c r="C47" s="228"/>
      <c r="D47" s="85" t="s">
        <v>158</v>
      </c>
      <c r="E47" s="114" t="s">
        <v>8</v>
      </c>
      <c r="F47" s="61" t="s">
        <v>28</v>
      </c>
      <c r="G47" s="84" t="s">
        <v>159</v>
      </c>
      <c r="H47" s="84" t="s">
        <v>8</v>
      </c>
      <c r="I47" s="84" t="s">
        <v>9</v>
      </c>
      <c r="J47" s="86">
        <v>1424</v>
      </c>
      <c r="K47" s="27">
        <f>0</f>
        <v>0</v>
      </c>
      <c r="L47" s="127">
        <f t="shared" si="0"/>
        <v>0</v>
      </c>
      <c r="M47" s="127">
        <f t="shared" si="1"/>
        <v>0</v>
      </c>
      <c r="N47" s="128"/>
      <c r="O47" s="129">
        <f t="shared" si="2"/>
        <v>0</v>
      </c>
      <c r="P47" s="128"/>
      <c r="Q47" s="128"/>
      <c r="R47" s="128"/>
      <c r="S47" s="26">
        <f t="shared" si="3"/>
        <v>0</v>
      </c>
      <c r="T47" s="25" t="str">
        <f t="shared" si="4"/>
        <v>OK</v>
      </c>
      <c r="U47" s="138"/>
      <c r="V47" s="138"/>
      <c r="W47" s="138"/>
      <c r="X47" s="138"/>
      <c r="Y47" s="139"/>
      <c r="Z47" s="139"/>
      <c r="AA47" s="139"/>
      <c r="AB47" s="138"/>
      <c r="AC47" s="138"/>
      <c r="AD47" s="138"/>
      <c r="AE47" s="138"/>
      <c r="AF47" s="138"/>
      <c r="AG47" s="138"/>
      <c r="AH47" s="138"/>
    </row>
    <row r="48" spans="1:34" ht="30.25" customHeight="1" x14ac:dyDescent="0.35">
      <c r="A48" s="200"/>
      <c r="B48" s="84">
        <v>45</v>
      </c>
      <c r="C48" s="229"/>
      <c r="D48" s="85" t="s">
        <v>160</v>
      </c>
      <c r="E48" s="114" t="s">
        <v>8</v>
      </c>
      <c r="F48" s="115" t="s">
        <v>28</v>
      </c>
      <c r="G48" s="84" t="s">
        <v>29</v>
      </c>
      <c r="H48" s="84" t="s">
        <v>8</v>
      </c>
      <c r="I48" s="84" t="s">
        <v>9</v>
      </c>
      <c r="J48" s="86">
        <v>2503.0100000000002</v>
      </c>
      <c r="K48" s="27">
        <f>0</f>
        <v>0</v>
      </c>
      <c r="L48" s="127">
        <f t="shared" si="0"/>
        <v>0</v>
      </c>
      <c r="M48" s="127">
        <f t="shared" si="1"/>
        <v>0</v>
      </c>
      <c r="N48" s="128"/>
      <c r="O48" s="129">
        <f t="shared" si="2"/>
        <v>0</v>
      </c>
      <c r="P48" s="128"/>
      <c r="Q48" s="128"/>
      <c r="R48" s="128"/>
      <c r="S48" s="26">
        <f t="shared" si="3"/>
        <v>0</v>
      </c>
      <c r="T48" s="25" t="str">
        <f t="shared" si="4"/>
        <v>OK</v>
      </c>
      <c r="U48" s="138"/>
      <c r="V48" s="138"/>
      <c r="W48" s="138"/>
      <c r="X48" s="138"/>
      <c r="Y48" s="139"/>
      <c r="Z48" s="139"/>
      <c r="AA48" s="139"/>
      <c r="AB48" s="138"/>
      <c r="AC48" s="138"/>
      <c r="AD48" s="138"/>
      <c r="AE48" s="138"/>
      <c r="AF48" s="138"/>
      <c r="AG48" s="138"/>
      <c r="AH48" s="138"/>
    </row>
    <row r="49" spans="1:34" ht="30.25" customHeight="1" x14ac:dyDescent="0.35">
      <c r="A49" s="208" t="s">
        <v>161</v>
      </c>
      <c r="B49" s="44">
        <v>46</v>
      </c>
      <c r="C49" s="205" t="s">
        <v>33</v>
      </c>
      <c r="D49" s="46" t="s">
        <v>27</v>
      </c>
      <c r="E49" s="48" t="s">
        <v>8</v>
      </c>
      <c r="F49" s="50" t="s">
        <v>28</v>
      </c>
      <c r="G49" s="44" t="s">
        <v>29</v>
      </c>
      <c r="H49" s="44" t="s">
        <v>8</v>
      </c>
      <c r="I49" s="44" t="s">
        <v>9</v>
      </c>
      <c r="J49" s="47">
        <v>80</v>
      </c>
      <c r="K49" s="27">
        <f>0</f>
        <v>0</v>
      </c>
      <c r="L49" s="127">
        <f t="shared" si="0"/>
        <v>0</v>
      </c>
      <c r="M49" s="127">
        <f t="shared" si="1"/>
        <v>0</v>
      </c>
      <c r="N49" s="128"/>
      <c r="O49" s="129">
        <f t="shared" si="2"/>
        <v>0</v>
      </c>
      <c r="P49" s="128"/>
      <c r="Q49" s="128"/>
      <c r="R49" s="128"/>
      <c r="S49" s="26">
        <f t="shared" si="3"/>
        <v>0</v>
      </c>
      <c r="T49" s="25" t="str">
        <f t="shared" si="4"/>
        <v>OK</v>
      </c>
      <c r="U49" s="138"/>
      <c r="V49" s="138"/>
      <c r="W49" s="138"/>
      <c r="X49" s="138"/>
      <c r="Y49" s="139"/>
      <c r="Z49" s="139"/>
      <c r="AA49" s="139"/>
      <c r="AB49" s="138"/>
      <c r="AC49" s="138"/>
      <c r="AD49" s="138"/>
      <c r="AE49" s="138"/>
      <c r="AF49" s="138"/>
      <c r="AG49" s="138"/>
      <c r="AH49" s="138"/>
    </row>
    <row r="50" spans="1:34" ht="30.25" customHeight="1" x14ac:dyDescent="0.35">
      <c r="A50" s="209"/>
      <c r="B50" s="44">
        <v>47</v>
      </c>
      <c r="C50" s="206"/>
      <c r="D50" s="46" t="s">
        <v>7</v>
      </c>
      <c r="E50" s="48" t="s">
        <v>8</v>
      </c>
      <c r="F50" s="50" t="s">
        <v>28</v>
      </c>
      <c r="G50" s="44" t="s">
        <v>29</v>
      </c>
      <c r="H50" s="44" t="s">
        <v>8</v>
      </c>
      <c r="I50" s="44" t="s">
        <v>9</v>
      </c>
      <c r="J50" s="47">
        <v>550</v>
      </c>
      <c r="K50" s="27">
        <f>0</f>
        <v>0</v>
      </c>
      <c r="L50" s="127">
        <f t="shared" si="0"/>
        <v>0</v>
      </c>
      <c r="M50" s="127">
        <f t="shared" si="1"/>
        <v>0</v>
      </c>
      <c r="N50" s="128"/>
      <c r="O50" s="129">
        <f t="shared" si="2"/>
        <v>0</v>
      </c>
      <c r="P50" s="128"/>
      <c r="Q50" s="128"/>
      <c r="R50" s="128"/>
      <c r="S50" s="26">
        <f t="shared" si="3"/>
        <v>0</v>
      </c>
      <c r="T50" s="25" t="str">
        <f t="shared" si="4"/>
        <v>OK</v>
      </c>
      <c r="U50" s="138"/>
      <c r="V50" s="138"/>
      <c r="W50" s="138"/>
      <c r="X50" s="138"/>
      <c r="Y50" s="139"/>
      <c r="Z50" s="139"/>
      <c r="AA50" s="139"/>
      <c r="AB50" s="138"/>
      <c r="AC50" s="138"/>
      <c r="AD50" s="138"/>
      <c r="AE50" s="138"/>
      <c r="AF50" s="138"/>
      <c r="AG50" s="138"/>
      <c r="AH50" s="138"/>
    </row>
    <row r="51" spans="1:34" ht="30.25" customHeight="1" x14ac:dyDescent="0.35">
      <c r="A51" s="209"/>
      <c r="B51" s="44">
        <v>48</v>
      </c>
      <c r="C51" s="206"/>
      <c r="D51" s="46" t="s">
        <v>10</v>
      </c>
      <c r="E51" s="48" t="s">
        <v>8</v>
      </c>
      <c r="F51" s="50" t="s">
        <v>28</v>
      </c>
      <c r="G51" s="44" t="s">
        <v>29</v>
      </c>
      <c r="H51" s="44" t="s">
        <v>8</v>
      </c>
      <c r="I51" s="44" t="s">
        <v>9</v>
      </c>
      <c r="J51" s="47">
        <v>850</v>
      </c>
      <c r="K51" s="27">
        <f>0</f>
        <v>0</v>
      </c>
      <c r="L51" s="127">
        <f t="shared" si="0"/>
        <v>0</v>
      </c>
      <c r="M51" s="127">
        <f t="shared" si="1"/>
        <v>0</v>
      </c>
      <c r="N51" s="128"/>
      <c r="O51" s="129">
        <f t="shared" si="2"/>
        <v>0</v>
      </c>
      <c r="P51" s="128"/>
      <c r="Q51" s="128"/>
      <c r="R51" s="128"/>
      <c r="S51" s="26">
        <f t="shared" si="3"/>
        <v>0</v>
      </c>
      <c r="T51" s="25" t="str">
        <f t="shared" si="4"/>
        <v>OK</v>
      </c>
      <c r="U51" s="138"/>
      <c r="V51" s="138"/>
      <c r="W51" s="138"/>
      <c r="X51" s="138"/>
      <c r="Y51" s="139"/>
      <c r="Z51" s="139"/>
      <c r="AA51" s="139"/>
      <c r="AB51" s="138"/>
      <c r="AC51" s="138"/>
      <c r="AD51" s="138"/>
      <c r="AE51" s="138"/>
      <c r="AF51" s="138"/>
      <c r="AG51" s="138"/>
      <c r="AH51" s="138"/>
    </row>
    <row r="52" spans="1:34" ht="30.25" customHeight="1" x14ac:dyDescent="0.35">
      <c r="A52" s="209"/>
      <c r="B52" s="44">
        <v>49</v>
      </c>
      <c r="C52" s="206"/>
      <c r="D52" s="46" t="s">
        <v>11</v>
      </c>
      <c r="E52" s="48" t="s">
        <v>8</v>
      </c>
      <c r="F52" s="50" t="s">
        <v>28</v>
      </c>
      <c r="G52" s="44" t="s">
        <v>29</v>
      </c>
      <c r="H52" s="44" t="s">
        <v>8</v>
      </c>
      <c r="I52" s="44" t="s">
        <v>9</v>
      </c>
      <c r="J52" s="47">
        <v>800</v>
      </c>
      <c r="K52" s="27">
        <f>0</f>
        <v>0</v>
      </c>
      <c r="L52" s="127">
        <f t="shared" si="0"/>
        <v>0</v>
      </c>
      <c r="M52" s="127">
        <f t="shared" si="1"/>
        <v>0</v>
      </c>
      <c r="N52" s="128"/>
      <c r="O52" s="129">
        <f t="shared" si="2"/>
        <v>0</v>
      </c>
      <c r="P52" s="128"/>
      <c r="Q52" s="128"/>
      <c r="R52" s="128"/>
      <c r="S52" s="26">
        <f t="shared" si="3"/>
        <v>0</v>
      </c>
      <c r="T52" s="25" t="str">
        <f t="shared" si="4"/>
        <v>OK</v>
      </c>
      <c r="U52" s="138"/>
      <c r="V52" s="138"/>
      <c r="W52" s="138"/>
      <c r="X52" s="138"/>
      <c r="Y52" s="139"/>
      <c r="Z52" s="139"/>
      <c r="AA52" s="139"/>
      <c r="AB52" s="138"/>
      <c r="AC52" s="138"/>
      <c r="AD52" s="138"/>
      <c r="AE52" s="138"/>
      <c r="AF52" s="138"/>
      <c r="AG52" s="138"/>
      <c r="AH52" s="138"/>
    </row>
    <row r="53" spans="1:34" ht="30.25" customHeight="1" x14ac:dyDescent="0.35">
      <c r="A53" s="209"/>
      <c r="B53" s="44">
        <v>50</v>
      </c>
      <c r="C53" s="206"/>
      <c r="D53" s="46" t="s">
        <v>12</v>
      </c>
      <c r="E53" s="48" t="s">
        <v>8</v>
      </c>
      <c r="F53" s="50" t="s">
        <v>28</v>
      </c>
      <c r="G53" s="44" t="s">
        <v>29</v>
      </c>
      <c r="H53" s="44" t="s">
        <v>34</v>
      </c>
      <c r="I53" s="44" t="s">
        <v>9</v>
      </c>
      <c r="J53" s="47">
        <v>50</v>
      </c>
      <c r="K53" s="27">
        <f>0</f>
        <v>0</v>
      </c>
      <c r="L53" s="127">
        <f t="shared" si="0"/>
        <v>0</v>
      </c>
      <c r="M53" s="127">
        <f t="shared" si="1"/>
        <v>0</v>
      </c>
      <c r="N53" s="128"/>
      <c r="O53" s="129">
        <f t="shared" si="2"/>
        <v>0</v>
      </c>
      <c r="P53" s="128"/>
      <c r="Q53" s="128"/>
      <c r="R53" s="128"/>
      <c r="S53" s="26">
        <f t="shared" si="3"/>
        <v>0</v>
      </c>
      <c r="T53" s="25" t="str">
        <f t="shared" si="4"/>
        <v>OK</v>
      </c>
      <c r="U53" s="138"/>
      <c r="V53" s="138"/>
      <c r="W53" s="138"/>
      <c r="X53" s="138"/>
      <c r="Y53" s="139"/>
      <c r="Z53" s="139"/>
      <c r="AA53" s="139"/>
      <c r="AB53" s="138"/>
      <c r="AC53" s="138"/>
      <c r="AD53" s="138"/>
      <c r="AE53" s="138"/>
      <c r="AF53" s="138"/>
      <c r="AG53" s="138"/>
      <c r="AH53" s="138"/>
    </row>
    <row r="54" spans="1:34" ht="30.25" customHeight="1" x14ac:dyDescent="0.35">
      <c r="A54" s="209"/>
      <c r="B54" s="44">
        <v>51</v>
      </c>
      <c r="C54" s="206"/>
      <c r="D54" s="46" t="s">
        <v>156</v>
      </c>
      <c r="E54" s="48" t="s">
        <v>8</v>
      </c>
      <c r="F54" s="50" t="s">
        <v>28</v>
      </c>
      <c r="G54" s="44" t="s">
        <v>29</v>
      </c>
      <c r="H54" s="44" t="s">
        <v>34</v>
      </c>
      <c r="I54" s="44" t="s">
        <v>9</v>
      </c>
      <c r="J54" s="47">
        <v>50</v>
      </c>
      <c r="K54" s="27">
        <f>0</f>
        <v>0</v>
      </c>
      <c r="L54" s="127">
        <f t="shared" si="0"/>
        <v>0</v>
      </c>
      <c r="M54" s="127">
        <f t="shared" si="1"/>
        <v>0</v>
      </c>
      <c r="N54" s="128"/>
      <c r="O54" s="129">
        <f t="shared" si="2"/>
        <v>0</v>
      </c>
      <c r="P54" s="128"/>
      <c r="Q54" s="128"/>
      <c r="R54" s="128"/>
      <c r="S54" s="26">
        <f t="shared" si="3"/>
        <v>0</v>
      </c>
      <c r="T54" s="25" t="str">
        <f t="shared" si="4"/>
        <v>OK</v>
      </c>
      <c r="U54" s="138"/>
      <c r="V54" s="138"/>
      <c r="W54" s="138"/>
      <c r="X54" s="138"/>
      <c r="Y54" s="139"/>
      <c r="Z54" s="139"/>
      <c r="AA54" s="139"/>
      <c r="AB54" s="138"/>
      <c r="AC54" s="138"/>
      <c r="AD54" s="138"/>
      <c r="AE54" s="138"/>
      <c r="AF54" s="138"/>
      <c r="AG54" s="138"/>
      <c r="AH54" s="138"/>
    </row>
    <row r="55" spans="1:34" ht="30.25" customHeight="1" x14ac:dyDescent="0.35">
      <c r="A55" s="209"/>
      <c r="B55" s="44">
        <v>52</v>
      </c>
      <c r="C55" s="206"/>
      <c r="D55" s="46" t="s">
        <v>13</v>
      </c>
      <c r="E55" s="48" t="s">
        <v>8</v>
      </c>
      <c r="F55" s="50" t="s">
        <v>28</v>
      </c>
      <c r="G55" s="44" t="s">
        <v>29</v>
      </c>
      <c r="H55" s="44" t="s">
        <v>34</v>
      </c>
      <c r="I55" s="44" t="s">
        <v>9</v>
      </c>
      <c r="J55" s="47">
        <v>50</v>
      </c>
      <c r="K55" s="27">
        <f>0</f>
        <v>0</v>
      </c>
      <c r="L55" s="127">
        <f t="shared" si="0"/>
        <v>0</v>
      </c>
      <c r="M55" s="127">
        <f t="shared" si="1"/>
        <v>0</v>
      </c>
      <c r="N55" s="128"/>
      <c r="O55" s="129">
        <f t="shared" si="2"/>
        <v>0</v>
      </c>
      <c r="P55" s="128"/>
      <c r="Q55" s="128"/>
      <c r="R55" s="128"/>
      <c r="S55" s="26">
        <f t="shared" si="3"/>
        <v>0</v>
      </c>
      <c r="T55" s="25" t="str">
        <f t="shared" si="4"/>
        <v>OK</v>
      </c>
      <c r="U55" s="138"/>
      <c r="V55" s="138"/>
      <c r="W55" s="138"/>
      <c r="X55" s="138"/>
      <c r="Y55" s="139"/>
      <c r="Z55" s="139"/>
      <c r="AA55" s="139"/>
      <c r="AB55" s="138"/>
      <c r="AC55" s="138"/>
      <c r="AD55" s="138"/>
      <c r="AE55" s="138"/>
      <c r="AF55" s="138"/>
      <c r="AG55" s="138"/>
      <c r="AH55" s="138"/>
    </row>
    <row r="56" spans="1:34" ht="30.25" customHeight="1" x14ac:dyDescent="0.35">
      <c r="A56" s="209"/>
      <c r="B56" s="44">
        <v>53</v>
      </c>
      <c r="C56" s="206"/>
      <c r="D56" s="46" t="s">
        <v>157</v>
      </c>
      <c r="E56" s="48" t="s">
        <v>8</v>
      </c>
      <c r="F56" s="50" t="s">
        <v>28</v>
      </c>
      <c r="G56" s="44" t="s">
        <v>29</v>
      </c>
      <c r="H56" s="44" t="s">
        <v>8</v>
      </c>
      <c r="I56" s="44" t="s">
        <v>9</v>
      </c>
      <c r="J56" s="47">
        <v>50</v>
      </c>
      <c r="K56" s="27">
        <f>0</f>
        <v>0</v>
      </c>
      <c r="L56" s="127">
        <f t="shared" si="0"/>
        <v>0</v>
      </c>
      <c r="M56" s="127">
        <f t="shared" si="1"/>
        <v>0</v>
      </c>
      <c r="N56" s="128"/>
      <c r="O56" s="129">
        <f t="shared" si="2"/>
        <v>0</v>
      </c>
      <c r="P56" s="128"/>
      <c r="Q56" s="128"/>
      <c r="R56" s="128"/>
      <c r="S56" s="26">
        <f t="shared" si="3"/>
        <v>0</v>
      </c>
      <c r="T56" s="25" t="str">
        <f t="shared" si="4"/>
        <v>OK</v>
      </c>
      <c r="U56" s="138"/>
      <c r="V56" s="138"/>
      <c r="W56" s="138"/>
      <c r="X56" s="138"/>
      <c r="Y56" s="139"/>
      <c r="Z56" s="139"/>
      <c r="AA56" s="139"/>
      <c r="AB56" s="138"/>
      <c r="AC56" s="138"/>
      <c r="AD56" s="138"/>
      <c r="AE56" s="138"/>
      <c r="AF56" s="138"/>
      <c r="AG56" s="138"/>
      <c r="AH56" s="138"/>
    </row>
    <row r="57" spans="1:34" ht="30.25" customHeight="1" x14ac:dyDescent="0.35">
      <c r="A57" s="209"/>
      <c r="B57" s="44">
        <v>54</v>
      </c>
      <c r="C57" s="206"/>
      <c r="D57" s="46" t="s">
        <v>30</v>
      </c>
      <c r="E57" s="48" t="s">
        <v>8</v>
      </c>
      <c r="F57" s="50" t="s">
        <v>28</v>
      </c>
      <c r="G57" s="44" t="s">
        <v>29</v>
      </c>
      <c r="H57" s="44" t="s">
        <v>8</v>
      </c>
      <c r="I57" s="44" t="s">
        <v>9</v>
      </c>
      <c r="J57" s="47">
        <v>80</v>
      </c>
      <c r="K57" s="27">
        <f>0</f>
        <v>0</v>
      </c>
      <c r="L57" s="127">
        <f t="shared" si="0"/>
        <v>0</v>
      </c>
      <c r="M57" s="127">
        <f t="shared" si="1"/>
        <v>0</v>
      </c>
      <c r="N57" s="128"/>
      <c r="O57" s="129">
        <f t="shared" si="2"/>
        <v>0</v>
      </c>
      <c r="P57" s="128"/>
      <c r="Q57" s="128"/>
      <c r="R57" s="128"/>
      <c r="S57" s="26">
        <f t="shared" si="3"/>
        <v>0</v>
      </c>
      <c r="T57" s="25" t="str">
        <f t="shared" si="4"/>
        <v>OK</v>
      </c>
      <c r="U57" s="138"/>
      <c r="V57" s="138"/>
      <c r="W57" s="138"/>
      <c r="X57" s="138"/>
      <c r="Y57" s="139"/>
      <c r="Z57" s="139"/>
      <c r="AA57" s="139"/>
      <c r="AB57" s="138"/>
      <c r="AC57" s="138"/>
      <c r="AD57" s="138"/>
      <c r="AE57" s="138"/>
      <c r="AF57" s="138"/>
      <c r="AG57" s="138"/>
      <c r="AH57" s="138"/>
    </row>
    <row r="58" spans="1:34" ht="30.25" customHeight="1" x14ac:dyDescent="0.35">
      <c r="A58" s="209"/>
      <c r="B58" s="44">
        <v>55</v>
      </c>
      <c r="C58" s="206"/>
      <c r="D58" s="46" t="s">
        <v>162</v>
      </c>
      <c r="E58" s="48" t="s">
        <v>8</v>
      </c>
      <c r="F58" s="50" t="s">
        <v>28</v>
      </c>
      <c r="G58" s="44" t="s">
        <v>159</v>
      </c>
      <c r="H58" s="44" t="s">
        <v>8</v>
      </c>
      <c r="I58" s="44" t="s">
        <v>9</v>
      </c>
      <c r="J58" s="47">
        <v>1114</v>
      </c>
      <c r="K58" s="27">
        <f>0</f>
        <v>0</v>
      </c>
      <c r="L58" s="127">
        <f t="shared" si="0"/>
        <v>0</v>
      </c>
      <c r="M58" s="127">
        <f t="shared" si="1"/>
        <v>0</v>
      </c>
      <c r="N58" s="128"/>
      <c r="O58" s="129">
        <f t="shared" si="2"/>
        <v>0</v>
      </c>
      <c r="P58" s="128"/>
      <c r="Q58" s="128"/>
      <c r="R58" s="128"/>
      <c r="S58" s="26">
        <f t="shared" si="3"/>
        <v>0</v>
      </c>
      <c r="T58" s="25" t="str">
        <f t="shared" si="4"/>
        <v>OK</v>
      </c>
      <c r="U58" s="138"/>
      <c r="V58" s="138"/>
      <c r="W58" s="138"/>
      <c r="X58" s="138"/>
      <c r="Y58" s="139"/>
      <c r="Z58" s="139"/>
      <c r="AA58" s="139"/>
      <c r="AB58" s="138"/>
      <c r="AC58" s="138"/>
      <c r="AD58" s="138"/>
      <c r="AE58" s="138"/>
      <c r="AF58" s="138"/>
      <c r="AG58" s="138"/>
      <c r="AH58" s="138"/>
    </row>
    <row r="59" spans="1:34" ht="30.25" customHeight="1" x14ac:dyDescent="0.35">
      <c r="A59" s="210"/>
      <c r="B59" s="44">
        <v>56</v>
      </c>
      <c r="C59" s="207"/>
      <c r="D59" s="46" t="s">
        <v>160</v>
      </c>
      <c r="E59" s="48" t="s">
        <v>8</v>
      </c>
      <c r="F59" s="50" t="s">
        <v>28</v>
      </c>
      <c r="G59" s="44" t="s">
        <v>29</v>
      </c>
      <c r="H59" s="44" t="s">
        <v>8</v>
      </c>
      <c r="I59" s="44" t="s">
        <v>9</v>
      </c>
      <c r="J59" s="47">
        <v>2000</v>
      </c>
      <c r="K59" s="27">
        <f>0</f>
        <v>0</v>
      </c>
      <c r="L59" s="127">
        <f t="shared" si="0"/>
        <v>0</v>
      </c>
      <c r="M59" s="127">
        <f t="shared" si="1"/>
        <v>0</v>
      </c>
      <c r="N59" s="128"/>
      <c r="O59" s="129">
        <f t="shared" si="2"/>
        <v>0</v>
      </c>
      <c r="P59" s="128"/>
      <c r="Q59" s="128"/>
      <c r="R59" s="128"/>
      <c r="S59" s="26">
        <f t="shared" si="3"/>
        <v>0</v>
      </c>
      <c r="T59" s="25" t="str">
        <f t="shared" si="4"/>
        <v>OK</v>
      </c>
      <c r="U59" s="138"/>
      <c r="V59" s="138"/>
      <c r="W59" s="138"/>
      <c r="X59" s="138"/>
      <c r="Y59" s="139"/>
      <c r="Z59" s="139"/>
      <c r="AA59" s="139"/>
      <c r="AB59" s="138"/>
      <c r="AC59" s="138"/>
      <c r="AD59" s="138"/>
      <c r="AE59" s="138"/>
      <c r="AF59" s="138"/>
      <c r="AG59" s="138"/>
      <c r="AH59" s="138"/>
    </row>
    <row r="60" spans="1:34" ht="30.25" customHeight="1" x14ac:dyDescent="0.35">
      <c r="A60" s="198" t="s">
        <v>163</v>
      </c>
      <c r="B60" s="37">
        <v>57</v>
      </c>
      <c r="C60" s="195" t="s">
        <v>33</v>
      </c>
      <c r="D60" s="34" t="s">
        <v>27</v>
      </c>
      <c r="E60" s="41" t="s">
        <v>8</v>
      </c>
      <c r="F60" s="43" t="s">
        <v>28</v>
      </c>
      <c r="G60" s="37" t="s">
        <v>29</v>
      </c>
      <c r="H60" s="37" t="s">
        <v>8</v>
      </c>
      <c r="I60" s="37" t="s">
        <v>9</v>
      </c>
      <c r="J60" s="36">
        <v>250.5</v>
      </c>
      <c r="K60" s="27">
        <f>0</f>
        <v>0</v>
      </c>
      <c r="L60" s="127">
        <f t="shared" si="0"/>
        <v>0</v>
      </c>
      <c r="M60" s="127">
        <f t="shared" si="1"/>
        <v>0</v>
      </c>
      <c r="N60" s="128"/>
      <c r="O60" s="129">
        <f t="shared" si="2"/>
        <v>0</v>
      </c>
      <c r="P60" s="128"/>
      <c r="Q60" s="128"/>
      <c r="R60" s="128"/>
      <c r="S60" s="26">
        <f t="shared" si="3"/>
        <v>0</v>
      </c>
      <c r="T60" s="25" t="str">
        <f t="shared" si="4"/>
        <v>OK</v>
      </c>
      <c r="U60" s="138"/>
      <c r="V60" s="138"/>
      <c r="W60" s="138"/>
      <c r="X60" s="138"/>
      <c r="Y60" s="139"/>
      <c r="Z60" s="139"/>
      <c r="AA60" s="139"/>
      <c r="AB60" s="138"/>
      <c r="AC60" s="138"/>
      <c r="AD60" s="138"/>
      <c r="AE60" s="138"/>
      <c r="AF60" s="138"/>
      <c r="AG60" s="138"/>
      <c r="AH60" s="138"/>
    </row>
    <row r="61" spans="1:34" ht="30.25" customHeight="1" x14ac:dyDescent="0.35">
      <c r="A61" s="199"/>
      <c r="B61" s="37">
        <v>58</v>
      </c>
      <c r="C61" s="196"/>
      <c r="D61" s="34" t="s">
        <v>7</v>
      </c>
      <c r="E61" s="41" t="s">
        <v>8</v>
      </c>
      <c r="F61" s="43" t="s">
        <v>28</v>
      </c>
      <c r="G61" s="37" t="s">
        <v>29</v>
      </c>
      <c r="H61" s="37" t="s">
        <v>8</v>
      </c>
      <c r="I61" s="37" t="s">
        <v>9</v>
      </c>
      <c r="J61" s="36">
        <v>1000</v>
      </c>
      <c r="K61" s="27">
        <f>0</f>
        <v>0</v>
      </c>
      <c r="L61" s="127">
        <f t="shared" si="0"/>
        <v>0</v>
      </c>
      <c r="M61" s="127">
        <f t="shared" si="1"/>
        <v>0</v>
      </c>
      <c r="N61" s="128"/>
      <c r="O61" s="129">
        <f t="shared" si="2"/>
        <v>0</v>
      </c>
      <c r="P61" s="128"/>
      <c r="Q61" s="128"/>
      <c r="R61" s="128"/>
      <c r="S61" s="26">
        <f t="shared" si="3"/>
        <v>0</v>
      </c>
      <c r="T61" s="25" t="str">
        <f t="shared" si="4"/>
        <v>OK</v>
      </c>
      <c r="U61" s="138"/>
      <c r="V61" s="138"/>
      <c r="W61" s="138"/>
      <c r="X61" s="138"/>
      <c r="Y61" s="139"/>
      <c r="Z61" s="139"/>
      <c r="AA61" s="139"/>
      <c r="AB61" s="138"/>
      <c r="AC61" s="138"/>
      <c r="AD61" s="138"/>
      <c r="AE61" s="138"/>
      <c r="AF61" s="138"/>
      <c r="AG61" s="138"/>
      <c r="AH61" s="138"/>
    </row>
    <row r="62" spans="1:34" ht="30.25" customHeight="1" x14ac:dyDescent="0.35">
      <c r="A62" s="199"/>
      <c r="B62" s="37">
        <v>59</v>
      </c>
      <c r="C62" s="196"/>
      <c r="D62" s="34" t="s">
        <v>10</v>
      </c>
      <c r="E62" s="41" t="s">
        <v>8</v>
      </c>
      <c r="F62" s="43" t="s">
        <v>28</v>
      </c>
      <c r="G62" s="37" t="s">
        <v>29</v>
      </c>
      <c r="H62" s="37" t="s">
        <v>8</v>
      </c>
      <c r="I62" s="37" t="s">
        <v>9</v>
      </c>
      <c r="J62" s="36">
        <v>1500</v>
      </c>
      <c r="K62" s="27">
        <f>0</f>
        <v>0</v>
      </c>
      <c r="L62" s="127">
        <f t="shared" si="0"/>
        <v>0</v>
      </c>
      <c r="M62" s="127">
        <f t="shared" si="1"/>
        <v>0</v>
      </c>
      <c r="N62" s="128"/>
      <c r="O62" s="129">
        <f t="shared" si="2"/>
        <v>0</v>
      </c>
      <c r="P62" s="128"/>
      <c r="Q62" s="128"/>
      <c r="R62" s="128"/>
      <c r="S62" s="26">
        <f t="shared" si="3"/>
        <v>0</v>
      </c>
      <c r="T62" s="25" t="str">
        <f t="shared" si="4"/>
        <v>OK</v>
      </c>
      <c r="U62" s="138"/>
      <c r="V62" s="138"/>
      <c r="W62" s="138"/>
      <c r="X62" s="138"/>
      <c r="Y62" s="139"/>
      <c r="Z62" s="139"/>
      <c r="AA62" s="139"/>
      <c r="AB62" s="138"/>
      <c r="AC62" s="138"/>
      <c r="AD62" s="138"/>
      <c r="AE62" s="138"/>
      <c r="AF62" s="138"/>
      <c r="AG62" s="138"/>
      <c r="AH62" s="138"/>
    </row>
    <row r="63" spans="1:34" ht="30.25" customHeight="1" x14ac:dyDescent="0.35">
      <c r="A63" s="199"/>
      <c r="B63" s="37">
        <v>60</v>
      </c>
      <c r="C63" s="196"/>
      <c r="D63" s="34" t="s">
        <v>11</v>
      </c>
      <c r="E63" s="41" t="s">
        <v>8</v>
      </c>
      <c r="F63" s="43" t="s">
        <v>28</v>
      </c>
      <c r="G63" s="37" t="s">
        <v>29</v>
      </c>
      <c r="H63" s="37" t="s">
        <v>8</v>
      </c>
      <c r="I63" s="37" t="s">
        <v>9</v>
      </c>
      <c r="J63" s="36">
        <v>1731</v>
      </c>
      <c r="K63" s="27">
        <f>0</f>
        <v>0</v>
      </c>
      <c r="L63" s="127">
        <f t="shared" si="0"/>
        <v>0</v>
      </c>
      <c r="M63" s="127">
        <f t="shared" si="1"/>
        <v>0</v>
      </c>
      <c r="N63" s="128"/>
      <c r="O63" s="129">
        <f t="shared" si="2"/>
        <v>0</v>
      </c>
      <c r="P63" s="128"/>
      <c r="Q63" s="128"/>
      <c r="R63" s="128"/>
      <c r="S63" s="26">
        <f t="shared" si="3"/>
        <v>0</v>
      </c>
      <c r="T63" s="25" t="str">
        <f t="shared" si="4"/>
        <v>OK</v>
      </c>
      <c r="U63" s="138"/>
      <c r="V63" s="138"/>
      <c r="W63" s="138"/>
      <c r="X63" s="138"/>
      <c r="Y63" s="139"/>
      <c r="Z63" s="139"/>
      <c r="AA63" s="139"/>
      <c r="AB63" s="138"/>
      <c r="AC63" s="138"/>
      <c r="AD63" s="138"/>
      <c r="AE63" s="138"/>
      <c r="AF63" s="138"/>
      <c r="AG63" s="138"/>
      <c r="AH63" s="138"/>
    </row>
    <row r="64" spans="1:34" ht="30.25" customHeight="1" x14ac:dyDescent="0.35">
      <c r="A64" s="199"/>
      <c r="B64" s="37">
        <v>61</v>
      </c>
      <c r="C64" s="196"/>
      <c r="D64" s="34" t="s">
        <v>12</v>
      </c>
      <c r="E64" s="41" t="s">
        <v>8</v>
      </c>
      <c r="F64" s="43" t="s">
        <v>28</v>
      </c>
      <c r="G64" s="37" t="s">
        <v>29</v>
      </c>
      <c r="H64" s="37" t="s">
        <v>34</v>
      </c>
      <c r="I64" s="37" t="s">
        <v>9</v>
      </c>
      <c r="J64" s="36">
        <v>160</v>
      </c>
      <c r="K64" s="27">
        <f>0</f>
        <v>0</v>
      </c>
      <c r="L64" s="127">
        <f t="shared" si="0"/>
        <v>0</v>
      </c>
      <c r="M64" s="127">
        <f t="shared" si="1"/>
        <v>0</v>
      </c>
      <c r="N64" s="128"/>
      <c r="O64" s="129">
        <f t="shared" si="2"/>
        <v>0</v>
      </c>
      <c r="P64" s="128"/>
      <c r="Q64" s="128"/>
      <c r="R64" s="128"/>
      <c r="S64" s="26">
        <f t="shared" si="3"/>
        <v>0</v>
      </c>
      <c r="T64" s="25" t="str">
        <f t="shared" si="4"/>
        <v>OK</v>
      </c>
      <c r="U64" s="138"/>
      <c r="V64" s="138"/>
      <c r="W64" s="138"/>
      <c r="X64" s="138"/>
      <c r="Y64" s="139"/>
      <c r="Z64" s="139"/>
      <c r="AA64" s="139"/>
      <c r="AB64" s="138"/>
      <c r="AC64" s="138"/>
      <c r="AD64" s="138"/>
      <c r="AE64" s="138"/>
      <c r="AF64" s="138"/>
      <c r="AG64" s="138"/>
      <c r="AH64" s="138"/>
    </row>
    <row r="65" spans="1:34" ht="30.25" customHeight="1" x14ac:dyDescent="0.35">
      <c r="A65" s="199"/>
      <c r="B65" s="37">
        <v>62</v>
      </c>
      <c r="C65" s="196"/>
      <c r="D65" s="34" t="s">
        <v>156</v>
      </c>
      <c r="E65" s="41" t="s">
        <v>8</v>
      </c>
      <c r="F65" s="43" t="s">
        <v>28</v>
      </c>
      <c r="G65" s="37" t="s">
        <v>29</v>
      </c>
      <c r="H65" s="37" t="s">
        <v>34</v>
      </c>
      <c r="I65" s="37" t="s">
        <v>9</v>
      </c>
      <c r="J65" s="36">
        <v>135</v>
      </c>
      <c r="K65" s="27">
        <f>0</f>
        <v>0</v>
      </c>
      <c r="L65" s="127">
        <f t="shared" si="0"/>
        <v>0</v>
      </c>
      <c r="M65" s="127">
        <f t="shared" si="1"/>
        <v>0</v>
      </c>
      <c r="N65" s="128"/>
      <c r="O65" s="129">
        <f t="shared" si="2"/>
        <v>0</v>
      </c>
      <c r="P65" s="128"/>
      <c r="Q65" s="128"/>
      <c r="R65" s="128"/>
      <c r="S65" s="26">
        <f t="shared" si="3"/>
        <v>0</v>
      </c>
      <c r="T65" s="25" t="str">
        <f t="shared" si="4"/>
        <v>OK</v>
      </c>
      <c r="U65" s="138"/>
      <c r="V65" s="138"/>
      <c r="W65" s="138"/>
      <c r="X65" s="138"/>
      <c r="Y65" s="139"/>
      <c r="Z65" s="139"/>
      <c r="AA65" s="139"/>
      <c r="AB65" s="138"/>
      <c r="AC65" s="138"/>
      <c r="AD65" s="138"/>
      <c r="AE65" s="138"/>
      <c r="AF65" s="138"/>
      <c r="AG65" s="138"/>
      <c r="AH65" s="138"/>
    </row>
    <row r="66" spans="1:34" ht="30.25" customHeight="1" x14ac:dyDescent="0.35">
      <c r="A66" s="199"/>
      <c r="B66" s="37">
        <v>63</v>
      </c>
      <c r="C66" s="196"/>
      <c r="D66" s="34" t="s">
        <v>13</v>
      </c>
      <c r="E66" s="41" t="s">
        <v>8</v>
      </c>
      <c r="F66" s="43" t="s">
        <v>28</v>
      </c>
      <c r="G66" s="37" t="s">
        <v>29</v>
      </c>
      <c r="H66" s="37" t="s">
        <v>34</v>
      </c>
      <c r="I66" s="37" t="s">
        <v>9</v>
      </c>
      <c r="J66" s="36">
        <v>135</v>
      </c>
      <c r="K66" s="27">
        <f>0</f>
        <v>0</v>
      </c>
      <c r="L66" s="127">
        <f t="shared" si="0"/>
        <v>0</v>
      </c>
      <c r="M66" s="127">
        <f t="shared" si="1"/>
        <v>0</v>
      </c>
      <c r="N66" s="128"/>
      <c r="O66" s="129">
        <f t="shared" si="2"/>
        <v>0</v>
      </c>
      <c r="P66" s="128"/>
      <c r="Q66" s="128"/>
      <c r="R66" s="128"/>
      <c r="S66" s="26">
        <f t="shared" si="3"/>
        <v>0</v>
      </c>
      <c r="T66" s="25" t="str">
        <f t="shared" si="4"/>
        <v>OK</v>
      </c>
      <c r="U66" s="138"/>
      <c r="V66" s="138"/>
      <c r="W66" s="138"/>
      <c r="X66" s="138"/>
      <c r="Y66" s="139"/>
      <c r="Z66" s="139"/>
      <c r="AA66" s="139"/>
      <c r="AB66" s="138"/>
      <c r="AC66" s="138"/>
      <c r="AD66" s="138"/>
      <c r="AE66" s="138"/>
      <c r="AF66" s="138"/>
      <c r="AG66" s="138"/>
      <c r="AH66" s="138"/>
    </row>
    <row r="67" spans="1:34" ht="30.25" customHeight="1" x14ac:dyDescent="0.35">
      <c r="A67" s="199"/>
      <c r="B67" s="37">
        <v>64</v>
      </c>
      <c r="C67" s="196"/>
      <c r="D67" s="34" t="s">
        <v>157</v>
      </c>
      <c r="E67" s="41" t="s">
        <v>8</v>
      </c>
      <c r="F67" s="43" t="s">
        <v>28</v>
      </c>
      <c r="G67" s="37" t="s">
        <v>29</v>
      </c>
      <c r="H67" s="37" t="s">
        <v>8</v>
      </c>
      <c r="I67" s="37" t="s">
        <v>9</v>
      </c>
      <c r="J67" s="36">
        <v>365</v>
      </c>
      <c r="K67" s="27">
        <f>0</f>
        <v>0</v>
      </c>
      <c r="L67" s="127">
        <f t="shared" si="0"/>
        <v>0</v>
      </c>
      <c r="M67" s="127">
        <f t="shared" si="1"/>
        <v>0</v>
      </c>
      <c r="N67" s="128"/>
      <c r="O67" s="129">
        <f t="shared" si="2"/>
        <v>0</v>
      </c>
      <c r="P67" s="128"/>
      <c r="Q67" s="128"/>
      <c r="R67" s="128"/>
      <c r="S67" s="26">
        <f t="shared" si="3"/>
        <v>0</v>
      </c>
      <c r="T67" s="25" t="str">
        <f t="shared" si="4"/>
        <v>OK</v>
      </c>
      <c r="U67" s="138"/>
      <c r="V67" s="138"/>
      <c r="W67" s="138"/>
      <c r="X67" s="138"/>
      <c r="Y67" s="139"/>
      <c r="Z67" s="139"/>
      <c r="AA67" s="139"/>
      <c r="AB67" s="138"/>
      <c r="AC67" s="138"/>
      <c r="AD67" s="138"/>
      <c r="AE67" s="138"/>
      <c r="AF67" s="138"/>
      <c r="AG67" s="138"/>
      <c r="AH67" s="138"/>
    </row>
    <row r="68" spans="1:34" ht="30.25" customHeight="1" x14ac:dyDescent="0.35">
      <c r="A68" s="200"/>
      <c r="B68" s="37">
        <v>65</v>
      </c>
      <c r="C68" s="197"/>
      <c r="D68" s="34" t="s">
        <v>30</v>
      </c>
      <c r="E68" s="41" t="s">
        <v>8</v>
      </c>
      <c r="F68" s="43" t="s">
        <v>28</v>
      </c>
      <c r="G68" s="37" t="s">
        <v>29</v>
      </c>
      <c r="H68" s="37" t="s">
        <v>8</v>
      </c>
      <c r="I68" s="37" t="s">
        <v>9</v>
      </c>
      <c r="J68" s="36">
        <v>100</v>
      </c>
      <c r="K68" s="27">
        <f>0</f>
        <v>0</v>
      </c>
      <c r="L68" s="127">
        <f t="shared" si="0"/>
        <v>0</v>
      </c>
      <c r="M68" s="127">
        <f t="shared" si="1"/>
        <v>0</v>
      </c>
      <c r="N68" s="128"/>
      <c r="O68" s="129">
        <f t="shared" si="2"/>
        <v>0</v>
      </c>
      <c r="P68" s="128"/>
      <c r="Q68" s="128"/>
      <c r="R68" s="128"/>
      <c r="S68" s="26">
        <f t="shared" si="3"/>
        <v>0</v>
      </c>
      <c r="T68" s="25" t="str">
        <f t="shared" si="4"/>
        <v>OK</v>
      </c>
      <c r="U68" s="138"/>
      <c r="V68" s="138"/>
      <c r="W68" s="138"/>
      <c r="X68" s="138"/>
      <c r="Y68" s="139"/>
      <c r="Z68" s="139"/>
      <c r="AA68" s="139"/>
      <c r="AB68" s="138"/>
      <c r="AC68" s="138"/>
      <c r="AD68" s="138"/>
      <c r="AE68" s="138"/>
      <c r="AF68" s="138"/>
      <c r="AG68" s="138"/>
      <c r="AH68" s="138"/>
    </row>
    <row r="69" spans="1:34" ht="30.25" customHeight="1" x14ac:dyDescent="0.35">
      <c r="A69" s="208" t="s">
        <v>164</v>
      </c>
      <c r="B69" s="44">
        <v>66</v>
      </c>
      <c r="C69" s="205" t="s">
        <v>92</v>
      </c>
      <c r="D69" s="46" t="s">
        <v>27</v>
      </c>
      <c r="E69" s="48" t="s">
        <v>8</v>
      </c>
      <c r="F69" s="50" t="s">
        <v>28</v>
      </c>
      <c r="G69" s="44" t="s">
        <v>29</v>
      </c>
      <c r="H69" s="44" t="s">
        <v>8</v>
      </c>
      <c r="I69" s="44" t="s">
        <v>9</v>
      </c>
      <c r="J69" s="47">
        <v>140</v>
      </c>
      <c r="K69" s="27">
        <f>0</f>
        <v>0</v>
      </c>
      <c r="L69" s="127">
        <f t="shared" ref="L69:L81" si="5">IF(SUM(U69:AL69)&gt;K69+N69,K69+N69,SUM(U69:AL69))</f>
        <v>0</v>
      </c>
      <c r="M69" s="127">
        <f t="shared" ref="M69:M81" si="6">(SUM(U69:AL69))</f>
        <v>0</v>
      </c>
      <c r="N69" s="128"/>
      <c r="O69" s="129">
        <f t="shared" ref="O69:O82" si="7">ROUND(IF(K69*0.25-0.5&lt;0,0,K69*0.25-0.5),0)-R69-P69</f>
        <v>0</v>
      </c>
      <c r="P69" s="128"/>
      <c r="Q69" s="128"/>
      <c r="R69" s="128"/>
      <c r="S69" s="26">
        <f t="shared" ref="S69:S80" si="8">K69-SUM(U69:AH69)+N69</f>
        <v>0</v>
      </c>
      <c r="T69" s="25" t="str">
        <f t="shared" ref="T69:T81" si="9">IF(S69&lt;0,"ATENÇÃO","OK")</f>
        <v>OK</v>
      </c>
      <c r="U69" s="138"/>
      <c r="V69" s="138"/>
      <c r="W69" s="138"/>
      <c r="X69" s="138"/>
      <c r="Y69" s="139"/>
      <c r="Z69" s="139"/>
      <c r="AA69" s="139"/>
      <c r="AB69" s="138"/>
      <c r="AC69" s="138"/>
      <c r="AD69" s="138"/>
      <c r="AE69" s="138"/>
      <c r="AF69" s="138"/>
      <c r="AG69" s="138"/>
      <c r="AH69" s="138"/>
    </row>
    <row r="70" spans="1:34" ht="30.25" customHeight="1" x14ac:dyDescent="0.35">
      <c r="A70" s="209"/>
      <c r="B70" s="44">
        <v>67</v>
      </c>
      <c r="C70" s="206"/>
      <c r="D70" s="46" t="s">
        <v>7</v>
      </c>
      <c r="E70" s="48" t="s">
        <v>8</v>
      </c>
      <c r="F70" s="50" t="s">
        <v>28</v>
      </c>
      <c r="G70" s="44" t="s">
        <v>29</v>
      </c>
      <c r="H70" s="44" t="s">
        <v>8</v>
      </c>
      <c r="I70" s="44" t="s">
        <v>9</v>
      </c>
      <c r="J70" s="47">
        <v>530</v>
      </c>
      <c r="K70" s="27">
        <f>0</f>
        <v>0</v>
      </c>
      <c r="L70" s="127">
        <f t="shared" si="5"/>
        <v>0</v>
      </c>
      <c r="M70" s="127">
        <f t="shared" si="6"/>
        <v>0</v>
      </c>
      <c r="N70" s="128"/>
      <c r="O70" s="129">
        <f t="shared" si="7"/>
        <v>0</v>
      </c>
      <c r="P70" s="128"/>
      <c r="Q70" s="128"/>
      <c r="R70" s="128"/>
      <c r="S70" s="26">
        <f t="shared" si="8"/>
        <v>0</v>
      </c>
      <c r="T70" s="25" t="str">
        <f t="shared" si="9"/>
        <v>OK</v>
      </c>
      <c r="U70" s="138"/>
      <c r="V70" s="138"/>
      <c r="W70" s="138"/>
      <c r="X70" s="138"/>
      <c r="Y70" s="139"/>
      <c r="Z70" s="139"/>
      <c r="AA70" s="139"/>
      <c r="AB70" s="138"/>
      <c r="AC70" s="138"/>
      <c r="AD70" s="138"/>
      <c r="AE70" s="138"/>
      <c r="AF70" s="138"/>
      <c r="AG70" s="138"/>
      <c r="AH70" s="138"/>
    </row>
    <row r="71" spans="1:34" ht="30.25" customHeight="1" x14ac:dyDescent="0.35">
      <c r="A71" s="209"/>
      <c r="B71" s="44">
        <v>68</v>
      </c>
      <c r="C71" s="206"/>
      <c r="D71" s="46" t="s">
        <v>10</v>
      </c>
      <c r="E71" s="48" t="s">
        <v>8</v>
      </c>
      <c r="F71" s="50" t="s">
        <v>28</v>
      </c>
      <c r="G71" s="44" t="s">
        <v>29</v>
      </c>
      <c r="H71" s="44" t="s">
        <v>8</v>
      </c>
      <c r="I71" s="44" t="s">
        <v>9</v>
      </c>
      <c r="J71" s="47">
        <v>660</v>
      </c>
      <c r="K71" s="27">
        <f>0</f>
        <v>0</v>
      </c>
      <c r="L71" s="127">
        <f t="shared" si="5"/>
        <v>0</v>
      </c>
      <c r="M71" s="127">
        <f t="shared" si="6"/>
        <v>0</v>
      </c>
      <c r="N71" s="128"/>
      <c r="O71" s="129">
        <f t="shared" si="7"/>
        <v>0</v>
      </c>
      <c r="P71" s="128"/>
      <c r="Q71" s="128"/>
      <c r="R71" s="128"/>
      <c r="S71" s="26">
        <f t="shared" si="8"/>
        <v>0</v>
      </c>
      <c r="T71" s="25" t="str">
        <f t="shared" si="9"/>
        <v>OK</v>
      </c>
      <c r="U71" s="138"/>
      <c r="V71" s="138"/>
      <c r="W71" s="138"/>
      <c r="X71" s="138"/>
      <c r="Y71" s="139"/>
      <c r="Z71" s="139"/>
      <c r="AA71" s="139"/>
      <c r="AB71" s="138"/>
      <c r="AC71" s="138"/>
      <c r="AD71" s="138"/>
      <c r="AE71" s="138"/>
      <c r="AF71" s="138"/>
      <c r="AG71" s="138"/>
      <c r="AH71" s="138"/>
    </row>
    <row r="72" spans="1:34" ht="30.25" customHeight="1" x14ac:dyDescent="0.35">
      <c r="A72" s="209"/>
      <c r="B72" s="44">
        <v>69</v>
      </c>
      <c r="C72" s="206"/>
      <c r="D72" s="46" t="s">
        <v>11</v>
      </c>
      <c r="E72" s="48" t="s">
        <v>8</v>
      </c>
      <c r="F72" s="50" t="s">
        <v>28</v>
      </c>
      <c r="G72" s="44" t="s">
        <v>29</v>
      </c>
      <c r="H72" s="44" t="s">
        <v>8</v>
      </c>
      <c r="I72" s="44" t="s">
        <v>9</v>
      </c>
      <c r="J72" s="47">
        <v>760</v>
      </c>
      <c r="K72" s="27">
        <f>0</f>
        <v>0</v>
      </c>
      <c r="L72" s="127">
        <f t="shared" si="5"/>
        <v>0</v>
      </c>
      <c r="M72" s="127">
        <f t="shared" si="6"/>
        <v>0</v>
      </c>
      <c r="N72" s="128"/>
      <c r="O72" s="129">
        <f t="shared" si="7"/>
        <v>0</v>
      </c>
      <c r="P72" s="128"/>
      <c r="Q72" s="128"/>
      <c r="R72" s="128"/>
      <c r="S72" s="26">
        <f t="shared" si="8"/>
        <v>0</v>
      </c>
      <c r="T72" s="25" t="str">
        <f t="shared" si="9"/>
        <v>OK</v>
      </c>
      <c r="U72" s="138"/>
      <c r="V72" s="138"/>
      <c r="W72" s="138"/>
      <c r="X72" s="138"/>
      <c r="Y72" s="139"/>
      <c r="Z72" s="139"/>
      <c r="AA72" s="139"/>
      <c r="AB72" s="138"/>
      <c r="AC72" s="138"/>
      <c r="AD72" s="138"/>
      <c r="AE72" s="138"/>
      <c r="AF72" s="138"/>
      <c r="AG72" s="138"/>
      <c r="AH72" s="138"/>
    </row>
    <row r="73" spans="1:34" ht="30.25" customHeight="1" x14ac:dyDescent="0.35">
      <c r="A73" s="209"/>
      <c r="B73" s="44">
        <v>70</v>
      </c>
      <c r="C73" s="206"/>
      <c r="D73" s="46" t="s">
        <v>12</v>
      </c>
      <c r="E73" s="48" t="s">
        <v>8</v>
      </c>
      <c r="F73" s="50" t="s">
        <v>28</v>
      </c>
      <c r="G73" s="44" t="s">
        <v>29</v>
      </c>
      <c r="H73" s="44" t="s">
        <v>34</v>
      </c>
      <c r="I73" s="44" t="s">
        <v>9</v>
      </c>
      <c r="J73" s="47">
        <v>70</v>
      </c>
      <c r="K73" s="27">
        <f>0</f>
        <v>0</v>
      </c>
      <c r="L73" s="127">
        <f t="shared" si="5"/>
        <v>0</v>
      </c>
      <c r="M73" s="127">
        <f t="shared" si="6"/>
        <v>0</v>
      </c>
      <c r="N73" s="128"/>
      <c r="O73" s="129">
        <f t="shared" si="7"/>
        <v>0</v>
      </c>
      <c r="P73" s="128"/>
      <c r="Q73" s="128"/>
      <c r="R73" s="128"/>
      <c r="S73" s="26">
        <f t="shared" si="8"/>
        <v>0</v>
      </c>
      <c r="T73" s="25" t="str">
        <f t="shared" si="9"/>
        <v>OK</v>
      </c>
      <c r="U73" s="138"/>
      <c r="V73" s="138"/>
      <c r="W73" s="138"/>
      <c r="X73" s="138"/>
      <c r="Y73" s="139"/>
      <c r="Z73" s="139"/>
      <c r="AA73" s="139"/>
      <c r="AB73" s="138"/>
      <c r="AC73" s="138"/>
      <c r="AD73" s="138"/>
      <c r="AE73" s="138"/>
      <c r="AF73" s="138"/>
      <c r="AG73" s="138"/>
      <c r="AH73" s="138"/>
    </row>
    <row r="74" spans="1:34" ht="30.25" customHeight="1" x14ac:dyDescent="0.35">
      <c r="A74" s="209"/>
      <c r="B74" s="44">
        <v>71</v>
      </c>
      <c r="C74" s="206"/>
      <c r="D74" s="46" t="s">
        <v>156</v>
      </c>
      <c r="E74" s="48" t="s">
        <v>8</v>
      </c>
      <c r="F74" s="50" t="s">
        <v>28</v>
      </c>
      <c r="G74" s="44" t="s">
        <v>29</v>
      </c>
      <c r="H74" s="44" t="s">
        <v>34</v>
      </c>
      <c r="I74" s="44" t="s">
        <v>9</v>
      </c>
      <c r="J74" s="47">
        <v>75</v>
      </c>
      <c r="K74" s="27">
        <f>0</f>
        <v>0</v>
      </c>
      <c r="L74" s="127">
        <f t="shared" si="5"/>
        <v>0</v>
      </c>
      <c r="M74" s="127">
        <f t="shared" si="6"/>
        <v>0</v>
      </c>
      <c r="N74" s="128"/>
      <c r="O74" s="129">
        <f t="shared" si="7"/>
        <v>0</v>
      </c>
      <c r="P74" s="128"/>
      <c r="Q74" s="128"/>
      <c r="R74" s="128"/>
      <c r="S74" s="26">
        <f t="shared" si="8"/>
        <v>0</v>
      </c>
      <c r="T74" s="25" t="str">
        <f t="shared" si="9"/>
        <v>OK</v>
      </c>
      <c r="U74" s="138"/>
      <c r="V74" s="138"/>
      <c r="W74" s="138"/>
      <c r="X74" s="138"/>
      <c r="Y74" s="139"/>
      <c r="Z74" s="139"/>
      <c r="AA74" s="139"/>
      <c r="AB74" s="138"/>
      <c r="AC74" s="138"/>
      <c r="AD74" s="138"/>
      <c r="AE74" s="138"/>
      <c r="AF74" s="138"/>
      <c r="AG74" s="138"/>
      <c r="AH74" s="138"/>
    </row>
    <row r="75" spans="1:34" ht="30.25" customHeight="1" x14ac:dyDescent="0.35">
      <c r="A75" s="209"/>
      <c r="B75" s="44">
        <v>72</v>
      </c>
      <c r="C75" s="206"/>
      <c r="D75" s="46" t="s">
        <v>13</v>
      </c>
      <c r="E75" s="48" t="s">
        <v>8</v>
      </c>
      <c r="F75" s="50" t="s">
        <v>28</v>
      </c>
      <c r="G75" s="44" t="s">
        <v>29</v>
      </c>
      <c r="H75" s="44" t="s">
        <v>34</v>
      </c>
      <c r="I75" s="44" t="s">
        <v>9</v>
      </c>
      <c r="J75" s="47">
        <v>80</v>
      </c>
      <c r="K75" s="27">
        <f>0</f>
        <v>0</v>
      </c>
      <c r="L75" s="127">
        <f t="shared" si="5"/>
        <v>0</v>
      </c>
      <c r="M75" s="127">
        <f t="shared" si="6"/>
        <v>0</v>
      </c>
      <c r="N75" s="128"/>
      <c r="O75" s="129">
        <f t="shared" si="7"/>
        <v>0</v>
      </c>
      <c r="P75" s="128"/>
      <c r="Q75" s="128"/>
      <c r="R75" s="128"/>
      <c r="S75" s="26">
        <f t="shared" si="8"/>
        <v>0</v>
      </c>
      <c r="T75" s="25" t="str">
        <f t="shared" si="9"/>
        <v>OK</v>
      </c>
      <c r="U75" s="138"/>
      <c r="V75" s="138"/>
      <c r="W75" s="138"/>
      <c r="X75" s="138"/>
      <c r="Y75" s="139"/>
      <c r="Z75" s="139"/>
      <c r="AA75" s="139"/>
      <c r="AB75" s="138"/>
      <c r="AC75" s="138"/>
      <c r="AD75" s="138"/>
      <c r="AE75" s="138"/>
      <c r="AF75" s="138"/>
      <c r="AG75" s="138"/>
      <c r="AH75" s="138"/>
    </row>
    <row r="76" spans="1:34" ht="30.25" customHeight="1" x14ac:dyDescent="0.35">
      <c r="A76" s="209"/>
      <c r="B76" s="44">
        <v>73</v>
      </c>
      <c r="C76" s="206"/>
      <c r="D76" s="46" t="s">
        <v>157</v>
      </c>
      <c r="E76" s="48" t="s">
        <v>8</v>
      </c>
      <c r="F76" s="50" t="s">
        <v>28</v>
      </c>
      <c r="G76" s="44" t="s">
        <v>29</v>
      </c>
      <c r="H76" s="44" t="s">
        <v>8</v>
      </c>
      <c r="I76" s="44" t="s">
        <v>9</v>
      </c>
      <c r="J76" s="47">
        <v>150</v>
      </c>
      <c r="K76" s="27">
        <f>0</f>
        <v>0</v>
      </c>
      <c r="L76" s="127">
        <f t="shared" si="5"/>
        <v>0</v>
      </c>
      <c r="M76" s="127">
        <f t="shared" si="6"/>
        <v>0</v>
      </c>
      <c r="N76" s="128"/>
      <c r="O76" s="129">
        <f t="shared" si="7"/>
        <v>0</v>
      </c>
      <c r="P76" s="128"/>
      <c r="Q76" s="128"/>
      <c r="R76" s="128"/>
      <c r="S76" s="26">
        <f t="shared" si="8"/>
        <v>0</v>
      </c>
      <c r="T76" s="25" t="str">
        <f t="shared" si="9"/>
        <v>OK</v>
      </c>
      <c r="U76" s="138"/>
      <c r="V76" s="138"/>
      <c r="W76" s="138"/>
      <c r="X76" s="138"/>
      <c r="Y76" s="139"/>
      <c r="Z76" s="139"/>
      <c r="AA76" s="139"/>
      <c r="AB76" s="138"/>
      <c r="AC76" s="138"/>
      <c r="AD76" s="138"/>
      <c r="AE76" s="138"/>
      <c r="AF76" s="138"/>
      <c r="AG76" s="138"/>
      <c r="AH76" s="138"/>
    </row>
    <row r="77" spans="1:34" ht="30.25" customHeight="1" x14ac:dyDescent="0.35">
      <c r="A77" s="209"/>
      <c r="B77" s="44">
        <v>74</v>
      </c>
      <c r="C77" s="206"/>
      <c r="D77" s="46" t="s">
        <v>30</v>
      </c>
      <c r="E77" s="48" t="s">
        <v>8</v>
      </c>
      <c r="F77" s="50" t="s">
        <v>28</v>
      </c>
      <c r="G77" s="44" t="s">
        <v>29</v>
      </c>
      <c r="H77" s="44" t="s">
        <v>8</v>
      </c>
      <c r="I77" s="44" t="s">
        <v>9</v>
      </c>
      <c r="J77" s="47">
        <v>150</v>
      </c>
      <c r="K77" s="27">
        <f>0</f>
        <v>0</v>
      </c>
      <c r="L77" s="127">
        <f t="shared" si="5"/>
        <v>0</v>
      </c>
      <c r="M77" s="127">
        <f t="shared" si="6"/>
        <v>0</v>
      </c>
      <c r="N77" s="128"/>
      <c r="O77" s="129">
        <f t="shared" si="7"/>
        <v>0</v>
      </c>
      <c r="P77" s="128"/>
      <c r="Q77" s="128"/>
      <c r="R77" s="128"/>
      <c r="S77" s="26">
        <f t="shared" si="8"/>
        <v>0</v>
      </c>
      <c r="T77" s="25" t="str">
        <f t="shared" si="9"/>
        <v>OK</v>
      </c>
      <c r="U77" s="138"/>
      <c r="V77" s="138"/>
      <c r="W77" s="138"/>
      <c r="X77" s="138"/>
      <c r="Y77" s="139"/>
      <c r="Z77" s="139"/>
      <c r="AA77" s="139"/>
      <c r="AB77" s="138"/>
      <c r="AC77" s="138"/>
      <c r="AD77" s="138"/>
      <c r="AE77" s="138"/>
      <c r="AF77" s="138"/>
      <c r="AG77" s="138"/>
      <c r="AH77" s="138"/>
    </row>
    <row r="78" spans="1:34" ht="30.25" customHeight="1" x14ac:dyDescent="0.35">
      <c r="A78" s="210"/>
      <c r="B78" s="44">
        <v>75</v>
      </c>
      <c r="C78" s="207"/>
      <c r="D78" s="46" t="s">
        <v>165</v>
      </c>
      <c r="E78" s="48" t="s">
        <v>8</v>
      </c>
      <c r="F78" s="50" t="s">
        <v>28</v>
      </c>
      <c r="G78" s="44" t="s">
        <v>29</v>
      </c>
      <c r="H78" s="44" t="s">
        <v>8</v>
      </c>
      <c r="I78" s="44" t="s">
        <v>9</v>
      </c>
      <c r="J78" s="47">
        <v>300</v>
      </c>
      <c r="K78" s="27">
        <f>0</f>
        <v>0</v>
      </c>
      <c r="L78" s="127">
        <f t="shared" si="5"/>
        <v>0</v>
      </c>
      <c r="M78" s="127">
        <f t="shared" si="6"/>
        <v>0</v>
      </c>
      <c r="N78" s="128"/>
      <c r="O78" s="129">
        <f t="shared" si="7"/>
        <v>0</v>
      </c>
      <c r="P78" s="128"/>
      <c r="Q78" s="128"/>
      <c r="R78" s="128"/>
      <c r="S78" s="26">
        <f t="shared" si="8"/>
        <v>0</v>
      </c>
      <c r="T78" s="25" t="str">
        <f t="shared" si="9"/>
        <v>OK</v>
      </c>
      <c r="U78" s="138"/>
      <c r="V78" s="138"/>
      <c r="W78" s="138"/>
      <c r="X78" s="138"/>
      <c r="Y78" s="139"/>
      <c r="Z78" s="139"/>
      <c r="AA78" s="139"/>
      <c r="AB78" s="138"/>
      <c r="AC78" s="138"/>
      <c r="AD78" s="138"/>
      <c r="AE78" s="138"/>
      <c r="AF78" s="138"/>
      <c r="AG78" s="138"/>
      <c r="AH78" s="138"/>
    </row>
    <row r="79" spans="1:34" ht="30.25" customHeight="1" x14ac:dyDescent="0.35">
      <c r="A79" s="198" t="s">
        <v>166</v>
      </c>
      <c r="B79" s="37">
        <v>76</v>
      </c>
      <c r="C79" s="195" t="s">
        <v>33</v>
      </c>
      <c r="D79" s="34" t="s">
        <v>7</v>
      </c>
      <c r="E79" s="41" t="s">
        <v>8</v>
      </c>
      <c r="F79" s="43" t="s">
        <v>28</v>
      </c>
      <c r="G79" s="37" t="s">
        <v>29</v>
      </c>
      <c r="H79" s="37" t="s">
        <v>8</v>
      </c>
      <c r="I79" s="37" t="s">
        <v>9</v>
      </c>
      <c r="J79" s="36">
        <v>1001</v>
      </c>
      <c r="K79" s="27">
        <f>0</f>
        <v>0</v>
      </c>
      <c r="L79" s="127">
        <f t="shared" si="5"/>
        <v>0</v>
      </c>
      <c r="M79" s="127">
        <f t="shared" si="6"/>
        <v>0</v>
      </c>
      <c r="N79" s="128"/>
      <c r="O79" s="129">
        <f t="shared" si="7"/>
        <v>0</v>
      </c>
      <c r="P79" s="128"/>
      <c r="Q79" s="128"/>
      <c r="R79" s="128"/>
      <c r="S79" s="26">
        <f t="shared" si="8"/>
        <v>0</v>
      </c>
      <c r="T79" s="25" t="str">
        <f t="shared" si="9"/>
        <v>OK</v>
      </c>
      <c r="U79" s="138"/>
      <c r="V79" s="138"/>
      <c r="W79" s="138"/>
      <c r="X79" s="138"/>
      <c r="Y79" s="139"/>
      <c r="Z79" s="139"/>
      <c r="AA79" s="139"/>
      <c r="AB79" s="138"/>
      <c r="AC79" s="138"/>
      <c r="AD79" s="138"/>
      <c r="AE79" s="138"/>
      <c r="AF79" s="138"/>
      <c r="AG79" s="138"/>
      <c r="AH79" s="138"/>
    </row>
    <row r="80" spans="1:34" ht="30.25" customHeight="1" x14ac:dyDescent="0.35">
      <c r="A80" s="199"/>
      <c r="B80" s="37">
        <v>77</v>
      </c>
      <c r="C80" s="196"/>
      <c r="D80" s="34" t="s">
        <v>12</v>
      </c>
      <c r="E80" s="41" t="s">
        <v>8</v>
      </c>
      <c r="F80" s="43" t="s">
        <v>28</v>
      </c>
      <c r="G80" s="37" t="s">
        <v>29</v>
      </c>
      <c r="H80" s="37" t="s">
        <v>34</v>
      </c>
      <c r="I80" s="37" t="s">
        <v>9</v>
      </c>
      <c r="J80" s="36">
        <v>130</v>
      </c>
      <c r="K80" s="27">
        <f>0</f>
        <v>0</v>
      </c>
      <c r="L80" s="127">
        <f t="shared" si="5"/>
        <v>0</v>
      </c>
      <c r="M80" s="127">
        <f t="shared" si="6"/>
        <v>0</v>
      </c>
      <c r="N80" s="128"/>
      <c r="O80" s="129">
        <f t="shared" si="7"/>
        <v>0</v>
      </c>
      <c r="P80" s="128"/>
      <c r="Q80" s="128"/>
      <c r="R80" s="128"/>
      <c r="S80" s="26">
        <f t="shared" si="8"/>
        <v>0</v>
      </c>
      <c r="T80" s="25" t="str">
        <f t="shared" si="9"/>
        <v>OK</v>
      </c>
      <c r="U80" s="138"/>
      <c r="V80" s="138"/>
      <c r="W80" s="138"/>
      <c r="X80" s="138"/>
      <c r="Y80" s="139"/>
      <c r="Z80" s="139"/>
      <c r="AA80" s="139"/>
      <c r="AB80" s="138"/>
      <c r="AC80" s="138"/>
      <c r="AD80" s="138"/>
      <c r="AE80" s="138"/>
      <c r="AF80" s="138"/>
      <c r="AG80" s="138"/>
      <c r="AH80" s="138"/>
    </row>
    <row r="81" spans="1:34" ht="30.25" customHeight="1" x14ac:dyDescent="0.35">
      <c r="A81" s="200"/>
      <c r="B81" s="37">
        <v>78</v>
      </c>
      <c r="C81" s="197"/>
      <c r="D81" s="34" t="s">
        <v>157</v>
      </c>
      <c r="E81" s="41" t="s">
        <v>8</v>
      </c>
      <c r="F81" s="43" t="s">
        <v>28</v>
      </c>
      <c r="G81" s="37" t="s">
        <v>29</v>
      </c>
      <c r="H81" s="37" t="s">
        <v>8</v>
      </c>
      <c r="I81" s="37" t="s">
        <v>9</v>
      </c>
      <c r="J81" s="36">
        <v>200</v>
      </c>
      <c r="K81" s="27">
        <f>0</f>
        <v>0</v>
      </c>
      <c r="L81" s="127">
        <f t="shared" si="5"/>
        <v>0</v>
      </c>
      <c r="M81" s="127">
        <f t="shared" si="6"/>
        <v>0</v>
      </c>
      <c r="N81" s="128"/>
      <c r="O81" s="129">
        <f t="shared" si="7"/>
        <v>0</v>
      </c>
      <c r="P81" s="128"/>
      <c r="Q81" s="128"/>
      <c r="R81" s="128"/>
      <c r="S81" s="26">
        <f>K81-SUM(U81:AH81)+N81</f>
        <v>0</v>
      </c>
      <c r="T81" s="25" t="str">
        <f t="shared" si="9"/>
        <v>OK</v>
      </c>
      <c r="U81" s="138"/>
      <c r="V81" s="138"/>
      <c r="W81" s="138"/>
      <c r="X81" s="138"/>
      <c r="Y81" s="139"/>
      <c r="Z81" s="139"/>
      <c r="AA81" s="139"/>
      <c r="AB81" s="138"/>
      <c r="AC81" s="138"/>
      <c r="AD81" s="138"/>
      <c r="AE81" s="138"/>
      <c r="AF81" s="138"/>
      <c r="AG81" s="138"/>
      <c r="AH81" s="138"/>
    </row>
    <row r="82" spans="1:34" ht="15" thickBot="1" x14ac:dyDescent="0.4">
      <c r="K82" s="4">
        <f>SUM(K4:K81)</f>
        <v>211</v>
      </c>
      <c r="N82" s="180">
        <f>SUM(N4:N81)</f>
        <v>-25</v>
      </c>
      <c r="O82" s="132">
        <f t="shared" si="7"/>
        <v>52</v>
      </c>
      <c r="P82" s="132"/>
      <c r="Q82" s="132"/>
      <c r="R82" s="132"/>
      <c r="S82" s="145">
        <f>SUM(S4:S81)</f>
        <v>88</v>
      </c>
      <c r="U82" s="30">
        <f t="shared" ref="U82:AH82" si="10">SUMPRODUCT($J$4:$J$81,U4:U81)</f>
        <v>8858</v>
      </c>
      <c r="V82" s="30">
        <f t="shared" si="10"/>
        <v>8464.5300000000007</v>
      </c>
      <c r="W82" s="30">
        <f t="shared" si="10"/>
        <v>16788.16</v>
      </c>
      <c r="X82" s="30">
        <f t="shared" si="10"/>
        <v>11764.7</v>
      </c>
      <c r="Y82" s="30">
        <f t="shared" si="10"/>
        <v>13446</v>
      </c>
      <c r="Z82" s="30">
        <f t="shared" si="10"/>
        <v>3960</v>
      </c>
      <c r="AA82" s="30">
        <f t="shared" si="10"/>
        <v>15056</v>
      </c>
      <c r="AB82" s="30">
        <f t="shared" si="10"/>
        <v>300.75</v>
      </c>
      <c r="AC82" s="30">
        <f t="shared" si="10"/>
        <v>9240</v>
      </c>
      <c r="AD82" s="30">
        <f t="shared" si="10"/>
        <v>13446</v>
      </c>
      <c r="AE82" s="30">
        <f t="shared" si="10"/>
        <v>8157.82</v>
      </c>
      <c r="AF82" s="30">
        <f t="shared" si="10"/>
        <v>17892.72</v>
      </c>
      <c r="AG82" s="30">
        <f t="shared" si="10"/>
        <v>10732.75</v>
      </c>
      <c r="AH82" s="30">
        <f t="shared" si="10"/>
        <v>7856</v>
      </c>
    </row>
    <row r="83" spans="1:34" ht="14.5" x14ac:dyDescent="0.35">
      <c r="D83" s="31" t="s">
        <v>53</v>
      </c>
      <c r="K83" s="132">
        <f>SUMPRODUCT($J$4:$J$81,K4:K81)</f>
        <v>360045.23000000004</v>
      </c>
      <c r="L83" s="132">
        <f>SUMPRODUCT($J$4:$J$81,L4:L81)</f>
        <v>145963.43</v>
      </c>
      <c r="M83" s="132">
        <f>SUMPRODUCT($J$4:$J$81,M4:M81)</f>
        <v>145963.43</v>
      </c>
      <c r="R83" s="126"/>
      <c r="U83" s="142"/>
      <c r="V83" s="142"/>
      <c r="W83" s="142"/>
      <c r="X83" s="142"/>
      <c r="Y83" s="142"/>
      <c r="Z83" s="142"/>
      <c r="AA83" s="142"/>
      <c r="AB83" s="142"/>
      <c r="AC83" s="142"/>
      <c r="AD83" s="142"/>
      <c r="AE83" s="142"/>
      <c r="AF83" s="142"/>
      <c r="AG83" s="142"/>
      <c r="AH83" s="142"/>
    </row>
    <row r="84" spans="1:34" ht="15" customHeight="1" x14ac:dyDescent="0.35">
      <c r="D84" s="32" t="s">
        <v>54</v>
      </c>
      <c r="R84" s="125"/>
      <c r="U84" s="142"/>
      <c r="V84" s="142"/>
      <c r="W84" s="142"/>
      <c r="X84" s="142"/>
      <c r="Y84" s="142"/>
      <c r="Z84" s="142"/>
      <c r="AA84" s="142"/>
      <c r="AB84" s="142"/>
      <c r="AC84" s="142"/>
      <c r="AD84" s="142"/>
      <c r="AE84" s="142"/>
      <c r="AF84" s="142"/>
      <c r="AG84" s="142"/>
      <c r="AH84" s="142"/>
    </row>
    <row r="85" spans="1:34" ht="15.75" customHeight="1" thickBot="1" x14ac:dyDescent="0.4">
      <c r="D85" s="33" t="s">
        <v>55</v>
      </c>
      <c r="K85" s="181"/>
      <c r="R85" s="125"/>
      <c r="U85" s="142"/>
      <c r="V85" s="142"/>
      <c r="W85" s="142"/>
      <c r="X85" s="142"/>
      <c r="Y85" s="142"/>
      <c r="Z85" s="142"/>
      <c r="AA85" s="142"/>
      <c r="AB85" s="142"/>
      <c r="AC85" s="142"/>
      <c r="AD85" s="142"/>
      <c r="AE85" s="142"/>
      <c r="AF85" s="142"/>
      <c r="AG85" s="142"/>
      <c r="AH85" s="142"/>
    </row>
    <row r="86" spans="1:34" ht="14.5" x14ac:dyDescent="0.35">
      <c r="U86" s="142"/>
      <c r="V86" s="142"/>
      <c r="W86" s="142"/>
      <c r="X86" s="142"/>
      <c r="Y86" s="142"/>
      <c r="Z86" s="142"/>
      <c r="AA86" s="142"/>
      <c r="AB86" s="142"/>
      <c r="AC86" s="142"/>
      <c r="AD86" s="142"/>
      <c r="AE86" s="142"/>
      <c r="AF86" s="142"/>
      <c r="AG86" s="142"/>
      <c r="AH86" s="142"/>
    </row>
    <row r="87" spans="1:34" ht="14.5" x14ac:dyDescent="0.35">
      <c r="U87" s="142"/>
      <c r="V87" s="142"/>
      <c r="W87" s="142"/>
      <c r="X87" s="142"/>
      <c r="Y87" s="142"/>
      <c r="Z87" s="142"/>
      <c r="AA87" s="142"/>
      <c r="AB87" s="142"/>
      <c r="AC87" s="142"/>
      <c r="AD87" s="142"/>
      <c r="AE87" s="142"/>
      <c r="AF87" s="142"/>
      <c r="AG87" s="142"/>
      <c r="AH87" s="142"/>
    </row>
    <row r="88" spans="1:34" ht="14.5" x14ac:dyDescent="0.35">
      <c r="U88" s="142"/>
      <c r="V88" s="142"/>
      <c r="W88" s="142"/>
      <c r="X88" s="142"/>
      <c r="Y88" s="142"/>
      <c r="Z88" s="142"/>
      <c r="AA88" s="142"/>
      <c r="AB88" s="142"/>
      <c r="AC88" s="142"/>
      <c r="AD88" s="142"/>
      <c r="AE88" s="142"/>
      <c r="AF88" s="142"/>
      <c r="AG88" s="142"/>
      <c r="AH88" s="142"/>
    </row>
    <row r="89" spans="1:34" ht="14.5" x14ac:dyDescent="0.35">
      <c r="U89" s="142"/>
      <c r="V89" s="142"/>
      <c r="W89" s="142"/>
      <c r="X89" s="142"/>
      <c r="Y89" s="142"/>
      <c r="Z89" s="142"/>
      <c r="AA89" s="142"/>
      <c r="AB89" s="142"/>
      <c r="AC89" s="142"/>
      <c r="AD89" s="142"/>
      <c r="AE89" s="142"/>
      <c r="AF89" s="142"/>
      <c r="AG89" s="142"/>
      <c r="AH89" s="142"/>
    </row>
    <row r="90" spans="1:34" ht="14.5" x14ac:dyDescent="0.35">
      <c r="U90" s="142"/>
      <c r="V90" s="142"/>
      <c r="W90" s="142"/>
      <c r="X90" s="142"/>
      <c r="Y90" s="142"/>
      <c r="Z90" s="142"/>
      <c r="AA90" s="142"/>
      <c r="AB90" s="142"/>
      <c r="AC90" s="142"/>
      <c r="AD90" s="142"/>
      <c r="AE90" s="142"/>
      <c r="AF90" s="142"/>
      <c r="AG90" s="142"/>
      <c r="AH90" s="142"/>
    </row>
    <row r="91" spans="1:34" ht="14.5" x14ac:dyDescent="0.35">
      <c r="U91" s="142"/>
      <c r="V91" s="142"/>
      <c r="W91" s="142"/>
      <c r="X91" s="142"/>
      <c r="Y91" s="142"/>
      <c r="Z91" s="142"/>
      <c r="AA91" s="142"/>
      <c r="AB91" s="142"/>
      <c r="AC91" s="142"/>
      <c r="AD91" s="142"/>
      <c r="AE91" s="142"/>
      <c r="AF91" s="142"/>
      <c r="AG91" s="142"/>
      <c r="AH91" s="142"/>
    </row>
    <row r="92" spans="1:34" ht="14.5" x14ac:dyDescent="0.35">
      <c r="U92" s="142"/>
      <c r="V92" s="142"/>
      <c r="W92" s="142"/>
      <c r="X92" s="142"/>
      <c r="Y92" s="142"/>
      <c r="Z92" s="142"/>
      <c r="AA92" s="142"/>
      <c r="AB92" s="142"/>
      <c r="AC92" s="142"/>
      <c r="AD92" s="142"/>
      <c r="AE92" s="142"/>
      <c r="AF92" s="142"/>
      <c r="AG92" s="142"/>
      <c r="AH92" s="142"/>
    </row>
  </sheetData>
  <mergeCells count="23">
    <mergeCell ref="A69:A78"/>
    <mergeCell ref="C69:C78"/>
    <mergeCell ref="A79:A81"/>
    <mergeCell ref="C79:C81"/>
    <mergeCell ref="A38:A48"/>
    <mergeCell ref="C38:C48"/>
    <mergeCell ref="A49:A59"/>
    <mergeCell ref="C49:C59"/>
    <mergeCell ref="A60:A68"/>
    <mergeCell ref="C60:C68"/>
    <mergeCell ref="AE1:AE2"/>
    <mergeCell ref="AG1:AG2"/>
    <mergeCell ref="AA1:AA2"/>
    <mergeCell ref="AB1:AB2"/>
    <mergeCell ref="AC1:AC2"/>
    <mergeCell ref="X1:X2"/>
    <mergeCell ref="Z1:Z2"/>
    <mergeCell ref="A1:C1"/>
    <mergeCell ref="D1:J1"/>
    <mergeCell ref="K1:T1"/>
    <mergeCell ref="W1:W2"/>
    <mergeCell ref="A2:J2"/>
    <mergeCell ref="K2:T2"/>
  </mergeCells>
  <conditionalFormatting sqref="T1 T3:T1048576">
    <cfRule type="cellIs" dxfId="18" priority="2" operator="equal">
      <formula>"ATENÇÃO"</formula>
    </cfRule>
  </conditionalFormatting>
  <pageMargins left="0.511811024" right="0.511811024" top="0.78740157499999996" bottom="0.78740157499999996" header="0.31496062000000002" footer="0.31496062000000002"/>
  <pageSetup paperSize="9" scale="60" orientation="landscape" r:id="rId1"/>
  <colBreaks count="1" manualBreakCount="1">
    <brk id="24" max="1048575" man="1"/>
  </col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4B77B-066E-4608-85CC-4430CBAFBAEF}">
  <dimension ref="A1:AH92"/>
  <sheetViews>
    <sheetView zoomScale="80" zoomScaleNormal="80" workbookViewId="0">
      <selection activeCell="B45" sqref="B45"/>
    </sheetView>
  </sheetViews>
  <sheetFormatPr defaultColWidth="9.7265625" defaultRowHeight="30.25" customHeight="1" x14ac:dyDescent="0.35"/>
  <cols>
    <col min="1" max="1" width="6.1796875" style="1" customWidth="1"/>
    <col min="2" max="2" width="6.453125" style="1" customWidth="1"/>
    <col min="3" max="3" width="7" style="1" customWidth="1"/>
    <col min="4" max="4" width="20.7265625" style="3" customWidth="1"/>
    <col min="5" max="5" width="21.1796875" style="1" customWidth="1"/>
    <col min="6" max="6" width="8.54296875" style="1" customWidth="1"/>
    <col min="7" max="7" width="8.453125" style="1" customWidth="1"/>
    <col min="8" max="8" width="8.26953125" style="1" customWidth="1"/>
    <col min="9" max="9" width="12.7265625" style="1" customWidth="1"/>
    <col min="10" max="10" width="11.54296875" style="3" customWidth="1"/>
    <col min="11" max="11" width="13.7265625" style="4" bestFit="1" customWidth="1"/>
    <col min="12" max="14" width="12.453125" style="4" customWidth="1"/>
    <col min="15" max="15" width="10.81640625" style="4" customWidth="1"/>
    <col min="16" max="17" width="12.453125" style="4" customWidth="1"/>
    <col min="18" max="18" width="9.1796875" style="4" customWidth="1"/>
    <col min="19" max="19" width="13.26953125" style="12" customWidth="1"/>
    <col min="20" max="20" width="12.453125" style="5" customWidth="1"/>
    <col min="21" max="21" width="13.453125" style="6" customWidth="1"/>
    <col min="22" max="22" width="13.81640625" style="6" customWidth="1"/>
    <col min="23" max="23" width="13.453125" style="6" customWidth="1"/>
    <col min="24" max="25" width="14.1796875" style="6" customWidth="1"/>
    <col min="26" max="26" width="13.7265625" style="6" customWidth="1"/>
    <col min="27" max="27" width="13.7265625" style="6" bestFit="1" customWidth="1"/>
    <col min="28" max="28" width="12.7265625" style="6" customWidth="1"/>
    <col min="29" max="29" width="12" style="6" customWidth="1"/>
    <col min="30" max="30" width="12.7265625" style="6" customWidth="1"/>
    <col min="31" max="31" width="13.81640625" style="6" customWidth="1"/>
    <col min="32" max="32" width="13.453125" style="6" customWidth="1"/>
    <col min="33" max="33" width="12.453125" style="2" customWidth="1"/>
    <col min="34" max="34" width="13.7265625" style="2" customWidth="1"/>
    <col min="35" max="16384" width="9.7265625" style="2"/>
  </cols>
  <sheetData>
    <row r="1" spans="1:34" ht="40.15" customHeight="1" x14ac:dyDescent="0.35">
      <c r="A1" s="202" t="s">
        <v>52</v>
      </c>
      <c r="B1" s="203"/>
      <c r="C1" s="204"/>
      <c r="D1" s="211" t="s">
        <v>48</v>
      </c>
      <c r="E1" s="212"/>
      <c r="F1" s="212"/>
      <c r="G1" s="212"/>
      <c r="H1" s="212"/>
      <c r="I1" s="212"/>
      <c r="J1" s="213"/>
      <c r="K1" s="201" t="s">
        <v>49</v>
      </c>
      <c r="L1" s="201"/>
      <c r="M1" s="201"/>
      <c r="N1" s="201"/>
      <c r="O1" s="201"/>
      <c r="P1" s="201"/>
      <c r="Q1" s="201"/>
      <c r="R1" s="201"/>
      <c r="S1" s="201"/>
      <c r="T1" s="201"/>
      <c r="U1" s="221" t="s">
        <v>244</v>
      </c>
      <c r="V1" s="221" t="s">
        <v>245</v>
      </c>
      <c r="W1" s="221" t="s">
        <v>246</v>
      </c>
      <c r="X1" s="221" t="s">
        <v>247</v>
      </c>
      <c r="Y1" s="221" t="s">
        <v>248</v>
      </c>
      <c r="Z1" s="221" t="s">
        <v>249</v>
      </c>
      <c r="AA1" s="219" t="s">
        <v>347</v>
      </c>
      <c r="AB1" s="219" t="s">
        <v>348</v>
      </c>
      <c r="AC1" s="217" t="s">
        <v>51</v>
      </c>
      <c r="AD1" s="217" t="s">
        <v>51</v>
      </c>
      <c r="AE1" s="217" t="s">
        <v>51</v>
      </c>
      <c r="AF1" s="217" t="s">
        <v>51</v>
      </c>
      <c r="AG1" s="217" t="s">
        <v>51</v>
      </c>
      <c r="AH1" s="217" t="s">
        <v>51</v>
      </c>
    </row>
    <row r="2" spans="1:34" ht="25" customHeight="1" x14ac:dyDescent="0.35">
      <c r="A2" s="211" t="s">
        <v>45</v>
      </c>
      <c r="B2" s="212"/>
      <c r="C2" s="212"/>
      <c r="D2" s="212"/>
      <c r="E2" s="212"/>
      <c r="F2" s="212"/>
      <c r="G2" s="212"/>
      <c r="H2" s="212"/>
      <c r="I2" s="212"/>
      <c r="J2" s="213"/>
      <c r="K2" s="214" t="s">
        <v>62</v>
      </c>
      <c r="L2" s="215"/>
      <c r="M2" s="215"/>
      <c r="N2" s="215"/>
      <c r="O2" s="215"/>
      <c r="P2" s="215"/>
      <c r="Q2" s="215"/>
      <c r="R2" s="215"/>
      <c r="S2" s="215"/>
      <c r="T2" s="216"/>
      <c r="U2" s="222"/>
      <c r="V2" s="222"/>
      <c r="W2" s="222"/>
      <c r="X2" s="222"/>
      <c r="Y2" s="222"/>
      <c r="Z2" s="222"/>
      <c r="AA2" s="220"/>
      <c r="AB2" s="220"/>
      <c r="AC2" s="218"/>
      <c r="AD2" s="218"/>
      <c r="AE2" s="218"/>
      <c r="AF2" s="218"/>
      <c r="AG2" s="218"/>
      <c r="AH2" s="218"/>
    </row>
    <row r="3" spans="1:34" s="3" customFormat="1" ht="30.25" customHeight="1" x14ac:dyDescent="0.25">
      <c r="A3" s="7" t="s">
        <v>3</v>
      </c>
      <c r="B3" s="7" t="s">
        <v>56</v>
      </c>
      <c r="C3" s="7" t="s">
        <v>57</v>
      </c>
      <c r="D3" s="8" t="s">
        <v>58</v>
      </c>
      <c r="E3" s="8" t="s">
        <v>59</v>
      </c>
      <c r="F3" s="8" t="s">
        <v>18</v>
      </c>
      <c r="G3" s="8" t="s">
        <v>19</v>
      </c>
      <c r="H3" s="8" t="s">
        <v>60</v>
      </c>
      <c r="I3" s="8" t="s">
        <v>61</v>
      </c>
      <c r="J3" s="9" t="s">
        <v>50</v>
      </c>
      <c r="K3" s="10" t="s">
        <v>4</v>
      </c>
      <c r="L3" s="52" t="s">
        <v>207</v>
      </c>
      <c r="M3" s="52" t="s">
        <v>208</v>
      </c>
      <c r="N3" s="52" t="s">
        <v>209</v>
      </c>
      <c r="O3" s="52" t="s">
        <v>210</v>
      </c>
      <c r="P3" s="52" t="s">
        <v>211</v>
      </c>
      <c r="Q3" s="52" t="s">
        <v>213</v>
      </c>
      <c r="R3" s="52" t="s">
        <v>214</v>
      </c>
      <c r="S3" s="11" t="s">
        <v>0</v>
      </c>
      <c r="T3" s="7" t="s">
        <v>2</v>
      </c>
      <c r="U3" s="149">
        <v>45441</v>
      </c>
      <c r="V3" s="149">
        <v>45446</v>
      </c>
      <c r="W3" s="149">
        <v>45446</v>
      </c>
      <c r="X3" s="149">
        <v>45461</v>
      </c>
      <c r="Y3" s="149">
        <v>45488</v>
      </c>
      <c r="Z3" s="149">
        <v>45498</v>
      </c>
      <c r="AA3" s="58">
        <v>45716</v>
      </c>
      <c r="AB3" s="58">
        <v>45734</v>
      </c>
      <c r="AC3" s="23" t="s">
        <v>1</v>
      </c>
      <c r="AD3" s="23" t="s">
        <v>1</v>
      </c>
      <c r="AE3" s="23" t="s">
        <v>1</v>
      </c>
      <c r="AF3" s="23" t="s">
        <v>1</v>
      </c>
      <c r="AG3" s="23" t="s">
        <v>1</v>
      </c>
      <c r="AH3" s="23" t="s">
        <v>1</v>
      </c>
    </row>
    <row r="4" spans="1:34" ht="30.25" customHeight="1" x14ac:dyDescent="0.35">
      <c r="A4" s="37">
        <v>1</v>
      </c>
      <c r="B4" s="37">
        <v>1</v>
      </c>
      <c r="C4" s="35" t="s">
        <v>63</v>
      </c>
      <c r="D4" s="34" t="s">
        <v>64</v>
      </c>
      <c r="E4" s="35" t="s">
        <v>65</v>
      </c>
      <c r="F4" s="35" t="s">
        <v>20</v>
      </c>
      <c r="G4" s="35" t="s">
        <v>66</v>
      </c>
      <c r="H4" s="35" t="s">
        <v>5</v>
      </c>
      <c r="I4" s="35" t="s">
        <v>6</v>
      </c>
      <c r="J4" s="36">
        <v>1670</v>
      </c>
      <c r="K4" s="27">
        <f>0</f>
        <v>0</v>
      </c>
      <c r="L4" s="127">
        <f>IF(SUM(U4:AL4)&gt;K4+N4,K4+N4,SUM(U4:AL4))</f>
        <v>0</v>
      </c>
      <c r="M4" s="127">
        <f>(SUM(U4:AL4))</f>
        <v>0</v>
      </c>
      <c r="N4" s="128"/>
      <c r="O4" s="129">
        <f>ROUND(IF(K4*0.25-0.5&lt;0,0,K4*0.25-0.5),0)-R4-P4</f>
        <v>0</v>
      </c>
      <c r="P4" s="128"/>
      <c r="Q4" s="128"/>
      <c r="R4" s="128"/>
      <c r="S4" s="26">
        <f>K4-SUM(U4:AH4)+N4</f>
        <v>0</v>
      </c>
      <c r="T4" s="25" t="str">
        <f>IF(S4&lt;0,"ATENÇÃO","OK")</f>
        <v>OK</v>
      </c>
      <c r="U4" s="138"/>
      <c r="V4" s="138"/>
      <c r="W4" s="138"/>
      <c r="X4" s="138"/>
      <c r="Y4" s="139"/>
      <c r="Z4" s="139"/>
      <c r="AA4" s="178"/>
      <c r="AB4" s="178"/>
      <c r="AC4" s="22"/>
      <c r="AD4" s="22"/>
      <c r="AE4" s="22"/>
      <c r="AF4" s="22"/>
      <c r="AG4" s="22"/>
      <c r="AH4" s="22"/>
    </row>
    <row r="5" spans="1:34" ht="30.25" customHeight="1" x14ac:dyDescent="0.35">
      <c r="A5" s="44">
        <v>2</v>
      </c>
      <c r="B5" s="44">
        <v>2</v>
      </c>
      <c r="C5" s="45" t="s">
        <v>67</v>
      </c>
      <c r="D5" s="46" t="s">
        <v>68</v>
      </c>
      <c r="E5" s="45" t="s">
        <v>69</v>
      </c>
      <c r="F5" s="45" t="s">
        <v>20</v>
      </c>
      <c r="G5" s="45" t="s">
        <v>66</v>
      </c>
      <c r="H5" s="45" t="s">
        <v>5</v>
      </c>
      <c r="I5" s="45" t="s">
        <v>6</v>
      </c>
      <c r="J5" s="47">
        <v>1651.67</v>
      </c>
      <c r="K5" s="27">
        <f>1</f>
        <v>1</v>
      </c>
      <c r="L5" s="127">
        <f t="shared" ref="L5:L68" si="0">IF(SUM(U5:AL5)&gt;K5+N5,K5+N5,SUM(U5:AL5))</f>
        <v>0</v>
      </c>
      <c r="M5" s="127">
        <f t="shared" ref="M5:M68" si="1">(SUM(U5:AL5))</f>
        <v>0</v>
      </c>
      <c r="N5" s="128"/>
      <c r="O5" s="129">
        <f t="shared" ref="O5:O68" si="2">ROUND(IF(K5*0.25-0.5&lt;0,0,K5*0.25-0.5),0)-R5-P5</f>
        <v>0</v>
      </c>
      <c r="P5" s="128"/>
      <c r="Q5" s="128"/>
      <c r="R5" s="128"/>
      <c r="S5" s="26">
        <f t="shared" ref="S5:S68" si="3">K5-SUM(U5:AH5)+N5</f>
        <v>1</v>
      </c>
      <c r="T5" s="25" t="str">
        <f t="shared" ref="T5:T68" si="4">IF(S5&lt;0,"ATENÇÃO","OK")</f>
        <v>OK</v>
      </c>
      <c r="U5" s="138"/>
      <c r="V5" s="138"/>
      <c r="W5" s="138"/>
      <c r="X5" s="138"/>
      <c r="Y5" s="139"/>
      <c r="Z5" s="139"/>
      <c r="AA5" s="178"/>
      <c r="AB5" s="178"/>
      <c r="AC5" s="22"/>
      <c r="AD5" s="22"/>
      <c r="AE5" s="22"/>
      <c r="AF5" s="22"/>
      <c r="AG5" s="22"/>
      <c r="AH5" s="22"/>
    </row>
    <row r="6" spans="1:34" ht="30.25" customHeight="1" x14ac:dyDescent="0.35">
      <c r="A6" s="37">
        <v>3</v>
      </c>
      <c r="B6" s="37">
        <v>3</v>
      </c>
      <c r="C6" s="35" t="s">
        <v>63</v>
      </c>
      <c r="D6" s="34" t="s">
        <v>70</v>
      </c>
      <c r="E6" s="35" t="s">
        <v>71</v>
      </c>
      <c r="F6" s="35" t="s">
        <v>20</v>
      </c>
      <c r="G6" s="35" t="s">
        <v>72</v>
      </c>
      <c r="H6" s="35" t="s">
        <v>5</v>
      </c>
      <c r="I6" s="35" t="s">
        <v>6</v>
      </c>
      <c r="J6" s="36">
        <v>1802</v>
      </c>
      <c r="K6" s="27">
        <f>0</f>
        <v>0</v>
      </c>
      <c r="L6" s="127">
        <f t="shared" si="0"/>
        <v>0</v>
      </c>
      <c r="M6" s="127">
        <f t="shared" si="1"/>
        <v>0</v>
      </c>
      <c r="N6" s="128"/>
      <c r="O6" s="129">
        <f t="shared" si="2"/>
        <v>0</v>
      </c>
      <c r="P6" s="128"/>
      <c r="Q6" s="128"/>
      <c r="R6" s="128"/>
      <c r="S6" s="26">
        <f t="shared" si="3"/>
        <v>0</v>
      </c>
      <c r="T6" s="25" t="str">
        <f t="shared" si="4"/>
        <v>OK</v>
      </c>
      <c r="U6" s="138"/>
      <c r="V6" s="138"/>
      <c r="W6" s="138"/>
      <c r="X6" s="138"/>
      <c r="Y6" s="139"/>
      <c r="Z6" s="139"/>
      <c r="AA6" s="178"/>
      <c r="AB6" s="178"/>
      <c r="AC6" s="22"/>
      <c r="AD6" s="22"/>
      <c r="AE6" s="22"/>
      <c r="AF6" s="22"/>
      <c r="AG6" s="22"/>
      <c r="AH6" s="22"/>
    </row>
    <row r="7" spans="1:34" ht="30.25" customHeight="1" x14ac:dyDescent="0.35">
      <c r="A7" s="44">
        <v>4</v>
      </c>
      <c r="B7" s="44">
        <v>4</v>
      </c>
      <c r="C7" s="45" t="s">
        <v>67</v>
      </c>
      <c r="D7" s="46" t="s">
        <v>73</v>
      </c>
      <c r="E7" s="45" t="s">
        <v>74</v>
      </c>
      <c r="F7" s="45" t="s">
        <v>20</v>
      </c>
      <c r="G7" s="45" t="s">
        <v>75</v>
      </c>
      <c r="H7" s="45" t="s">
        <v>5</v>
      </c>
      <c r="I7" s="45" t="s">
        <v>6</v>
      </c>
      <c r="J7" s="47">
        <v>1800</v>
      </c>
      <c r="K7" s="27">
        <f>1</f>
        <v>1</v>
      </c>
      <c r="L7" s="127">
        <f t="shared" si="0"/>
        <v>1</v>
      </c>
      <c r="M7" s="127">
        <f t="shared" si="1"/>
        <v>1</v>
      </c>
      <c r="N7" s="128"/>
      <c r="O7" s="129">
        <f t="shared" si="2"/>
        <v>0</v>
      </c>
      <c r="P7" s="128"/>
      <c r="Q7" s="128"/>
      <c r="R7" s="128"/>
      <c r="S7" s="26">
        <f t="shared" si="3"/>
        <v>0</v>
      </c>
      <c r="T7" s="25" t="str">
        <f t="shared" si="4"/>
        <v>OK</v>
      </c>
      <c r="U7" s="138"/>
      <c r="V7" s="138"/>
      <c r="W7" s="140">
        <v>1</v>
      </c>
      <c r="X7" s="138"/>
      <c r="Y7" s="139"/>
      <c r="Z7" s="139"/>
      <c r="AA7" s="178"/>
      <c r="AB7" s="178"/>
      <c r="AC7" s="22"/>
      <c r="AD7" s="22"/>
      <c r="AE7" s="22"/>
      <c r="AF7" s="22"/>
      <c r="AG7" s="22"/>
      <c r="AH7" s="22"/>
    </row>
    <row r="8" spans="1:34" ht="30.25" customHeight="1" x14ac:dyDescent="0.35">
      <c r="A8" s="37">
        <v>5</v>
      </c>
      <c r="B8" s="37">
        <v>5</v>
      </c>
      <c r="C8" s="35" t="s">
        <v>63</v>
      </c>
      <c r="D8" s="34" t="s">
        <v>76</v>
      </c>
      <c r="E8" s="35" t="s">
        <v>77</v>
      </c>
      <c r="F8" s="35" t="s">
        <v>20</v>
      </c>
      <c r="G8" s="35" t="s">
        <v>78</v>
      </c>
      <c r="H8" s="35" t="s">
        <v>5</v>
      </c>
      <c r="I8" s="35" t="s">
        <v>6</v>
      </c>
      <c r="J8" s="36">
        <v>2686</v>
      </c>
      <c r="K8" s="27">
        <f>0</f>
        <v>0</v>
      </c>
      <c r="L8" s="127">
        <f t="shared" si="0"/>
        <v>0</v>
      </c>
      <c r="M8" s="127">
        <f t="shared" si="1"/>
        <v>0</v>
      </c>
      <c r="N8" s="128"/>
      <c r="O8" s="129">
        <f t="shared" si="2"/>
        <v>0</v>
      </c>
      <c r="P8" s="128"/>
      <c r="Q8" s="128"/>
      <c r="R8" s="128"/>
      <c r="S8" s="26">
        <f t="shared" si="3"/>
        <v>0</v>
      </c>
      <c r="T8" s="25" t="str">
        <f t="shared" si="4"/>
        <v>OK</v>
      </c>
      <c r="U8" s="138"/>
      <c r="V8" s="138"/>
      <c r="W8" s="138"/>
      <c r="X8" s="138"/>
      <c r="Y8" s="139"/>
      <c r="Z8" s="139"/>
      <c r="AA8" s="178"/>
      <c r="AB8" s="178"/>
      <c r="AC8" s="22"/>
      <c r="AD8" s="22"/>
      <c r="AE8" s="22"/>
      <c r="AF8" s="22"/>
      <c r="AG8" s="22"/>
      <c r="AH8" s="22"/>
    </row>
    <row r="9" spans="1:34" ht="66.650000000000006" customHeight="1" x14ac:dyDescent="0.35">
      <c r="A9" s="80">
        <v>6</v>
      </c>
      <c r="B9" s="80">
        <v>6</v>
      </c>
      <c r="C9" s="81" t="s">
        <v>67</v>
      </c>
      <c r="D9" s="82" t="s">
        <v>79</v>
      </c>
      <c r="E9" s="87" t="s">
        <v>182</v>
      </c>
      <c r="F9" s="81" t="s">
        <v>20</v>
      </c>
      <c r="G9" s="81" t="s">
        <v>21</v>
      </c>
      <c r="H9" s="81" t="s">
        <v>5</v>
      </c>
      <c r="I9" s="81" t="s">
        <v>6</v>
      </c>
      <c r="J9" s="83">
        <v>2821.51</v>
      </c>
      <c r="K9" s="27">
        <f>2</f>
        <v>2</v>
      </c>
      <c r="L9" s="127">
        <f t="shared" si="0"/>
        <v>1</v>
      </c>
      <c r="M9" s="127">
        <f t="shared" si="1"/>
        <v>1</v>
      </c>
      <c r="N9" s="128"/>
      <c r="O9" s="129">
        <f t="shared" si="2"/>
        <v>0</v>
      </c>
      <c r="P9" s="128"/>
      <c r="Q9" s="128"/>
      <c r="R9" s="128"/>
      <c r="S9" s="26">
        <f t="shared" si="3"/>
        <v>1</v>
      </c>
      <c r="T9" s="25" t="str">
        <f t="shared" si="4"/>
        <v>OK</v>
      </c>
      <c r="U9" s="138"/>
      <c r="V9" s="138"/>
      <c r="W9" s="138"/>
      <c r="X9" s="138"/>
      <c r="Y9" s="141">
        <v>1</v>
      </c>
      <c r="Z9" s="139"/>
      <c r="AA9" s="178"/>
      <c r="AB9" s="178"/>
      <c r="AC9" s="22"/>
      <c r="AD9" s="22"/>
      <c r="AE9" s="22"/>
      <c r="AF9" s="22"/>
      <c r="AG9" s="22"/>
      <c r="AH9" s="22"/>
    </row>
    <row r="10" spans="1:34" ht="30.25" customHeight="1" x14ac:dyDescent="0.35">
      <c r="A10" s="37">
        <v>7</v>
      </c>
      <c r="B10" s="37">
        <v>7</v>
      </c>
      <c r="C10" s="35" t="s">
        <v>63</v>
      </c>
      <c r="D10" s="34" t="s">
        <v>80</v>
      </c>
      <c r="E10" s="35" t="s">
        <v>81</v>
      </c>
      <c r="F10" s="35" t="s">
        <v>20</v>
      </c>
      <c r="G10" s="35" t="s">
        <v>21</v>
      </c>
      <c r="H10" s="35" t="s">
        <v>5</v>
      </c>
      <c r="I10" s="35" t="s">
        <v>6</v>
      </c>
      <c r="J10" s="36">
        <v>7446</v>
      </c>
      <c r="K10" s="27">
        <f>0</f>
        <v>0</v>
      </c>
      <c r="L10" s="127">
        <f t="shared" si="0"/>
        <v>0</v>
      </c>
      <c r="M10" s="127">
        <f t="shared" si="1"/>
        <v>0</v>
      </c>
      <c r="N10" s="128"/>
      <c r="O10" s="129">
        <f t="shared" si="2"/>
        <v>0</v>
      </c>
      <c r="P10" s="128"/>
      <c r="Q10" s="128"/>
      <c r="R10" s="128"/>
      <c r="S10" s="26">
        <f t="shared" si="3"/>
        <v>0</v>
      </c>
      <c r="T10" s="25" t="str">
        <f t="shared" si="4"/>
        <v>OK</v>
      </c>
      <c r="U10" s="138"/>
      <c r="V10" s="138"/>
      <c r="W10" s="138"/>
      <c r="X10" s="138"/>
      <c r="Y10" s="139"/>
      <c r="Z10" s="139"/>
      <c r="AA10" s="178"/>
      <c r="AB10" s="178"/>
      <c r="AC10" s="22"/>
      <c r="AD10" s="22"/>
      <c r="AE10" s="22"/>
      <c r="AF10" s="22"/>
      <c r="AG10" s="22"/>
      <c r="AH10" s="22"/>
    </row>
    <row r="11" spans="1:34" ht="30.25" customHeight="1" x14ac:dyDescent="0.35">
      <c r="A11" s="44">
        <v>8</v>
      </c>
      <c r="B11" s="44">
        <v>8</v>
      </c>
      <c r="C11" s="45" t="s">
        <v>63</v>
      </c>
      <c r="D11" s="46" t="s">
        <v>82</v>
      </c>
      <c r="E11" s="45" t="s">
        <v>81</v>
      </c>
      <c r="F11" s="45" t="s">
        <v>20</v>
      </c>
      <c r="G11" s="45" t="s">
        <v>21</v>
      </c>
      <c r="H11" s="45" t="s">
        <v>5</v>
      </c>
      <c r="I11" s="45" t="s">
        <v>6</v>
      </c>
      <c r="J11" s="47">
        <v>7375</v>
      </c>
      <c r="K11" s="27">
        <f>0</f>
        <v>0</v>
      </c>
      <c r="L11" s="127">
        <f t="shared" si="0"/>
        <v>0</v>
      </c>
      <c r="M11" s="127">
        <f t="shared" si="1"/>
        <v>0</v>
      </c>
      <c r="N11" s="128"/>
      <c r="O11" s="129">
        <f t="shared" si="2"/>
        <v>0</v>
      </c>
      <c r="P11" s="128"/>
      <c r="Q11" s="128"/>
      <c r="R11" s="128"/>
      <c r="S11" s="26">
        <f t="shared" si="3"/>
        <v>0</v>
      </c>
      <c r="T11" s="25" t="str">
        <f t="shared" si="4"/>
        <v>OK</v>
      </c>
      <c r="U11" s="138"/>
      <c r="V11" s="138"/>
      <c r="W11" s="138"/>
      <c r="X11" s="138"/>
      <c r="Y11" s="139"/>
      <c r="Z11" s="139"/>
      <c r="AA11" s="178"/>
      <c r="AB11" s="178"/>
      <c r="AC11" s="22"/>
      <c r="AD11" s="22"/>
      <c r="AE11" s="22"/>
      <c r="AF11" s="22"/>
      <c r="AG11" s="22"/>
      <c r="AH11" s="22"/>
    </row>
    <row r="12" spans="1:34" ht="30.25" customHeight="1" x14ac:dyDescent="0.35">
      <c r="A12" s="37">
        <v>9</v>
      </c>
      <c r="B12" s="37">
        <v>9</v>
      </c>
      <c r="C12" s="35" t="s">
        <v>83</v>
      </c>
      <c r="D12" s="34" t="s">
        <v>84</v>
      </c>
      <c r="E12" s="35" t="s">
        <v>85</v>
      </c>
      <c r="F12" s="35" t="s">
        <v>20</v>
      </c>
      <c r="G12" s="35" t="s">
        <v>22</v>
      </c>
      <c r="H12" s="35" t="s">
        <v>5</v>
      </c>
      <c r="I12" s="35" t="s">
        <v>6</v>
      </c>
      <c r="J12" s="36">
        <v>6213.51</v>
      </c>
      <c r="K12" s="27">
        <f>0</f>
        <v>0</v>
      </c>
      <c r="L12" s="127">
        <f t="shared" si="0"/>
        <v>0</v>
      </c>
      <c r="M12" s="127">
        <f t="shared" si="1"/>
        <v>0</v>
      </c>
      <c r="N12" s="128"/>
      <c r="O12" s="129">
        <f t="shared" si="2"/>
        <v>0</v>
      </c>
      <c r="P12" s="128"/>
      <c r="Q12" s="128"/>
      <c r="R12" s="128"/>
      <c r="S12" s="26">
        <f t="shared" si="3"/>
        <v>0</v>
      </c>
      <c r="T12" s="25" t="str">
        <f t="shared" si="4"/>
        <v>OK</v>
      </c>
      <c r="U12" s="138"/>
      <c r="V12" s="138"/>
      <c r="W12" s="138"/>
      <c r="X12" s="138"/>
      <c r="Y12" s="139"/>
      <c r="Z12" s="139"/>
      <c r="AA12" s="178"/>
      <c r="AB12" s="178"/>
      <c r="AC12" s="22"/>
      <c r="AD12" s="22"/>
      <c r="AE12" s="22"/>
      <c r="AF12" s="22"/>
      <c r="AG12" s="22"/>
      <c r="AH12" s="22"/>
    </row>
    <row r="13" spans="1:34" ht="30.25" customHeight="1" x14ac:dyDescent="0.35">
      <c r="A13" s="44">
        <v>10</v>
      </c>
      <c r="B13" s="44">
        <v>10</v>
      </c>
      <c r="C13" s="45" t="s">
        <v>63</v>
      </c>
      <c r="D13" s="46" t="s">
        <v>86</v>
      </c>
      <c r="E13" s="45" t="s">
        <v>87</v>
      </c>
      <c r="F13" s="45" t="s">
        <v>20</v>
      </c>
      <c r="G13" s="45" t="s">
        <v>22</v>
      </c>
      <c r="H13" s="45" t="s">
        <v>5</v>
      </c>
      <c r="I13" s="45" t="s">
        <v>6</v>
      </c>
      <c r="J13" s="47">
        <v>6689.61</v>
      </c>
      <c r="K13" s="27">
        <f>2</f>
        <v>2</v>
      </c>
      <c r="L13" s="127">
        <f t="shared" si="0"/>
        <v>2</v>
      </c>
      <c r="M13" s="127">
        <f t="shared" si="1"/>
        <v>2</v>
      </c>
      <c r="N13" s="128"/>
      <c r="O13" s="129">
        <f t="shared" si="2"/>
        <v>0</v>
      </c>
      <c r="P13" s="128"/>
      <c r="Q13" s="128"/>
      <c r="R13" s="128"/>
      <c r="S13" s="26">
        <f t="shared" si="3"/>
        <v>0</v>
      </c>
      <c r="T13" s="25" t="str">
        <f t="shared" si="4"/>
        <v>OK</v>
      </c>
      <c r="U13" s="140">
        <v>1</v>
      </c>
      <c r="V13" s="138"/>
      <c r="W13" s="138"/>
      <c r="X13" s="140">
        <v>1</v>
      </c>
      <c r="Y13" s="139"/>
      <c r="Z13" s="139"/>
      <c r="AA13" s="178"/>
      <c r="AB13" s="178"/>
      <c r="AC13" s="22"/>
      <c r="AD13" s="22"/>
      <c r="AE13" s="22"/>
      <c r="AF13" s="22"/>
      <c r="AG13" s="22"/>
      <c r="AH13" s="22"/>
    </row>
    <row r="14" spans="1:34" ht="30.25" customHeight="1" x14ac:dyDescent="0.35">
      <c r="A14" s="37">
        <v>11</v>
      </c>
      <c r="B14" s="37">
        <v>11</v>
      </c>
      <c r="C14" s="35" t="s">
        <v>83</v>
      </c>
      <c r="D14" s="34" t="s">
        <v>88</v>
      </c>
      <c r="E14" s="35" t="s">
        <v>89</v>
      </c>
      <c r="F14" s="37" t="s">
        <v>20</v>
      </c>
      <c r="G14" s="35" t="s">
        <v>22</v>
      </c>
      <c r="H14" s="37" t="s">
        <v>5</v>
      </c>
      <c r="I14" s="35" t="s">
        <v>6</v>
      </c>
      <c r="J14" s="36">
        <v>3445.06</v>
      </c>
      <c r="K14" s="27">
        <f>0</f>
        <v>0</v>
      </c>
      <c r="L14" s="127">
        <f t="shared" si="0"/>
        <v>0</v>
      </c>
      <c r="M14" s="127">
        <f t="shared" si="1"/>
        <v>0</v>
      </c>
      <c r="N14" s="128"/>
      <c r="O14" s="129">
        <f t="shared" si="2"/>
        <v>0</v>
      </c>
      <c r="P14" s="128"/>
      <c r="Q14" s="128"/>
      <c r="R14" s="128"/>
      <c r="S14" s="26">
        <f t="shared" si="3"/>
        <v>0</v>
      </c>
      <c r="T14" s="25" t="str">
        <f t="shared" si="4"/>
        <v>OK</v>
      </c>
      <c r="U14" s="138"/>
      <c r="V14" s="138"/>
      <c r="W14" s="138"/>
      <c r="X14" s="138"/>
      <c r="Y14" s="139"/>
      <c r="Z14" s="139"/>
      <c r="AA14" s="178"/>
      <c r="AB14" s="178"/>
      <c r="AC14" s="22"/>
      <c r="AD14" s="22"/>
      <c r="AE14" s="22"/>
      <c r="AF14" s="22"/>
      <c r="AG14" s="22"/>
      <c r="AH14" s="22"/>
    </row>
    <row r="15" spans="1:34" ht="30.25" customHeight="1" x14ac:dyDescent="0.35">
      <c r="A15" s="44">
        <v>12</v>
      </c>
      <c r="B15" s="44">
        <v>12</v>
      </c>
      <c r="C15" s="45" t="s">
        <v>83</v>
      </c>
      <c r="D15" s="46" t="s">
        <v>90</v>
      </c>
      <c r="E15" s="45" t="s">
        <v>91</v>
      </c>
      <c r="F15" s="44" t="s">
        <v>20</v>
      </c>
      <c r="G15" s="44" t="s">
        <v>22</v>
      </c>
      <c r="H15" s="44" t="s">
        <v>5</v>
      </c>
      <c r="I15" s="45" t="s">
        <v>6</v>
      </c>
      <c r="J15" s="47">
        <v>3617.48</v>
      </c>
      <c r="K15" s="27">
        <f>2</f>
        <v>2</v>
      </c>
      <c r="L15" s="127">
        <f t="shared" si="0"/>
        <v>1</v>
      </c>
      <c r="M15" s="127">
        <f t="shared" si="1"/>
        <v>1</v>
      </c>
      <c r="N15" s="128">
        <v>-1</v>
      </c>
      <c r="O15" s="129">
        <f t="shared" si="2"/>
        <v>0</v>
      </c>
      <c r="P15" s="128"/>
      <c r="Q15" s="128"/>
      <c r="R15" s="128"/>
      <c r="S15" s="26">
        <f t="shared" si="3"/>
        <v>0</v>
      </c>
      <c r="T15" s="25" t="str">
        <f t="shared" si="4"/>
        <v>OK</v>
      </c>
      <c r="U15" s="138"/>
      <c r="V15" s="140">
        <v>1</v>
      </c>
      <c r="W15" s="138"/>
      <c r="X15" s="138"/>
      <c r="Y15" s="139"/>
      <c r="Z15" s="139"/>
      <c r="AA15" s="178"/>
      <c r="AB15" s="178"/>
      <c r="AC15" s="22"/>
      <c r="AD15" s="22"/>
      <c r="AE15" s="22"/>
      <c r="AF15" s="22"/>
      <c r="AG15" s="22"/>
      <c r="AH15" s="22"/>
    </row>
    <row r="16" spans="1:34" ht="30.25" customHeight="1" x14ac:dyDescent="0.35">
      <c r="A16" s="37">
        <v>13</v>
      </c>
      <c r="B16" s="37">
        <v>13</v>
      </c>
      <c r="C16" s="35" t="s">
        <v>92</v>
      </c>
      <c r="D16" s="34" t="s">
        <v>93</v>
      </c>
      <c r="E16" s="35" t="s">
        <v>94</v>
      </c>
      <c r="F16" s="37" t="s">
        <v>20</v>
      </c>
      <c r="G16" s="37" t="s">
        <v>22</v>
      </c>
      <c r="H16" s="37" t="s">
        <v>5</v>
      </c>
      <c r="I16" s="35" t="s">
        <v>6</v>
      </c>
      <c r="J16" s="36">
        <v>7453.33</v>
      </c>
      <c r="K16" s="27">
        <f>0</f>
        <v>0</v>
      </c>
      <c r="L16" s="127">
        <f t="shared" si="0"/>
        <v>0</v>
      </c>
      <c r="M16" s="127">
        <f t="shared" si="1"/>
        <v>0</v>
      </c>
      <c r="N16" s="128"/>
      <c r="O16" s="129">
        <f t="shared" si="2"/>
        <v>0</v>
      </c>
      <c r="P16" s="128"/>
      <c r="Q16" s="128"/>
      <c r="R16" s="128"/>
      <c r="S16" s="26">
        <f t="shared" si="3"/>
        <v>0</v>
      </c>
      <c r="T16" s="25" t="str">
        <f t="shared" si="4"/>
        <v>OK</v>
      </c>
      <c r="U16" s="138"/>
      <c r="V16" s="138"/>
      <c r="W16" s="138"/>
      <c r="X16" s="138"/>
      <c r="Y16" s="139"/>
      <c r="Z16" s="139"/>
      <c r="AA16" s="178"/>
      <c r="AB16" s="178"/>
      <c r="AC16" s="22"/>
      <c r="AD16" s="22"/>
      <c r="AE16" s="22"/>
      <c r="AF16" s="22"/>
      <c r="AG16" s="22"/>
      <c r="AH16" s="22"/>
    </row>
    <row r="17" spans="1:34" ht="30.25" customHeight="1" x14ac:dyDescent="0.35">
      <c r="A17" s="44">
        <v>14</v>
      </c>
      <c r="B17" s="44">
        <v>14</v>
      </c>
      <c r="C17" s="45" t="s">
        <v>92</v>
      </c>
      <c r="D17" s="46" t="s">
        <v>95</v>
      </c>
      <c r="E17" s="45" t="s">
        <v>94</v>
      </c>
      <c r="F17" s="45" t="s">
        <v>20</v>
      </c>
      <c r="G17" s="45" t="s">
        <v>22</v>
      </c>
      <c r="H17" s="45" t="s">
        <v>5</v>
      </c>
      <c r="I17" s="45" t="s">
        <v>6</v>
      </c>
      <c r="J17" s="47">
        <v>9561.2000000000007</v>
      </c>
      <c r="K17" s="27">
        <f>2</f>
        <v>2</v>
      </c>
      <c r="L17" s="127">
        <f t="shared" si="0"/>
        <v>0</v>
      </c>
      <c r="M17" s="127">
        <f t="shared" si="1"/>
        <v>0</v>
      </c>
      <c r="N17" s="128"/>
      <c r="O17" s="129">
        <f t="shared" si="2"/>
        <v>0</v>
      </c>
      <c r="P17" s="128"/>
      <c r="Q17" s="128"/>
      <c r="R17" s="128"/>
      <c r="S17" s="26">
        <f t="shared" si="3"/>
        <v>2</v>
      </c>
      <c r="T17" s="25" t="str">
        <f t="shared" si="4"/>
        <v>OK</v>
      </c>
      <c r="U17" s="138"/>
      <c r="V17" s="138"/>
      <c r="W17" s="138"/>
      <c r="X17" s="138"/>
      <c r="Y17" s="139"/>
      <c r="Z17" s="139"/>
      <c r="AA17" s="178"/>
      <c r="AB17" s="178"/>
      <c r="AC17" s="22"/>
      <c r="AD17" s="22"/>
      <c r="AE17" s="22"/>
      <c r="AF17" s="22"/>
      <c r="AG17" s="22"/>
      <c r="AH17" s="22"/>
    </row>
    <row r="18" spans="1:34" ht="30.25" customHeight="1" x14ac:dyDescent="0.35">
      <c r="A18" s="37">
        <v>15</v>
      </c>
      <c r="B18" s="37">
        <v>15</v>
      </c>
      <c r="C18" s="35" t="s">
        <v>63</v>
      </c>
      <c r="D18" s="34" t="s">
        <v>96</v>
      </c>
      <c r="E18" s="35" t="s">
        <v>97</v>
      </c>
      <c r="F18" s="35" t="s">
        <v>20</v>
      </c>
      <c r="G18" s="35" t="s">
        <v>31</v>
      </c>
      <c r="H18" s="35" t="s">
        <v>5</v>
      </c>
      <c r="I18" s="35" t="s">
        <v>6</v>
      </c>
      <c r="J18" s="36">
        <v>7598</v>
      </c>
      <c r="K18" s="27">
        <f>0</f>
        <v>0</v>
      </c>
      <c r="L18" s="127">
        <f t="shared" si="0"/>
        <v>0</v>
      </c>
      <c r="M18" s="127">
        <f t="shared" si="1"/>
        <v>0</v>
      </c>
      <c r="N18" s="128"/>
      <c r="O18" s="129">
        <f t="shared" si="2"/>
        <v>0</v>
      </c>
      <c r="P18" s="128"/>
      <c r="Q18" s="128"/>
      <c r="R18" s="128"/>
      <c r="S18" s="26">
        <f t="shared" si="3"/>
        <v>0</v>
      </c>
      <c r="T18" s="25" t="str">
        <f t="shared" si="4"/>
        <v>OK</v>
      </c>
      <c r="U18" s="138"/>
      <c r="V18" s="138"/>
      <c r="W18" s="138"/>
      <c r="X18" s="138"/>
      <c r="Y18" s="139"/>
      <c r="Z18" s="139"/>
      <c r="AA18" s="178"/>
      <c r="AB18" s="178"/>
      <c r="AC18" s="22"/>
      <c r="AD18" s="22"/>
      <c r="AE18" s="22"/>
      <c r="AF18" s="22"/>
      <c r="AG18" s="22"/>
      <c r="AH18" s="22"/>
    </row>
    <row r="19" spans="1:34" ht="30.25" customHeight="1" x14ac:dyDescent="0.35">
      <c r="A19" s="44">
        <v>16</v>
      </c>
      <c r="B19" s="44">
        <v>16</v>
      </c>
      <c r="C19" s="45" t="s">
        <v>83</v>
      </c>
      <c r="D19" s="46" t="s">
        <v>98</v>
      </c>
      <c r="E19" s="45" t="s">
        <v>99</v>
      </c>
      <c r="F19" s="45" t="s">
        <v>20</v>
      </c>
      <c r="G19" s="45" t="s">
        <v>100</v>
      </c>
      <c r="H19" s="45" t="s">
        <v>5</v>
      </c>
      <c r="I19" s="45" t="s">
        <v>6</v>
      </c>
      <c r="J19" s="47">
        <v>4540.34</v>
      </c>
      <c r="K19" s="27">
        <f>2</f>
        <v>2</v>
      </c>
      <c r="L19" s="127">
        <f t="shared" si="0"/>
        <v>0</v>
      </c>
      <c r="M19" s="127">
        <f t="shared" si="1"/>
        <v>0</v>
      </c>
      <c r="N19" s="128"/>
      <c r="O19" s="129">
        <f t="shared" si="2"/>
        <v>0</v>
      </c>
      <c r="P19" s="128"/>
      <c r="Q19" s="128"/>
      <c r="R19" s="128"/>
      <c r="S19" s="26">
        <f t="shared" si="3"/>
        <v>2</v>
      </c>
      <c r="T19" s="25" t="str">
        <f t="shared" si="4"/>
        <v>OK</v>
      </c>
      <c r="U19" s="138"/>
      <c r="V19" s="138"/>
      <c r="W19" s="138"/>
      <c r="X19" s="138"/>
      <c r="Y19" s="139"/>
      <c r="Z19" s="139"/>
      <c r="AA19" s="178"/>
      <c r="AB19" s="178"/>
      <c r="AC19" s="22"/>
      <c r="AD19" s="22"/>
      <c r="AE19" s="22"/>
      <c r="AF19" s="22"/>
      <c r="AG19" s="22"/>
      <c r="AH19" s="22"/>
    </row>
    <row r="20" spans="1:34" ht="30.25" customHeight="1" x14ac:dyDescent="0.35">
      <c r="A20" s="37">
        <v>17</v>
      </c>
      <c r="B20" s="37">
        <v>17</v>
      </c>
      <c r="C20" s="35" t="s">
        <v>63</v>
      </c>
      <c r="D20" s="38" t="s">
        <v>101</v>
      </c>
      <c r="E20" s="39" t="s">
        <v>102</v>
      </c>
      <c r="F20" s="40" t="s">
        <v>20</v>
      </c>
      <c r="G20" s="40" t="s">
        <v>103</v>
      </c>
      <c r="H20" s="40" t="s">
        <v>5</v>
      </c>
      <c r="I20" s="40" t="s">
        <v>6</v>
      </c>
      <c r="J20" s="36">
        <v>7499</v>
      </c>
      <c r="K20" s="27">
        <f>2</f>
        <v>2</v>
      </c>
      <c r="L20" s="127">
        <f t="shared" si="0"/>
        <v>0</v>
      </c>
      <c r="M20" s="127">
        <f t="shared" si="1"/>
        <v>0</v>
      </c>
      <c r="N20" s="128"/>
      <c r="O20" s="129">
        <f t="shared" si="2"/>
        <v>0</v>
      </c>
      <c r="P20" s="128"/>
      <c r="Q20" s="128"/>
      <c r="R20" s="128"/>
      <c r="S20" s="26">
        <f t="shared" si="3"/>
        <v>2</v>
      </c>
      <c r="T20" s="25" t="str">
        <f t="shared" si="4"/>
        <v>OK</v>
      </c>
      <c r="U20" s="138"/>
      <c r="V20" s="138"/>
      <c r="W20" s="138"/>
      <c r="X20" s="138"/>
      <c r="Y20" s="139"/>
      <c r="Z20" s="139"/>
      <c r="AA20" s="178"/>
      <c r="AB20" s="178"/>
      <c r="AC20" s="22"/>
      <c r="AD20" s="22"/>
      <c r="AE20" s="22"/>
      <c r="AF20" s="22"/>
      <c r="AG20" s="22"/>
      <c r="AH20" s="22"/>
    </row>
    <row r="21" spans="1:34" ht="30.25" customHeight="1" x14ac:dyDescent="0.35">
      <c r="A21" s="44">
        <v>18</v>
      </c>
      <c r="B21" s="44">
        <v>18</v>
      </c>
      <c r="C21" s="45" t="s">
        <v>104</v>
      </c>
      <c r="D21" s="46" t="s">
        <v>105</v>
      </c>
      <c r="E21" s="48" t="s">
        <v>106</v>
      </c>
      <c r="F21" s="49" t="s">
        <v>20</v>
      </c>
      <c r="G21" s="44" t="s">
        <v>107</v>
      </c>
      <c r="H21" s="44" t="s">
        <v>5</v>
      </c>
      <c r="I21" s="44" t="s">
        <v>6</v>
      </c>
      <c r="J21" s="47">
        <v>9553.2000000000007</v>
      </c>
      <c r="K21" s="27">
        <f>4</f>
        <v>4</v>
      </c>
      <c r="L21" s="127">
        <f t="shared" si="0"/>
        <v>3</v>
      </c>
      <c r="M21" s="127">
        <f t="shared" si="1"/>
        <v>3</v>
      </c>
      <c r="N21" s="128"/>
      <c r="O21" s="129">
        <f t="shared" si="2"/>
        <v>1</v>
      </c>
      <c r="P21" s="128"/>
      <c r="Q21" s="128"/>
      <c r="R21" s="128"/>
      <c r="S21" s="26">
        <f t="shared" si="3"/>
        <v>1</v>
      </c>
      <c r="T21" s="25" t="str">
        <f t="shared" si="4"/>
        <v>OK</v>
      </c>
      <c r="U21" s="138"/>
      <c r="V21" s="140">
        <v>1</v>
      </c>
      <c r="W21" s="138"/>
      <c r="X21" s="138"/>
      <c r="Y21" s="139"/>
      <c r="Z21" s="139"/>
      <c r="AA21" s="178">
        <v>2</v>
      </c>
      <c r="AB21" s="178"/>
      <c r="AC21" s="22"/>
      <c r="AD21" s="22"/>
      <c r="AE21" s="22"/>
      <c r="AF21" s="22"/>
      <c r="AG21" s="22"/>
      <c r="AH21" s="22"/>
    </row>
    <row r="22" spans="1:34" ht="30.25" customHeight="1" x14ac:dyDescent="0.35">
      <c r="A22" s="37">
        <v>19</v>
      </c>
      <c r="B22" s="37">
        <v>19</v>
      </c>
      <c r="C22" s="35" t="s">
        <v>63</v>
      </c>
      <c r="D22" s="34" t="s">
        <v>108</v>
      </c>
      <c r="E22" s="41" t="s">
        <v>109</v>
      </c>
      <c r="F22" s="43" t="s">
        <v>20</v>
      </c>
      <c r="G22" s="37" t="s">
        <v>107</v>
      </c>
      <c r="H22" s="37" t="s">
        <v>5</v>
      </c>
      <c r="I22" s="37" t="s">
        <v>6</v>
      </c>
      <c r="J22" s="36">
        <v>8608</v>
      </c>
      <c r="K22" s="27">
        <f>2</f>
        <v>2</v>
      </c>
      <c r="L22" s="127">
        <f t="shared" si="0"/>
        <v>0</v>
      </c>
      <c r="M22" s="127">
        <f t="shared" si="1"/>
        <v>0</v>
      </c>
      <c r="N22" s="128"/>
      <c r="O22" s="129">
        <f t="shared" si="2"/>
        <v>0</v>
      </c>
      <c r="P22" s="128"/>
      <c r="Q22" s="128"/>
      <c r="R22" s="128"/>
      <c r="S22" s="26">
        <f t="shared" si="3"/>
        <v>2</v>
      </c>
      <c r="T22" s="25" t="str">
        <f t="shared" si="4"/>
        <v>OK</v>
      </c>
      <c r="U22" s="138"/>
      <c r="V22" s="138"/>
      <c r="W22" s="138"/>
      <c r="X22" s="138"/>
      <c r="Y22" s="139"/>
      <c r="Z22" s="139"/>
      <c r="AA22" s="178"/>
      <c r="AB22" s="178"/>
      <c r="AC22" s="22"/>
      <c r="AD22" s="22"/>
      <c r="AE22" s="22"/>
      <c r="AF22" s="22"/>
      <c r="AG22" s="22"/>
      <c r="AH22" s="22"/>
    </row>
    <row r="23" spans="1:34" ht="30.25" customHeight="1" x14ac:dyDescent="0.35">
      <c r="A23" s="44">
        <v>20</v>
      </c>
      <c r="B23" s="44">
        <v>20</v>
      </c>
      <c r="C23" s="45" t="s">
        <v>63</v>
      </c>
      <c r="D23" s="46" t="s">
        <v>110</v>
      </c>
      <c r="E23" s="48" t="s">
        <v>111</v>
      </c>
      <c r="F23" s="50" t="s">
        <v>20</v>
      </c>
      <c r="G23" s="44" t="s">
        <v>112</v>
      </c>
      <c r="H23" s="44" t="s">
        <v>5</v>
      </c>
      <c r="I23" s="44" t="s">
        <v>6</v>
      </c>
      <c r="J23" s="47">
        <v>10488</v>
      </c>
      <c r="K23" s="27">
        <f>3</f>
        <v>3</v>
      </c>
      <c r="L23" s="127">
        <f t="shared" si="0"/>
        <v>0</v>
      </c>
      <c r="M23" s="127">
        <f t="shared" si="1"/>
        <v>0</v>
      </c>
      <c r="N23" s="128"/>
      <c r="O23" s="129">
        <f t="shared" si="2"/>
        <v>0</v>
      </c>
      <c r="P23" s="128"/>
      <c r="Q23" s="128"/>
      <c r="R23" s="128"/>
      <c r="S23" s="26">
        <f t="shared" si="3"/>
        <v>3</v>
      </c>
      <c r="T23" s="25" t="str">
        <f t="shared" si="4"/>
        <v>OK</v>
      </c>
      <c r="U23" s="138"/>
      <c r="V23" s="138"/>
      <c r="W23" s="138"/>
      <c r="X23" s="138"/>
      <c r="Y23" s="139"/>
      <c r="Z23" s="139"/>
      <c r="AA23" s="178"/>
      <c r="AB23" s="178"/>
      <c r="AC23" s="22"/>
      <c r="AD23" s="22"/>
      <c r="AE23" s="22"/>
      <c r="AF23" s="22"/>
      <c r="AG23" s="22"/>
      <c r="AH23" s="22"/>
    </row>
    <row r="24" spans="1:34" ht="30.25" customHeight="1" x14ac:dyDescent="0.35">
      <c r="A24" s="84">
        <v>21</v>
      </c>
      <c r="B24" s="84">
        <v>21</v>
      </c>
      <c r="C24" s="59" t="s">
        <v>63</v>
      </c>
      <c r="D24" s="85" t="s">
        <v>113</v>
      </c>
      <c r="E24" s="114" t="s">
        <v>114</v>
      </c>
      <c r="F24" s="115" t="s">
        <v>20</v>
      </c>
      <c r="G24" s="84" t="s">
        <v>115</v>
      </c>
      <c r="H24" s="84" t="s">
        <v>5</v>
      </c>
      <c r="I24" s="84" t="s">
        <v>6</v>
      </c>
      <c r="J24" s="86">
        <v>10968</v>
      </c>
      <c r="K24" s="27">
        <f>4</f>
        <v>4</v>
      </c>
      <c r="L24" s="127">
        <f t="shared" si="0"/>
        <v>0</v>
      </c>
      <c r="M24" s="127">
        <f t="shared" si="1"/>
        <v>0</v>
      </c>
      <c r="N24" s="128">
        <v>-2</v>
      </c>
      <c r="O24" s="129">
        <f t="shared" si="2"/>
        <v>1</v>
      </c>
      <c r="P24" s="128"/>
      <c r="Q24" s="128"/>
      <c r="R24" s="128"/>
      <c r="S24" s="26">
        <f t="shared" si="3"/>
        <v>2</v>
      </c>
      <c r="T24" s="25" t="str">
        <f t="shared" si="4"/>
        <v>OK</v>
      </c>
      <c r="U24" s="138"/>
      <c r="V24" s="138"/>
      <c r="W24" s="138"/>
      <c r="X24" s="138"/>
      <c r="Y24" s="139"/>
      <c r="Z24" s="139"/>
      <c r="AA24" s="178"/>
      <c r="AB24" s="178"/>
      <c r="AC24" s="22"/>
      <c r="AD24" s="22"/>
      <c r="AE24" s="22"/>
      <c r="AF24" s="22"/>
      <c r="AG24" s="22"/>
      <c r="AH24" s="22"/>
    </row>
    <row r="25" spans="1:34" ht="30.25" customHeight="1" x14ac:dyDescent="0.35">
      <c r="A25" s="44">
        <v>22</v>
      </c>
      <c r="B25" s="44">
        <v>22</v>
      </c>
      <c r="C25" s="45" t="s">
        <v>32</v>
      </c>
      <c r="D25" s="46" t="s">
        <v>116</v>
      </c>
      <c r="E25" s="48" t="s">
        <v>117</v>
      </c>
      <c r="F25" s="50" t="s">
        <v>20</v>
      </c>
      <c r="G25" s="44" t="s">
        <v>118</v>
      </c>
      <c r="H25" s="44" t="s">
        <v>5</v>
      </c>
      <c r="I25" s="44" t="s">
        <v>6</v>
      </c>
      <c r="J25" s="47">
        <v>13446</v>
      </c>
      <c r="K25" s="27">
        <f>4</f>
        <v>4</v>
      </c>
      <c r="L25" s="127">
        <f t="shared" si="0"/>
        <v>0</v>
      </c>
      <c r="M25" s="127">
        <f t="shared" si="1"/>
        <v>0</v>
      </c>
      <c r="N25" s="128">
        <v>-4</v>
      </c>
      <c r="O25" s="129">
        <f t="shared" si="2"/>
        <v>1</v>
      </c>
      <c r="P25" s="128"/>
      <c r="Q25" s="128"/>
      <c r="R25" s="128"/>
      <c r="S25" s="26">
        <f t="shared" si="3"/>
        <v>0</v>
      </c>
      <c r="T25" s="25" t="str">
        <f t="shared" si="4"/>
        <v>OK</v>
      </c>
      <c r="U25" s="138"/>
      <c r="V25" s="138"/>
      <c r="W25" s="138"/>
      <c r="X25" s="138"/>
      <c r="Y25" s="139"/>
      <c r="Z25" s="139"/>
      <c r="AA25" s="178"/>
      <c r="AB25" s="178"/>
      <c r="AC25" s="22"/>
      <c r="AD25" s="22"/>
      <c r="AE25" s="22"/>
      <c r="AF25" s="22"/>
      <c r="AG25" s="22"/>
      <c r="AH25" s="22"/>
    </row>
    <row r="26" spans="1:34" ht="30.25" customHeight="1" x14ac:dyDescent="0.35">
      <c r="A26" s="37">
        <v>23</v>
      </c>
      <c r="B26" s="37">
        <v>23</v>
      </c>
      <c r="C26" s="35" t="s">
        <v>119</v>
      </c>
      <c r="D26" s="34" t="s">
        <v>120</v>
      </c>
      <c r="E26" s="41" t="s">
        <v>121</v>
      </c>
      <c r="F26" s="43" t="s">
        <v>20</v>
      </c>
      <c r="G26" s="37" t="s">
        <v>115</v>
      </c>
      <c r="H26" s="37" t="s">
        <v>5</v>
      </c>
      <c r="I26" s="37" t="s">
        <v>6</v>
      </c>
      <c r="J26" s="36">
        <v>11764.7</v>
      </c>
      <c r="K26" s="27">
        <f>4</f>
        <v>4</v>
      </c>
      <c r="L26" s="127">
        <f t="shared" si="0"/>
        <v>0</v>
      </c>
      <c r="M26" s="127">
        <f t="shared" si="1"/>
        <v>0</v>
      </c>
      <c r="N26" s="128"/>
      <c r="O26" s="129">
        <f t="shared" si="2"/>
        <v>1</v>
      </c>
      <c r="P26" s="128"/>
      <c r="Q26" s="128"/>
      <c r="R26" s="128"/>
      <c r="S26" s="26">
        <f t="shared" si="3"/>
        <v>4</v>
      </c>
      <c r="T26" s="25" t="str">
        <f t="shared" si="4"/>
        <v>OK</v>
      </c>
      <c r="U26" s="138"/>
      <c r="V26" s="138"/>
      <c r="W26" s="138"/>
      <c r="X26" s="138"/>
      <c r="Y26" s="139"/>
      <c r="Z26" s="139"/>
      <c r="AA26" s="178"/>
      <c r="AB26" s="178"/>
      <c r="AC26" s="22"/>
      <c r="AD26" s="22"/>
      <c r="AE26" s="22"/>
      <c r="AF26" s="22"/>
      <c r="AG26" s="22"/>
      <c r="AH26" s="22"/>
    </row>
    <row r="27" spans="1:34" ht="30.25" customHeight="1" x14ac:dyDescent="0.35">
      <c r="A27" s="44">
        <v>24</v>
      </c>
      <c r="B27" s="44">
        <v>24</v>
      </c>
      <c r="C27" s="45" t="s">
        <v>32</v>
      </c>
      <c r="D27" s="46" t="s">
        <v>122</v>
      </c>
      <c r="E27" s="48" t="s">
        <v>123</v>
      </c>
      <c r="F27" s="50" t="s">
        <v>20</v>
      </c>
      <c r="G27" s="44" t="s">
        <v>124</v>
      </c>
      <c r="H27" s="44" t="s">
        <v>60</v>
      </c>
      <c r="I27" s="44" t="s">
        <v>6</v>
      </c>
      <c r="J27" s="47">
        <v>13333.33</v>
      </c>
      <c r="K27" s="27">
        <f>0</f>
        <v>0</v>
      </c>
      <c r="L27" s="127">
        <f t="shared" si="0"/>
        <v>0</v>
      </c>
      <c r="M27" s="127">
        <f t="shared" si="1"/>
        <v>0</v>
      </c>
      <c r="N27" s="128"/>
      <c r="O27" s="129">
        <f t="shared" si="2"/>
        <v>0</v>
      </c>
      <c r="P27" s="128"/>
      <c r="Q27" s="128"/>
      <c r="R27" s="128"/>
      <c r="S27" s="26">
        <f t="shared" si="3"/>
        <v>0</v>
      </c>
      <c r="T27" s="25" t="str">
        <f t="shared" si="4"/>
        <v>OK</v>
      </c>
      <c r="U27" s="138"/>
      <c r="V27" s="138"/>
      <c r="W27" s="138"/>
      <c r="X27" s="138"/>
      <c r="Y27" s="139"/>
      <c r="Z27" s="139"/>
      <c r="AA27" s="178"/>
      <c r="AB27" s="178"/>
      <c r="AC27" s="22"/>
      <c r="AD27" s="22"/>
      <c r="AE27" s="22"/>
      <c r="AF27" s="22"/>
      <c r="AG27" s="22"/>
      <c r="AH27" s="22"/>
    </row>
    <row r="28" spans="1:34" ht="30.25" customHeight="1" x14ac:dyDescent="0.35">
      <c r="A28" s="37">
        <v>25</v>
      </c>
      <c r="B28" s="37">
        <v>25</v>
      </c>
      <c r="C28" s="35" t="s">
        <v>125</v>
      </c>
      <c r="D28" s="34" t="s">
        <v>126</v>
      </c>
      <c r="E28" s="41" t="s">
        <v>127</v>
      </c>
      <c r="F28" s="43" t="s">
        <v>24</v>
      </c>
      <c r="G28" s="37" t="s">
        <v>25</v>
      </c>
      <c r="H28" s="37" t="s">
        <v>5</v>
      </c>
      <c r="I28" s="37" t="s">
        <v>26</v>
      </c>
      <c r="J28" s="36">
        <v>1320</v>
      </c>
      <c r="K28" s="27">
        <f>8</f>
        <v>8</v>
      </c>
      <c r="L28" s="127">
        <f t="shared" si="0"/>
        <v>0</v>
      </c>
      <c r="M28" s="127">
        <f t="shared" si="1"/>
        <v>0</v>
      </c>
      <c r="N28" s="128">
        <v>-5</v>
      </c>
      <c r="O28" s="129">
        <f t="shared" si="2"/>
        <v>2</v>
      </c>
      <c r="P28" s="128"/>
      <c r="Q28" s="128"/>
      <c r="R28" s="128"/>
      <c r="S28" s="26">
        <f t="shared" si="3"/>
        <v>3</v>
      </c>
      <c r="T28" s="25" t="str">
        <f t="shared" si="4"/>
        <v>OK</v>
      </c>
      <c r="U28" s="138"/>
      <c r="V28" s="138"/>
      <c r="W28" s="138"/>
      <c r="X28" s="138"/>
      <c r="Y28" s="139"/>
      <c r="Z28" s="139"/>
      <c r="AA28" s="178"/>
      <c r="AB28" s="178"/>
      <c r="AC28" s="22"/>
      <c r="AD28" s="22"/>
      <c r="AE28" s="22"/>
      <c r="AF28" s="22"/>
      <c r="AG28" s="22"/>
      <c r="AH28" s="22"/>
    </row>
    <row r="29" spans="1:34" ht="30.25" customHeight="1" x14ac:dyDescent="0.35">
      <c r="A29" s="44">
        <v>26</v>
      </c>
      <c r="B29" s="44">
        <v>26</v>
      </c>
      <c r="C29" s="45" t="s">
        <v>119</v>
      </c>
      <c r="D29" s="46" t="s">
        <v>14</v>
      </c>
      <c r="E29" s="48" t="s">
        <v>128</v>
      </c>
      <c r="F29" s="50" t="s">
        <v>23</v>
      </c>
      <c r="G29" s="44" t="s">
        <v>129</v>
      </c>
      <c r="H29" s="44" t="s">
        <v>5</v>
      </c>
      <c r="I29" s="44" t="s">
        <v>6</v>
      </c>
      <c r="J29" s="47">
        <v>650</v>
      </c>
      <c r="K29" s="27">
        <f>0</f>
        <v>0</v>
      </c>
      <c r="L29" s="127">
        <f t="shared" si="0"/>
        <v>0</v>
      </c>
      <c r="M29" s="127">
        <f t="shared" si="1"/>
        <v>0</v>
      </c>
      <c r="N29" s="128"/>
      <c r="O29" s="129">
        <f t="shared" si="2"/>
        <v>0</v>
      </c>
      <c r="P29" s="128"/>
      <c r="Q29" s="128"/>
      <c r="R29" s="128"/>
      <c r="S29" s="26">
        <f t="shared" si="3"/>
        <v>0</v>
      </c>
      <c r="T29" s="25" t="str">
        <f t="shared" si="4"/>
        <v>OK</v>
      </c>
      <c r="U29" s="138"/>
      <c r="V29" s="138"/>
      <c r="W29" s="138"/>
      <c r="X29" s="138"/>
      <c r="Y29" s="139"/>
      <c r="Z29" s="139"/>
      <c r="AA29" s="178"/>
      <c r="AB29" s="178"/>
      <c r="AC29" s="22"/>
      <c r="AD29" s="22"/>
      <c r="AE29" s="22"/>
      <c r="AF29" s="22"/>
      <c r="AG29" s="22"/>
      <c r="AH29" s="22"/>
    </row>
    <row r="30" spans="1:34" ht="30.25" customHeight="1" x14ac:dyDescent="0.35">
      <c r="A30" s="37">
        <v>27</v>
      </c>
      <c r="B30" s="37">
        <v>27</v>
      </c>
      <c r="C30" s="35" t="s">
        <v>130</v>
      </c>
      <c r="D30" s="34" t="s">
        <v>131</v>
      </c>
      <c r="E30" s="41" t="s">
        <v>132</v>
      </c>
      <c r="F30" s="43" t="s">
        <v>28</v>
      </c>
      <c r="G30" s="37" t="s">
        <v>29</v>
      </c>
      <c r="H30" s="37" t="s">
        <v>8</v>
      </c>
      <c r="I30" s="37" t="s">
        <v>26</v>
      </c>
      <c r="J30" s="36">
        <v>39.78</v>
      </c>
      <c r="K30" s="27">
        <f>10</f>
        <v>10</v>
      </c>
      <c r="L30" s="127">
        <f t="shared" si="0"/>
        <v>0</v>
      </c>
      <c r="M30" s="127">
        <f t="shared" si="1"/>
        <v>0</v>
      </c>
      <c r="N30" s="128"/>
      <c r="O30" s="129">
        <f t="shared" si="2"/>
        <v>2</v>
      </c>
      <c r="P30" s="128"/>
      <c r="Q30" s="128"/>
      <c r="R30" s="128"/>
      <c r="S30" s="26">
        <f t="shared" si="3"/>
        <v>10</v>
      </c>
      <c r="T30" s="25" t="str">
        <f t="shared" si="4"/>
        <v>OK</v>
      </c>
      <c r="U30" s="138"/>
      <c r="V30" s="138"/>
      <c r="W30" s="138"/>
      <c r="X30" s="138"/>
      <c r="Y30" s="139"/>
      <c r="Z30" s="139"/>
      <c r="AA30" s="178"/>
      <c r="AB30" s="178"/>
      <c r="AC30" s="22"/>
      <c r="AD30" s="22"/>
      <c r="AE30" s="22"/>
      <c r="AF30" s="22"/>
      <c r="AG30" s="22"/>
      <c r="AH30" s="22"/>
    </row>
    <row r="31" spans="1:34" ht="30.25" customHeight="1" x14ac:dyDescent="0.35">
      <c r="A31" s="44">
        <v>28</v>
      </c>
      <c r="B31" s="44">
        <v>28</v>
      </c>
      <c r="C31" s="45" t="s">
        <v>133</v>
      </c>
      <c r="D31" s="46" t="s">
        <v>134</v>
      </c>
      <c r="E31" s="48" t="s">
        <v>135</v>
      </c>
      <c r="F31" s="50" t="s">
        <v>136</v>
      </c>
      <c r="G31" s="44" t="s">
        <v>137</v>
      </c>
      <c r="H31" s="44" t="s">
        <v>5</v>
      </c>
      <c r="I31" s="44" t="s">
        <v>6</v>
      </c>
      <c r="J31" s="47">
        <v>2259.91</v>
      </c>
      <c r="K31" s="27">
        <f>0</f>
        <v>0</v>
      </c>
      <c r="L31" s="127">
        <f t="shared" si="0"/>
        <v>0</v>
      </c>
      <c r="M31" s="127">
        <f t="shared" si="1"/>
        <v>0</v>
      </c>
      <c r="N31" s="128"/>
      <c r="O31" s="129">
        <f t="shared" si="2"/>
        <v>0</v>
      </c>
      <c r="P31" s="128"/>
      <c r="Q31" s="128"/>
      <c r="R31" s="128"/>
      <c r="S31" s="26">
        <f t="shared" si="3"/>
        <v>0</v>
      </c>
      <c r="T31" s="25" t="str">
        <f t="shared" si="4"/>
        <v>OK</v>
      </c>
      <c r="U31" s="138"/>
      <c r="V31" s="138"/>
      <c r="W31" s="138"/>
      <c r="X31" s="138"/>
      <c r="Y31" s="139"/>
      <c r="Z31" s="139"/>
      <c r="AA31" s="178"/>
      <c r="AB31" s="178"/>
      <c r="AC31" s="22"/>
      <c r="AD31" s="22"/>
      <c r="AE31" s="22"/>
      <c r="AF31" s="22"/>
      <c r="AG31" s="22"/>
      <c r="AH31" s="22"/>
    </row>
    <row r="32" spans="1:34" ht="30.25" customHeight="1" x14ac:dyDescent="0.35">
      <c r="A32" s="37">
        <v>29</v>
      </c>
      <c r="B32" s="37">
        <v>29</v>
      </c>
      <c r="C32" s="35" t="s">
        <v>138</v>
      </c>
      <c r="D32" s="34" t="s">
        <v>139</v>
      </c>
      <c r="E32" s="41" t="s">
        <v>140</v>
      </c>
      <c r="F32" s="43" t="s">
        <v>136</v>
      </c>
      <c r="G32" s="37" t="s">
        <v>137</v>
      </c>
      <c r="H32" s="37" t="s">
        <v>5</v>
      </c>
      <c r="I32" s="37" t="s">
        <v>6</v>
      </c>
      <c r="J32" s="36">
        <v>3391.3</v>
      </c>
      <c r="K32" s="27">
        <f>0</f>
        <v>0</v>
      </c>
      <c r="L32" s="127">
        <f t="shared" si="0"/>
        <v>0</v>
      </c>
      <c r="M32" s="127">
        <f t="shared" si="1"/>
        <v>0</v>
      </c>
      <c r="N32" s="128"/>
      <c r="O32" s="129">
        <f t="shared" si="2"/>
        <v>0</v>
      </c>
      <c r="P32" s="128"/>
      <c r="Q32" s="128"/>
      <c r="R32" s="128"/>
      <c r="S32" s="26">
        <f t="shared" si="3"/>
        <v>0</v>
      </c>
      <c r="T32" s="25" t="str">
        <f t="shared" si="4"/>
        <v>OK</v>
      </c>
      <c r="U32" s="138"/>
      <c r="V32" s="138"/>
      <c r="W32" s="138"/>
      <c r="X32" s="138"/>
      <c r="Y32" s="139"/>
      <c r="Z32" s="139"/>
      <c r="AA32" s="178"/>
      <c r="AB32" s="178"/>
      <c r="AC32" s="22"/>
      <c r="AD32" s="22"/>
      <c r="AE32" s="22"/>
      <c r="AF32" s="22"/>
      <c r="AG32" s="22"/>
      <c r="AH32" s="22"/>
    </row>
    <row r="33" spans="1:34" ht="30.25" customHeight="1" x14ac:dyDescent="0.35">
      <c r="A33" s="44">
        <v>30</v>
      </c>
      <c r="B33" s="44">
        <v>30</v>
      </c>
      <c r="C33" s="45" t="s">
        <v>141</v>
      </c>
      <c r="D33" s="46" t="s">
        <v>142</v>
      </c>
      <c r="E33" s="48" t="s">
        <v>143</v>
      </c>
      <c r="F33" s="50" t="s">
        <v>136</v>
      </c>
      <c r="G33" s="44" t="s">
        <v>137</v>
      </c>
      <c r="H33" s="44" t="s">
        <v>5</v>
      </c>
      <c r="I33" s="44" t="s">
        <v>6</v>
      </c>
      <c r="J33" s="47">
        <v>9961.5300000000007</v>
      </c>
      <c r="K33" s="27">
        <f>0</f>
        <v>0</v>
      </c>
      <c r="L33" s="127">
        <f t="shared" si="0"/>
        <v>0</v>
      </c>
      <c r="M33" s="127">
        <f t="shared" si="1"/>
        <v>0</v>
      </c>
      <c r="N33" s="128"/>
      <c r="O33" s="129">
        <f t="shared" si="2"/>
        <v>0</v>
      </c>
      <c r="P33" s="128"/>
      <c r="Q33" s="128"/>
      <c r="R33" s="128"/>
      <c r="S33" s="26">
        <f t="shared" si="3"/>
        <v>0</v>
      </c>
      <c r="T33" s="25" t="str">
        <f t="shared" si="4"/>
        <v>OK</v>
      </c>
      <c r="U33" s="138"/>
      <c r="V33" s="138"/>
      <c r="W33" s="138"/>
      <c r="X33" s="138"/>
      <c r="Y33" s="139"/>
      <c r="Z33" s="139"/>
      <c r="AA33" s="178"/>
      <c r="AB33" s="178"/>
      <c r="AC33" s="22"/>
      <c r="AD33" s="22"/>
      <c r="AE33" s="22"/>
      <c r="AF33" s="22"/>
      <c r="AG33" s="22"/>
      <c r="AH33" s="22"/>
    </row>
    <row r="34" spans="1:34" ht="30.25" customHeight="1" x14ac:dyDescent="0.35">
      <c r="A34" s="37">
        <v>31</v>
      </c>
      <c r="B34" s="37">
        <v>31</v>
      </c>
      <c r="C34" s="35" t="s">
        <v>144</v>
      </c>
      <c r="D34" s="34" t="s">
        <v>145</v>
      </c>
      <c r="E34" s="41" t="s">
        <v>146</v>
      </c>
      <c r="F34" s="43" t="s">
        <v>20</v>
      </c>
      <c r="G34" s="37" t="s">
        <v>147</v>
      </c>
      <c r="H34" s="37" t="s">
        <v>60</v>
      </c>
      <c r="I34" s="37">
        <v>44905212</v>
      </c>
      <c r="J34" s="36">
        <v>630</v>
      </c>
      <c r="K34" s="27">
        <f>0</f>
        <v>0</v>
      </c>
      <c r="L34" s="127">
        <f t="shared" si="0"/>
        <v>0</v>
      </c>
      <c r="M34" s="127">
        <f t="shared" si="1"/>
        <v>0</v>
      </c>
      <c r="N34" s="128"/>
      <c r="O34" s="129">
        <f t="shared" si="2"/>
        <v>0</v>
      </c>
      <c r="P34" s="128"/>
      <c r="Q34" s="128"/>
      <c r="R34" s="128"/>
      <c r="S34" s="26">
        <f t="shared" si="3"/>
        <v>0</v>
      </c>
      <c r="T34" s="25" t="str">
        <f t="shared" si="4"/>
        <v>OK</v>
      </c>
      <c r="U34" s="138"/>
      <c r="V34" s="138"/>
      <c r="W34" s="138"/>
      <c r="X34" s="138"/>
      <c r="Y34" s="139"/>
      <c r="Z34" s="139"/>
      <c r="AA34" s="178"/>
      <c r="AB34" s="178"/>
      <c r="AC34" s="22"/>
      <c r="AD34" s="22"/>
      <c r="AE34" s="22"/>
      <c r="AF34" s="22"/>
      <c r="AG34" s="22"/>
      <c r="AH34" s="22"/>
    </row>
    <row r="35" spans="1:34" ht="30.25" customHeight="1" x14ac:dyDescent="0.35">
      <c r="A35" s="44">
        <v>32</v>
      </c>
      <c r="B35" s="44">
        <v>32</v>
      </c>
      <c r="C35" s="45" t="s">
        <v>144</v>
      </c>
      <c r="D35" s="46" t="s">
        <v>148</v>
      </c>
      <c r="E35" s="48" t="s">
        <v>149</v>
      </c>
      <c r="F35" s="50" t="s">
        <v>20</v>
      </c>
      <c r="G35" s="44" t="s">
        <v>147</v>
      </c>
      <c r="H35" s="44" t="s">
        <v>60</v>
      </c>
      <c r="I35" s="44">
        <v>44905212</v>
      </c>
      <c r="J35" s="47">
        <v>1550</v>
      </c>
      <c r="K35" s="27">
        <f>0</f>
        <v>0</v>
      </c>
      <c r="L35" s="127">
        <f t="shared" si="0"/>
        <v>0</v>
      </c>
      <c r="M35" s="127">
        <f t="shared" si="1"/>
        <v>0</v>
      </c>
      <c r="N35" s="128"/>
      <c r="O35" s="129">
        <f t="shared" si="2"/>
        <v>0</v>
      </c>
      <c r="P35" s="128"/>
      <c r="Q35" s="128"/>
      <c r="R35" s="128"/>
      <c r="S35" s="26">
        <f t="shared" si="3"/>
        <v>0</v>
      </c>
      <c r="T35" s="25" t="str">
        <f t="shared" si="4"/>
        <v>OK</v>
      </c>
      <c r="U35" s="138"/>
      <c r="V35" s="138"/>
      <c r="W35" s="138"/>
      <c r="X35" s="138"/>
      <c r="Y35" s="139"/>
      <c r="Z35" s="139"/>
      <c r="AA35" s="178"/>
      <c r="AB35" s="178"/>
      <c r="AC35" s="22"/>
      <c r="AD35" s="22"/>
      <c r="AE35" s="22"/>
      <c r="AF35" s="22"/>
      <c r="AG35" s="22"/>
      <c r="AH35" s="22"/>
    </row>
    <row r="36" spans="1:34" ht="30.25" customHeight="1" x14ac:dyDescent="0.35">
      <c r="A36" s="37">
        <v>33</v>
      </c>
      <c r="B36" s="37">
        <v>33</v>
      </c>
      <c r="C36" s="35" t="s">
        <v>150</v>
      </c>
      <c r="D36" s="34" t="s">
        <v>151</v>
      </c>
      <c r="E36" s="41" t="s">
        <v>152</v>
      </c>
      <c r="F36" s="43" t="s">
        <v>20</v>
      </c>
      <c r="G36" s="37" t="s">
        <v>147</v>
      </c>
      <c r="H36" s="37" t="s">
        <v>60</v>
      </c>
      <c r="I36" s="37">
        <v>44905212</v>
      </c>
      <c r="J36" s="36">
        <v>930</v>
      </c>
      <c r="K36" s="27">
        <f>0</f>
        <v>0</v>
      </c>
      <c r="L36" s="127">
        <f t="shared" si="0"/>
        <v>0</v>
      </c>
      <c r="M36" s="127">
        <f t="shared" si="1"/>
        <v>0</v>
      </c>
      <c r="N36" s="128"/>
      <c r="O36" s="129">
        <f t="shared" si="2"/>
        <v>0</v>
      </c>
      <c r="P36" s="128"/>
      <c r="Q36" s="128"/>
      <c r="R36" s="128"/>
      <c r="S36" s="26">
        <f t="shared" si="3"/>
        <v>0</v>
      </c>
      <c r="T36" s="25" t="str">
        <f t="shared" si="4"/>
        <v>OK</v>
      </c>
      <c r="U36" s="138"/>
      <c r="V36" s="138"/>
      <c r="W36" s="138"/>
      <c r="X36" s="138"/>
      <c r="Y36" s="139"/>
      <c r="Z36" s="139"/>
      <c r="AA36" s="178"/>
      <c r="AB36" s="178"/>
      <c r="AC36" s="22"/>
      <c r="AD36" s="22"/>
      <c r="AE36" s="22"/>
      <c r="AF36" s="22"/>
      <c r="AG36" s="22"/>
      <c r="AH36" s="22"/>
    </row>
    <row r="37" spans="1:34" ht="30.25" customHeight="1" x14ac:dyDescent="0.35">
      <c r="A37" s="44">
        <v>34</v>
      </c>
      <c r="B37" s="44">
        <v>34</v>
      </c>
      <c r="C37" s="45" t="s">
        <v>150</v>
      </c>
      <c r="D37" s="46" t="s">
        <v>153</v>
      </c>
      <c r="E37" s="48" t="s">
        <v>154</v>
      </c>
      <c r="F37" s="50" t="s">
        <v>20</v>
      </c>
      <c r="G37" s="44" t="s">
        <v>147</v>
      </c>
      <c r="H37" s="44" t="s">
        <v>60</v>
      </c>
      <c r="I37" s="44">
        <v>44905212</v>
      </c>
      <c r="J37" s="47">
        <v>2560</v>
      </c>
      <c r="K37" s="27">
        <f>0</f>
        <v>0</v>
      </c>
      <c r="L37" s="127">
        <f t="shared" si="0"/>
        <v>0</v>
      </c>
      <c r="M37" s="127">
        <f t="shared" si="1"/>
        <v>0</v>
      </c>
      <c r="N37" s="128"/>
      <c r="O37" s="129">
        <f t="shared" si="2"/>
        <v>0</v>
      </c>
      <c r="P37" s="128"/>
      <c r="Q37" s="128"/>
      <c r="R37" s="128"/>
      <c r="S37" s="26">
        <f t="shared" si="3"/>
        <v>0</v>
      </c>
      <c r="T37" s="25" t="str">
        <f t="shared" si="4"/>
        <v>OK</v>
      </c>
      <c r="U37" s="138"/>
      <c r="V37" s="138"/>
      <c r="W37" s="138"/>
      <c r="X37" s="138"/>
      <c r="Y37" s="139"/>
      <c r="Z37" s="139"/>
      <c r="AA37" s="178"/>
      <c r="AB37" s="178"/>
      <c r="AC37" s="22"/>
      <c r="AD37" s="22"/>
      <c r="AE37" s="22"/>
      <c r="AF37" s="22"/>
      <c r="AG37" s="22"/>
      <c r="AH37" s="22"/>
    </row>
    <row r="38" spans="1:34" ht="30.25" customHeight="1" x14ac:dyDescent="0.35">
      <c r="A38" s="198" t="s">
        <v>155</v>
      </c>
      <c r="B38" s="37">
        <v>35</v>
      </c>
      <c r="C38" s="195" t="s">
        <v>33</v>
      </c>
      <c r="D38" s="34" t="s">
        <v>27</v>
      </c>
      <c r="E38" s="41" t="s">
        <v>8</v>
      </c>
      <c r="F38" s="42" t="s">
        <v>28</v>
      </c>
      <c r="G38" s="37" t="s">
        <v>29</v>
      </c>
      <c r="H38" s="37" t="s">
        <v>8</v>
      </c>
      <c r="I38" s="37" t="s">
        <v>9</v>
      </c>
      <c r="J38" s="36">
        <v>150.13999999999999</v>
      </c>
      <c r="K38" s="27">
        <f>0</f>
        <v>0</v>
      </c>
      <c r="L38" s="127">
        <f t="shared" si="0"/>
        <v>0</v>
      </c>
      <c r="M38" s="127">
        <f t="shared" si="1"/>
        <v>0</v>
      </c>
      <c r="N38" s="128"/>
      <c r="O38" s="129">
        <f t="shared" si="2"/>
        <v>0</v>
      </c>
      <c r="P38" s="128"/>
      <c r="Q38" s="128"/>
      <c r="R38" s="128"/>
      <c r="S38" s="26">
        <f t="shared" si="3"/>
        <v>0</v>
      </c>
      <c r="T38" s="25" t="str">
        <f t="shared" si="4"/>
        <v>OK</v>
      </c>
      <c r="U38" s="138"/>
      <c r="V38" s="138"/>
      <c r="W38" s="138"/>
      <c r="X38" s="138"/>
      <c r="Y38" s="139"/>
      <c r="Z38" s="139"/>
      <c r="AA38" s="178"/>
      <c r="AB38" s="178"/>
      <c r="AC38" s="22"/>
      <c r="AD38" s="22"/>
      <c r="AE38" s="22"/>
      <c r="AF38" s="22"/>
      <c r="AG38" s="22"/>
      <c r="AH38" s="22"/>
    </row>
    <row r="39" spans="1:34" ht="30.25" customHeight="1" x14ac:dyDescent="0.35">
      <c r="A39" s="199"/>
      <c r="B39" s="84">
        <v>36</v>
      </c>
      <c r="C39" s="196"/>
      <c r="D39" s="34" t="s">
        <v>7</v>
      </c>
      <c r="E39" s="41" t="s">
        <v>8</v>
      </c>
      <c r="F39" s="43" t="s">
        <v>28</v>
      </c>
      <c r="G39" s="37" t="s">
        <v>29</v>
      </c>
      <c r="H39" s="37" t="s">
        <v>8</v>
      </c>
      <c r="I39" s="37" t="s">
        <v>9</v>
      </c>
      <c r="J39" s="36">
        <v>1076</v>
      </c>
      <c r="K39" s="27">
        <f>13</f>
        <v>13</v>
      </c>
      <c r="L39" s="127">
        <f t="shared" si="0"/>
        <v>5</v>
      </c>
      <c r="M39" s="127">
        <f t="shared" si="1"/>
        <v>5</v>
      </c>
      <c r="N39" s="128"/>
      <c r="O39" s="129">
        <f t="shared" si="2"/>
        <v>3</v>
      </c>
      <c r="P39" s="128"/>
      <c r="Q39" s="128"/>
      <c r="R39" s="128"/>
      <c r="S39" s="26">
        <f t="shared" si="3"/>
        <v>8</v>
      </c>
      <c r="T39" s="25" t="str">
        <f t="shared" si="4"/>
        <v>OK</v>
      </c>
      <c r="U39" s="138"/>
      <c r="V39" s="138"/>
      <c r="W39" s="138"/>
      <c r="X39" s="138"/>
      <c r="Y39" s="139"/>
      <c r="Z39" s="141">
        <v>5</v>
      </c>
      <c r="AA39" s="178"/>
      <c r="AB39" s="178"/>
      <c r="AC39" s="22"/>
      <c r="AD39" s="22"/>
      <c r="AE39" s="22"/>
      <c r="AF39" s="22"/>
      <c r="AG39" s="22"/>
      <c r="AH39" s="22"/>
    </row>
    <row r="40" spans="1:34" ht="30.25" customHeight="1" x14ac:dyDescent="0.35">
      <c r="A40" s="199"/>
      <c r="B40" s="37">
        <v>37</v>
      </c>
      <c r="C40" s="196"/>
      <c r="D40" s="34" t="s">
        <v>156</v>
      </c>
      <c r="E40" s="41" t="s">
        <v>8</v>
      </c>
      <c r="F40" s="43" t="s">
        <v>28</v>
      </c>
      <c r="G40" s="37" t="s">
        <v>29</v>
      </c>
      <c r="H40" s="37" t="s">
        <v>34</v>
      </c>
      <c r="I40" s="37" t="s">
        <v>9</v>
      </c>
      <c r="J40" s="36">
        <v>75</v>
      </c>
      <c r="K40" s="27">
        <f>20</f>
        <v>20</v>
      </c>
      <c r="L40" s="127">
        <f t="shared" si="0"/>
        <v>15</v>
      </c>
      <c r="M40" s="127">
        <f t="shared" si="1"/>
        <v>15</v>
      </c>
      <c r="N40" s="128"/>
      <c r="O40" s="129">
        <f t="shared" si="2"/>
        <v>5</v>
      </c>
      <c r="P40" s="128"/>
      <c r="Q40" s="128"/>
      <c r="R40" s="128"/>
      <c r="S40" s="26">
        <f t="shared" si="3"/>
        <v>5</v>
      </c>
      <c r="T40" s="25" t="str">
        <f t="shared" si="4"/>
        <v>OK</v>
      </c>
      <c r="U40" s="138"/>
      <c r="V40" s="138"/>
      <c r="W40" s="138"/>
      <c r="X40" s="138"/>
      <c r="Y40" s="139"/>
      <c r="Z40" s="141">
        <v>15</v>
      </c>
      <c r="AA40" s="178"/>
      <c r="AB40" s="178"/>
      <c r="AC40" s="22"/>
      <c r="AD40" s="22"/>
      <c r="AE40" s="22"/>
      <c r="AF40" s="22"/>
      <c r="AG40" s="22"/>
      <c r="AH40" s="22"/>
    </row>
    <row r="41" spans="1:34" ht="30.25" customHeight="1" x14ac:dyDescent="0.35">
      <c r="A41" s="199"/>
      <c r="B41" s="37">
        <v>38</v>
      </c>
      <c r="C41" s="196"/>
      <c r="D41" s="34" t="s">
        <v>11</v>
      </c>
      <c r="E41" s="41" t="s">
        <v>8</v>
      </c>
      <c r="F41" s="43" t="s">
        <v>28</v>
      </c>
      <c r="G41" s="37" t="s">
        <v>29</v>
      </c>
      <c r="H41" s="37" t="s">
        <v>8</v>
      </c>
      <c r="I41" s="37" t="s">
        <v>9</v>
      </c>
      <c r="J41" s="36">
        <v>1400</v>
      </c>
      <c r="K41" s="27">
        <f>6</f>
        <v>6</v>
      </c>
      <c r="L41" s="127">
        <f t="shared" si="0"/>
        <v>0</v>
      </c>
      <c r="M41" s="127">
        <f t="shared" si="1"/>
        <v>0</v>
      </c>
      <c r="N41" s="128"/>
      <c r="O41" s="129">
        <f t="shared" si="2"/>
        <v>1</v>
      </c>
      <c r="P41" s="128"/>
      <c r="Q41" s="128"/>
      <c r="R41" s="128"/>
      <c r="S41" s="26">
        <f t="shared" si="3"/>
        <v>6</v>
      </c>
      <c r="T41" s="25" t="str">
        <f t="shared" si="4"/>
        <v>OK</v>
      </c>
      <c r="U41" s="138"/>
      <c r="V41" s="138"/>
      <c r="W41" s="138"/>
      <c r="X41" s="138"/>
      <c r="Y41" s="139"/>
      <c r="Z41" s="139"/>
      <c r="AA41" s="178"/>
      <c r="AB41" s="178"/>
      <c r="AC41" s="22"/>
      <c r="AD41" s="22"/>
      <c r="AE41" s="22"/>
      <c r="AF41" s="22"/>
      <c r="AG41" s="22"/>
      <c r="AH41" s="22"/>
    </row>
    <row r="42" spans="1:34" ht="30.25" customHeight="1" x14ac:dyDescent="0.35">
      <c r="A42" s="199"/>
      <c r="B42" s="37">
        <v>39</v>
      </c>
      <c r="C42" s="196"/>
      <c r="D42" s="34" t="s">
        <v>12</v>
      </c>
      <c r="E42" s="41" t="s">
        <v>8</v>
      </c>
      <c r="F42" s="43" t="s">
        <v>28</v>
      </c>
      <c r="G42" s="37" t="s">
        <v>29</v>
      </c>
      <c r="H42" s="37" t="s">
        <v>34</v>
      </c>
      <c r="I42" s="37" t="s">
        <v>9</v>
      </c>
      <c r="J42" s="36">
        <v>75.5</v>
      </c>
      <c r="K42" s="27">
        <f>30</f>
        <v>30</v>
      </c>
      <c r="L42" s="127">
        <f t="shared" si="0"/>
        <v>0</v>
      </c>
      <c r="M42" s="127">
        <f t="shared" si="1"/>
        <v>0</v>
      </c>
      <c r="N42" s="128"/>
      <c r="O42" s="129">
        <f t="shared" si="2"/>
        <v>7</v>
      </c>
      <c r="P42" s="128"/>
      <c r="Q42" s="128"/>
      <c r="R42" s="128"/>
      <c r="S42" s="26">
        <f t="shared" si="3"/>
        <v>30</v>
      </c>
      <c r="T42" s="25" t="str">
        <f t="shared" si="4"/>
        <v>OK</v>
      </c>
      <c r="U42" s="138"/>
      <c r="V42" s="138"/>
      <c r="W42" s="138"/>
      <c r="X42" s="138"/>
      <c r="Y42" s="139"/>
      <c r="Z42" s="139"/>
      <c r="AA42" s="178"/>
      <c r="AB42" s="178"/>
      <c r="AC42" s="22"/>
      <c r="AD42" s="22"/>
      <c r="AE42" s="22"/>
      <c r="AF42" s="22"/>
      <c r="AG42" s="22"/>
      <c r="AH42" s="22"/>
    </row>
    <row r="43" spans="1:34" ht="30.25" customHeight="1" x14ac:dyDescent="0.35">
      <c r="A43" s="199"/>
      <c r="B43" s="37">
        <v>40</v>
      </c>
      <c r="C43" s="196"/>
      <c r="D43" s="34" t="s">
        <v>10</v>
      </c>
      <c r="E43" s="41" t="s">
        <v>8</v>
      </c>
      <c r="F43" s="43" t="s">
        <v>28</v>
      </c>
      <c r="G43" s="37" t="s">
        <v>29</v>
      </c>
      <c r="H43" s="37" t="s">
        <v>8</v>
      </c>
      <c r="I43" s="37" t="s">
        <v>9</v>
      </c>
      <c r="J43" s="36">
        <v>1600</v>
      </c>
      <c r="K43" s="27">
        <f>7</f>
        <v>7</v>
      </c>
      <c r="L43" s="127">
        <f t="shared" si="0"/>
        <v>3</v>
      </c>
      <c r="M43" s="127">
        <f t="shared" si="1"/>
        <v>3</v>
      </c>
      <c r="N43" s="128"/>
      <c r="O43" s="129">
        <f t="shared" si="2"/>
        <v>1</v>
      </c>
      <c r="P43" s="128"/>
      <c r="Q43" s="128"/>
      <c r="R43" s="128"/>
      <c r="S43" s="26">
        <f t="shared" si="3"/>
        <v>4</v>
      </c>
      <c r="T43" s="25" t="str">
        <f t="shared" si="4"/>
        <v>OK</v>
      </c>
      <c r="U43" s="138"/>
      <c r="V43" s="138"/>
      <c r="W43" s="138"/>
      <c r="X43" s="138"/>
      <c r="Y43" s="139"/>
      <c r="Z43" s="141">
        <v>1</v>
      </c>
      <c r="AA43" s="178"/>
      <c r="AB43" s="178">
        <v>2</v>
      </c>
      <c r="AC43" s="22"/>
      <c r="AD43" s="22"/>
      <c r="AE43" s="22"/>
      <c r="AF43" s="22"/>
      <c r="AG43" s="22"/>
      <c r="AH43" s="22"/>
    </row>
    <row r="44" spans="1:34" ht="30.25" customHeight="1" x14ac:dyDescent="0.35">
      <c r="A44" s="199"/>
      <c r="B44" s="37">
        <v>41</v>
      </c>
      <c r="C44" s="196"/>
      <c r="D44" s="34" t="s">
        <v>13</v>
      </c>
      <c r="E44" s="41" t="s">
        <v>8</v>
      </c>
      <c r="F44" s="43" t="s">
        <v>28</v>
      </c>
      <c r="G44" s="37" t="s">
        <v>29</v>
      </c>
      <c r="H44" s="37" t="s">
        <v>34</v>
      </c>
      <c r="I44" s="37" t="s">
        <v>9</v>
      </c>
      <c r="J44" s="36">
        <v>75</v>
      </c>
      <c r="K44" s="27">
        <f>20</f>
        <v>20</v>
      </c>
      <c r="L44" s="127">
        <f t="shared" si="0"/>
        <v>0</v>
      </c>
      <c r="M44" s="127">
        <f t="shared" si="1"/>
        <v>0</v>
      </c>
      <c r="N44" s="128"/>
      <c r="O44" s="129">
        <f t="shared" si="2"/>
        <v>5</v>
      </c>
      <c r="P44" s="128"/>
      <c r="Q44" s="128"/>
      <c r="R44" s="128"/>
      <c r="S44" s="26">
        <f t="shared" si="3"/>
        <v>20</v>
      </c>
      <c r="T44" s="25" t="str">
        <f t="shared" si="4"/>
        <v>OK</v>
      </c>
      <c r="U44" s="138"/>
      <c r="V44" s="138"/>
      <c r="W44" s="138"/>
      <c r="X44" s="138"/>
      <c r="Y44" s="139"/>
      <c r="Z44" s="139"/>
      <c r="AA44" s="178"/>
      <c r="AB44" s="178"/>
      <c r="AC44" s="22"/>
      <c r="AD44" s="22"/>
      <c r="AE44" s="22"/>
      <c r="AF44" s="22"/>
      <c r="AG44" s="22"/>
      <c r="AH44" s="22"/>
    </row>
    <row r="45" spans="1:34" ht="30.25" customHeight="1" x14ac:dyDescent="0.35">
      <c r="A45" s="199"/>
      <c r="B45" s="84">
        <v>42</v>
      </c>
      <c r="C45" s="196"/>
      <c r="D45" s="34" t="s">
        <v>157</v>
      </c>
      <c r="E45" s="41" t="s">
        <v>8</v>
      </c>
      <c r="F45" s="43" t="s">
        <v>28</v>
      </c>
      <c r="G45" s="37" t="s">
        <v>29</v>
      </c>
      <c r="H45" s="37" t="s">
        <v>8</v>
      </c>
      <c r="I45" s="37" t="s">
        <v>9</v>
      </c>
      <c r="J45" s="36">
        <v>350</v>
      </c>
      <c r="K45" s="27">
        <f>24</f>
        <v>24</v>
      </c>
      <c r="L45" s="127">
        <f t="shared" si="0"/>
        <v>8</v>
      </c>
      <c r="M45" s="127">
        <f t="shared" si="1"/>
        <v>8</v>
      </c>
      <c r="N45" s="128"/>
      <c r="O45" s="129">
        <f t="shared" si="2"/>
        <v>6</v>
      </c>
      <c r="P45" s="128"/>
      <c r="Q45" s="128"/>
      <c r="R45" s="128"/>
      <c r="S45" s="26">
        <f t="shared" si="3"/>
        <v>16</v>
      </c>
      <c r="T45" s="25" t="str">
        <f t="shared" si="4"/>
        <v>OK</v>
      </c>
      <c r="U45" s="138"/>
      <c r="V45" s="138"/>
      <c r="W45" s="138"/>
      <c r="X45" s="138"/>
      <c r="Y45" s="139"/>
      <c r="Z45" s="141">
        <v>6</v>
      </c>
      <c r="AA45" s="178"/>
      <c r="AB45" s="178">
        <v>2</v>
      </c>
      <c r="AC45" s="22"/>
      <c r="AD45" s="22"/>
      <c r="AE45" s="22"/>
      <c r="AF45" s="22"/>
      <c r="AG45" s="22"/>
      <c r="AH45" s="22"/>
    </row>
    <row r="46" spans="1:34" ht="30.25" customHeight="1" x14ac:dyDescent="0.35">
      <c r="A46" s="199"/>
      <c r="B46" s="37">
        <v>43</v>
      </c>
      <c r="C46" s="196"/>
      <c r="D46" s="34" t="s">
        <v>30</v>
      </c>
      <c r="E46" s="41" t="s">
        <v>8</v>
      </c>
      <c r="F46" s="43" t="s">
        <v>28</v>
      </c>
      <c r="G46" s="37" t="s">
        <v>29</v>
      </c>
      <c r="H46" s="37" t="s">
        <v>8</v>
      </c>
      <c r="I46" s="37" t="s">
        <v>9</v>
      </c>
      <c r="J46" s="36">
        <v>100.25</v>
      </c>
      <c r="K46" s="27">
        <f>6</f>
        <v>6</v>
      </c>
      <c r="L46" s="127">
        <f t="shared" si="0"/>
        <v>0</v>
      </c>
      <c r="M46" s="127">
        <f t="shared" si="1"/>
        <v>0</v>
      </c>
      <c r="N46" s="128"/>
      <c r="O46" s="129">
        <f t="shared" si="2"/>
        <v>1</v>
      </c>
      <c r="P46" s="128"/>
      <c r="Q46" s="128"/>
      <c r="R46" s="128"/>
      <c r="S46" s="26">
        <f t="shared" si="3"/>
        <v>6</v>
      </c>
      <c r="T46" s="25" t="str">
        <f t="shared" si="4"/>
        <v>OK</v>
      </c>
      <c r="U46" s="138"/>
      <c r="V46" s="138"/>
      <c r="W46" s="138"/>
      <c r="X46" s="138"/>
      <c r="Y46" s="139"/>
      <c r="Z46" s="139"/>
      <c r="AA46" s="178"/>
      <c r="AB46" s="178"/>
      <c r="AC46" s="22"/>
      <c r="AD46" s="22"/>
      <c r="AE46" s="22"/>
      <c r="AF46" s="22"/>
      <c r="AG46" s="22"/>
      <c r="AH46" s="22"/>
    </row>
    <row r="47" spans="1:34" ht="30.25" customHeight="1" x14ac:dyDescent="0.35">
      <c r="A47" s="199"/>
      <c r="B47" s="37">
        <v>44</v>
      </c>
      <c r="C47" s="196"/>
      <c r="D47" s="34" t="s">
        <v>158</v>
      </c>
      <c r="E47" s="41" t="s">
        <v>8</v>
      </c>
      <c r="F47" s="42" t="s">
        <v>28</v>
      </c>
      <c r="G47" s="37" t="s">
        <v>159</v>
      </c>
      <c r="H47" s="37" t="s">
        <v>8</v>
      </c>
      <c r="I47" s="37" t="s">
        <v>9</v>
      </c>
      <c r="J47" s="36">
        <v>1424</v>
      </c>
      <c r="K47" s="27">
        <f>2</f>
        <v>2</v>
      </c>
      <c r="L47" s="127">
        <f t="shared" si="0"/>
        <v>0</v>
      </c>
      <c r="M47" s="127">
        <f t="shared" si="1"/>
        <v>0</v>
      </c>
      <c r="N47" s="128"/>
      <c r="O47" s="129">
        <f t="shared" si="2"/>
        <v>0</v>
      </c>
      <c r="P47" s="128"/>
      <c r="Q47" s="128"/>
      <c r="R47" s="128"/>
      <c r="S47" s="26">
        <f t="shared" si="3"/>
        <v>2</v>
      </c>
      <c r="T47" s="25" t="str">
        <f t="shared" si="4"/>
        <v>OK</v>
      </c>
      <c r="U47" s="138"/>
      <c r="V47" s="138"/>
      <c r="W47" s="138"/>
      <c r="X47" s="138"/>
      <c r="Y47" s="139"/>
      <c r="Z47" s="139"/>
      <c r="AA47" s="178"/>
      <c r="AB47" s="178"/>
      <c r="AC47" s="22"/>
      <c r="AD47" s="22"/>
      <c r="AE47" s="22"/>
      <c r="AF47" s="22"/>
      <c r="AG47" s="22"/>
      <c r="AH47" s="22"/>
    </row>
    <row r="48" spans="1:34" ht="30.25" customHeight="1" x14ac:dyDescent="0.35">
      <c r="A48" s="200"/>
      <c r="B48" s="37">
        <v>45</v>
      </c>
      <c r="C48" s="197"/>
      <c r="D48" s="34" t="s">
        <v>160</v>
      </c>
      <c r="E48" s="41" t="s">
        <v>8</v>
      </c>
      <c r="F48" s="43" t="s">
        <v>28</v>
      </c>
      <c r="G48" s="37" t="s">
        <v>29</v>
      </c>
      <c r="H48" s="37" t="s">
        <v>8</v>
      </c>
      <c r="I48" s="37" t="s">
        <v>9</v>
      </c>
      <c r="J48" s="36">
        <v>2503.0100000000002</v>
      </c>
      <c r="K48" s="27">
        <f>2</f>
        <v>2</v>
      </c>
      <c r="L48" s="127">
        <f t="shared" si="0"/>
        <v>0</v>
      </c>
      <c r="M48" s="127">
        <f t="shared" si="1"/>
        <v>0</v>
      </c>
      <c r="N48" s="128">
        <v>-1</v>
      </c>
      <c r="O48" s="129">
        <f t="shared" si="2"/>
        <v>0</v>
      </c>
      <c r="P48" s="128"/>
      <c r="Q48" s="128"/>
      <c r="R48" s="128"/>
      <c r="S48" s="26">
        <f t="shared" si="3"/>
        <v>1</v>
      </c>
      <c r="T48" s="25" t="str">
        <f t="shared" si="4"/>
        <v>OK</v>
      </c>
      <c r="U48" s="138"/>
      <c r="V48" s="138"/>
      <c r="W48" s="138"/>
      <c r="X48" s="138"/>
      <c r="Y48" s="139"/>
      <c r="Z48" s="139"/>
      <c r="AA48" s="178"/>
      <c r="AB48" s="178"/>
      <c r="AC48" s="22"/>
      <c r="AD48" s="22"/>
      <c r="AE48" s="22"/>
      <c r="AF48" s="22"/>
      <c r="AG48" s="22"/>
      <c r="AH48" s="22"/>
    </row>
    <row r="49" spans="1:34" ht="30.25" customHeight="1" x14ac:dyDescent="0.35">
      <c r="A49" s="208" t="s">
        <v>161</v>
      </c>
      <c r="B49" s="44">
        <v>46</v>
      </c>
      <c r="C49" s="205" t="s">
        <v>33</v>
      </c>
      <c r="D49" s="46" t="s">
        <v>27</v>
      </c>
      <c r="E49" s="48" t="s">
        <v>8</v>
      </c>
      <c r="F49" s="50" t="s">
        <v>28</v>
      </c>
      <c r="G49" s="44" t="s">
        <v>29</v>
      </c>
      <c r="H49" s="44" t="s">
        <v>8</v>
      </c>
      <c r="I49" s="44" t="s">
        <v>9</v>
      </c>
      <c r="J49" s="47">
        <v>80</v>
      </c>
      <c r="K49" s="27">
        <f>0</f>
        <v>0</v>
      </c>
      <c r="L49" s="127">
        <f t="shared" si="0"/>
        <v>0</v>
      </c>
      <c r="M49" s="127">
        <f t="shared" si="1"/>
        <v>0</v>
      </c>
      <c r="N49" s="128"/>
      <c r="O49" s="129">
        <f t="shared" si="2"/>
        <v>0</v>
      </c>
      <c r="P49" s="128"/>
      <c r="Q49" s="128"/>
      <c r="R49" s="128"/>
      <c r="S49" s="26">
        <f t="shared" si="3"/>
        <v>0</v>
      </c>
      <c r="T49" s="25" t="str">
        <f t="shared" si="4"/>
        <v>OK</v>
      </c>
      <c r="U49" s="138"/>
      <c r="V49" s="138"/>
      <c r="W49" s="138"/>
      <c r="X49" s="138"/>
      <c r="Y49" s="139"/>
      <c r="Z49" s="139"/>
      <c r="AA49" s="178"/>
      <c r="AB49" s="178"/>
      <c r="AC49" s="22"/>
      <c r="AD49" s="22"/>
      <c r="AE49" s="22"/>
      <c r="AF49" s="22"/>
      <c r="AG49" s="22"/>
      <c r="AH49" s="22"/>
    </row>
    <row r="50" spans="1:34" ht="30.25" customHeight="1" x14ac:dyDescent="0.35">
      <c r="A50" s="209"/>
      <c r="B50" s="44">
        <v>47</v>
      </c>
      <c r="C50" s="206"/>
      <c r="D50" s="46" t="s">
        <v>7</v>
      </c>
      <c r="E50" s="48" t="s">
        <v>8</v>
      </c>
      <c r="F50" s="50" t="s">
        <v>28</v>
      </c>
      <c r="G50" s="44" t="s">
        <v>29</v>
      </c>
      <c r="H50" s="44" t="s">
        <v>8</v>
      </c>
      <c r="I50" s="44" t="s">
        <v>9</v>
      </c>
      <c r="J50" s="47">
        <v>550</v>
      </c>
      <c r="K50" s="27">
        <f>0</f>
        <v>0</v>
      </c>
      <c r="L50" s="127">
        <f t="shared" si="0"/>
        <v>0</v>
      </c>
      <c r="M50" s="127">
        <f t="shared" si="1"/>
        <v>0</v>
      </c>
      <c r="N50" s="128"/>
      <c r="O50" s="129">
        <f t="shared" si="2"/>
        <v>0</v>
      </c>
      <c r="P50" s="128"/>
      <c r="Q50" s="128"/>
      <c r="R50" s="128"/>
      <c r="S50" s="26">
        <f t="shared" si="3"/>
        <v>0</v>
      </c>
      <c r="T50" s="25" t="str">
        <f t="shared" si="4"/>
        <v>OK</v>
      </c>
      <c r="U50" s="138"/>
      <c r="V50" s="138"/>
      <c r="W50" s="138"/>
      <c r="X50" s="138"/>
      <c r="Y50" s="139"/>
      <c r="Z50" s="139"/>
      <c r="AA50" s="178"/>
      <c r="AB50" s="178"/>
      <c r="AC50" s="22"/>
      <c r="AD50" s="22"/>
      <c r="AE50" s="22"/>
      <c r="AF50" s="22"/>
      <c r="AG50" s="22"/>
      <c r="AH50" s="22"/>
    </row>
    <row r="51" spans="1:34" ht="30.25" customHeight="1" x14ac:dyDescent="0.35">
      <c r="A51" s="209"/>
      <c r="B51" s="44">
        <v>48</v>
      </c>
      <c r="C51" s="206"/>
      <c r="D51" s="46" t="s">
        <v>10</v>
      </c>
      <c r="E51" s="48" t="s">
        <v>8</v>
      </c>
      <c r="F51" s="50" t="s">
        <v>28</v>
      </c>
      <c r="G51" s="44" t="s">
        <v>29</v>
      </c>
      <c r="H51" s="44" t="s">
        <v>8</v>
      </c>
      <c r="I51" s="44" t="s">
        <v>9</v>
      </c>
      <c r="J51" s="47">
        <v>850</v>
      </c>
      <c r="K51" s="27">
        <f>0</f>
        <v>0</v>
      </c>
      <c r="L51" s="127">
        <f t="shared" si="0"/>
        <v>0</v>
      </c>
      <c r="M51" s="127">
        <f t="shared" si="1"/>
        <v>0</v>
      </c>
      <c r="N51" s="128"/>
      <c r="O51" s="129">
        <f t="shared" si="2"/>
        <v>0</v>
      </c>
      <c r="P51" s="128"/>
      <c r="Q51" s="128"/>
      <c r="R51" s="128"/>
      <c r="S51" s="26">
        <f t="shared" si="3"/>
        <v>0</v>
      </c>
      <c r="T51" s="25" t="str">
        <f t="shared" si="4"/>
        <v>OK</v>
      </c>
      <c r="U51" s="138"/>
      <c r="V51" s="138"/>
      <c r="W51" s="138"/>
      <c r="X51" s="138"/>
      <c r="Y51" s="139"/>
      <c r="Z51" s="139"/>
      <c r="AA51" s="178"/>
      <c r="AB51" s="178"/>
      <c r="AC51" s="22"/>
      <c r="AD51" s="22"/>
      <c r="AE51" s="22"/>
      <c r="AF51" s="22"/>
      <c r="AG51" s="22"/>
      <c r="AH51" s="22"/>
    </row>
    <row r="52" spans="1:34" ht="30.25" customHeight="1" x14ac:dyDescent="0.35">
      <c r="A52" s="209"/>
      <c r="B52" s="44">
        <v>49</v>
      </c>
      <c r="C52" s="206"/>
      <c r="D52" s="46" t="s">
        <v>11</v>
      </c>
      <c r="E52" s="48" t="s">
        <v>8</v>
      </c>
      <c r="F52" s="50" t="s">
        <v>28</v>
      </c>
      <c r="G52" s="44" t="s">
        <v>29</v>
      </c>
      <c r="H52" s="44" t="s">
        <v>8</v>
      </c>
      <c r="I52" s="44" t="s">
        <v>9</v>
      </c>
      <c r="J52" s="47">
        <v>800</v>
      </c>
      <c r="K52" s="27">
        <f>0</f>
        <v>0</v>
      </c>
      <c r="L52" s="127">
        <f t="shared" si="0"/>
        <v>0</v>
      </c>
      <c r="M52" s="127">
        <f t="shared" si="1"/>
        <v>0</v>
      </c>
      <c r="N52" s="128"/>
      <c r="O52" s="129">
        <f t="shared" si="2"/>
        <v>0</v>
      </c>
      <c r="P52" s="128"/>
      <c r="Q52" s="128"/>
      <c r="R52" s="128"/>
      <c r="S52" s="26">
        <f t="shared" si="3"/>
        <v>0</v>
      </c>
      <c r="T52" s="25" t="str">
        <f t="shared" si="4"/>
        <v>OK</v>
      </c>
      <c r="U52" s="138"/>
      <c r="V52" s="138"/>
      <c r="W52" s="138"/>
      <c r="X52" s="138"/>
      <c r="Y52" s="139"/>
      <c r="Z52" s="139"/>
      <c r="AA52" s="178"/>
      <c r="AB52" s="178"/>
      <c r="AC52" s="22"/>
      <c r="AD52" s="22"/>
      <c r="AE52" s="22"/>
      <c r="AF52" s="22"/>
      <c r="AG52" s="22"/>
      <c r="AH52" s="22"/>
    </row>
    <row r="53" spans="1:34" ht="30.25" customHeight="1" x14ac:dyDescent="0.35">
      <c r="A53" s="209"/>
      <c r="B53" s="44">
        <v>50</v>
      </c>
      <c r="C53" s="206"/>
      <c r="D53" s="46" t="s">
        <v>12</v>
      </c>
      <c r="E53" s="48" t="s">
        <v>8</v>
      </c>
      <c r="F53" s="50" t="s">
        <v>28</v>
      </c>
      <c r="G53" s="44" t="s">
        <v>29</v>
      </c>
      <c r="H53" s="44" t="s">
        <v>34</v>
      </c>
      <c r="I53" s="44" t="s">
        <v>9</v>
      </c>
      <c r="J53" s="47">
        <v>50</v>
      </c>
      <c r="K53" s="27">
        <f>0</f>
        <v>0</v>
      </c>
      <c r="L53" s="127">
        <f t="shared" si="0"/>
        <v>0</v>
      </c>
      <c r="M53" s="127">
        <f t="shared" si="1"/>
        <v>0</v>
      </c>
      <c r="N53" s="128"/>
      <c r="O53" s="129">
        <f t="shared" si="2"/>
        <v>0</v>
      </c>
      <c r="P53" s="128"/>
      <c r="Q53" s="128"/>
      <c r="R53" s="128"/>
      <c r="S53" s="26">
        <f t="shared" si="3"/>
        <v>0</v>
      </c>
      <c r="T53" s="25" t="str">
        <f t="shared" si="4"/>
        <v>OK</v>
      </c>
      <c r="U53" s="138"/>
      <c r="V53" s="138"/>
      <c r="W53" s="138"/>
      <c r="X53" s="138"/>
      <c r="Y53" s="139"/>
      <c r="Z53" s="139"/>
      <c r="AA53" s="178"/>
      <c r="AB53" s="178"/>
      <c r="AC53" s="22"/>
      <c r="AD53" s="22"/>
      <c r="AE53" s="22"/>
      <c r="AF53" s="22"/>
      <c r="AG53" s="22"/>
      <c r="AH53" s="22"/>
    </row>
    <row r="54" spans="1:34" ht="30.25" customHeight="1" x14ac:dyDescent="0.35">
      <c r="A54" s="209"/>
      <c r="B54" s="44">
        <v>51</v>
      </c>
      <c r="C54" s="206"/>
      <c r="D54" s="46" t="s">
        <v>156</v>
      </c>
      <c r="E54" s="48" t="s">
        <v>8</v>
      </c>
      <c r="F54" s="50" t="s">
        <v>28</v>
      </c>
      <c r="G54" s="44" t="s">
        <v>29</v>
      </c>
      <c r="H54" s="44" t="s">
        <v>34</v>
      </c>
      <c r="I54" s="44" t="s">
        <v>9</v>
      </c>
      <c r="J54" s="47">
        <v>50</v>
      </c>
      <c r="K54" s="27">
        <f>0</f>
        <v>0</v>
      </c>
      <c r="L54" s="127">
        <f t="shared" si="0"/>
        <v>0</v>
      </c>
      <c r="M54" s="127">
        <f t="shared" si="1"/>
        <v>0</v>
      </c>
      <c r="N54" s="128"/>
      <c r="O54" s="129">
        <f t="shared" si="2"/>
        <v>0</v>
      </c>
      <c r="P54" s="128"/>
      <c r="Q54" s="128"/>
      <c r="R54" s="128"/>
      <c r="S54" s="26">
        <f t="shared" si="3"/>
        <v>0</v>
      </c>
      <c r="T54" s="25" t="str">
        <f t="shared" si="4"/>
        <v>OK</v>
      </c>
      <c r="U54" s="138"/>
      <c r="V54" s="138"/>
      <c r="W54" s="138"/>
      <c r="X54" s="138"/>
      <c r="Y54" s="139"/>
      <c r="Z54" s="139"/>
      <c r="AA54" s="178"/>
      <c r="AB54" s="178"/>
      <c r="AC54" s="22"/>
      <c r="AD54" s="22"/>
      <c r="AE54" s="22"/>
      <c r="AF54" s="22"/>
      <c r="AG54" s="22"/>
      <c r="AH54" s="22"/>
    </row>
    <row r="55" spans="1:34" ht="30.25" customHeight="1" x14ac:dyDescent="0.35">
      <c r="A55" s="209"/>
      <c r="B55" s="44">
        <v>52</v>
      </c>
      <c r="C55" s="206"/>
      <c r="D55" s="46" t="s">
        <v>13</v>
      </c>
      <c r="E55" s="48" t="s">
        <v>8</v>
      </c>
      <c r="F55" s="50" t="s">
        <v>28</v>
      </c>
      <c r="G55" s="44" t="s">
        <v>29</v>
      </c>
      <c r="H55" s="44" t="s">
        <v>34</v>
      </c>
      <c r="I55" s="44" t="s">
        <v>9</v>
      </c>
      <c r="J55" s="47">
        <v>50</v>
      </c>
      <c r="K55" s="27">
        <f>0</f>
        <v>0</v>
      </c>
      <c r="L55" s="127">
        <f t="shared" si="0"/>
        <v>0</v>
      </c>
      <c r="M55" s="127">
        <f t="shared" si="1"/>
        <v>0</v>
      </c>
      <c r="N55" s="128"/>
      <c r="O55" s="129">
        <f t="shared" si="2"/>
        <v>0</v>
      </c>
      <c r="P55" s="128"/>
      <c r="Q55" s="128"/>
      <c r="R55" s="128"/>
      <c r="S55" s="26">
        <f t="shared" si="3"/>
        <v>0</v>
      </c>
      <c r="T55" s="25" t="str">
        <f t="shared" si="4"/>
        <v>OK</v>
      </c>
      <c r="U55" s="138"/>
      <c r="V55" s="138"/>
      <c r="W55" s="138"/>
      <c r="X55" s="138"/>
      <c r="Y55" s="139"/>
      <c r="Z55" s="139"/>
      <c r="AA55" s="178"/>
      <c r="AB55" s="178"/>
      <c r="AC55" s="22"/>
      <c r="AD55" s="22"/>
      <c r="AE55" s="22"/>
      <c r="AF55" s="22"/>
      <c r="AG55" s="22"/>
      <c r="AH55" s="22"/>
    </row>
    <row r="56" spans="1:34" ht="30.25" customHeight="1" x14ac:dyDescent="0.35">
      <c r="A56" s="209"/>
      <c r="B56" s="44">
        <v>53</v>
      </c>
      <c r="C56" s="206"/>
      <c r="D56" s="46" t="s">
        <v>157</v>
      </c>
      <c r="E56" s="48" t="s">
        <v>8</v>
      </c>
      <c r="F56" s="50" t="s">
        <v>28</v>
      </c>
      <c r="G56" s="44" t="s">
        <v>29</v>
      </c>
      <c r="H56" s="44" t="s">
        <v>8</v>
      </c>
      <c r="I56" s="44" t="s">
        <v>9</v>
      </c>
      <c r="J56" s="47">
        <v>50</v>
      </c>
      <c r="K56" s="27">
        <f>0</f>
        <v>0</v>
      </c>
      <c r="L56" s="127">
        <f t="shared" si="0"/>
        <v>0</v>
      </c>
      <c r="M56" s="127">
        <f t="shared" si="1"/>
        <v>0</v>
      </c>
      <c r="N56" s="128"/>
      <c r="O56" s="129">
        <f t="shared" si="2"/>
        <v>0</v>
      </c>
      <c r="P56" s="128"/>
      <c r="Q56" s="128"/>
      <c r="R56" s="128"/>
      <c r="S56" s="26">
        <f t="shared" si="3"/>
        <v>0</v>
      </c>
      <c r="T56" s="25" t="str">
        <f t="shared" si="4"/>
        <v>OK</v>
      </c>
      <c r="U56" s="138"/>
      <c r="V56" s="138"/>
      <c r="W56" s="138"/>
      <c r="X56" s="138"/>
      <c r="Y56" s="139"/>
      <c r="Z56" s="139"/>
      <c r="AA56" s="178"/>
      <c r="AB56" s="178"/>
      <c r="AC56" s="22"/>
      <c r="AD56" s="22"/>
      <c r="AE56" s="22"/>
      <c r="AF56" s="22"/>
      <c r="AG56" s="22"/>
      <c r="AH56" s="22"/>
    </row>
    <row r="57" spans="1:34" ht="30.25" customHeight="1" x14ac:dyDescent="0.35">
      <c r="A57" s="209"/>
      <c r="B57" s="44">
        <v>54</v>
      </c>
      <c r="C57" s="206"/>
      <c r="D57" s="46" t="s">
        <v>30</v>
      </c>
      <c r="E57" s="48" t="s">
        <v>8</v>
      </c>
      <c r="F57" s="50" t="s">
        <v>28</v>
      </c>
      <c r="G57" s="44" t="s">
        <v>29</v>
      </c>
      <c r="H57" s="44" t="s">
        <v>8</v>
      </c>
      <c r="I57" s="44" t="s">
        <v>9</v>
      </c>
      <c r="J57" s="47">
        <v>80</v>
      </c>
      <c r="K57" s="27">
        <f>0</f>
        <v>0</v>
      </c>
      <c r="L57" s="127">
        <f t="shared" si="0"/>
        <v>0</v>
      </c>
      <c r="M57" s="127">
        <f t="shared" si="1"/>
        <v>0</v>
      </c>
      <c r="N57" s="128"/>
      <c r="O57" s="129">
        <f t="shared" si="2"/>
        <v>0</v>
      </c>
      <c r="P57" s="128"/>
      <c r="Q57" s="128"/>
      <c r="R57" s="128"/>
      <c r="S57" s="26">
        <f t="shared" si="3"/>
        <v>0</v>
      </c>
      <c r="T57" s="25" t="str">
        <f t="shared" si="4"/>
        <v>OK</v>
      </c>
      <c r="U57" s="138"/>
      <c r="V57" s="138"/>
      <c r="W57" s="138"/>
      <c r="X57" s="138"/>
      <c r="Y57" s="139"/>
      <c r="Z57" s="139"/>
      <c r="AA57" s="178"/>
      <c r="AB57" s="178"/>
      <c r="AC57" s="22"/>
      <c r="AD57" s="22"/>
      <c r="AE57" s="22"/>
      <c r="AF57" s="22"/>
      <c r="AG57" s="22"/>
      <c r="AH57" s="22"/>
    </row>
    <row r="58" spans="1:34" ht="30.25" customHeight="1" x14ac:dyDescent="0.35">
      <c r="A58" s="209"/>
      <c r="B58" s="44">
        <v>55</v>
      </c>
      <c r="C58" s="206"/>
      <c r="D58" s="46" t="s">
        <v>162</v>
      </c>
      <c r="E58" s="48" t="s">
        <v>8</v>
      </c>
      <c r="F58" s="50" t="s">
        <v>28</v>
      </c>
      <c r="G58" s="44" t="s">
        <v>159</v>
      </c>
      <c r="H58" s="44" t="s">
        <v>8</v>
      </c>
      <c r="I58" s="44" t="s">
        <v>9</v>
      </c>
      <c r="J58" s="47">
        <v>1114</v>
      </c>
      <c r="K58" s="27">
        <f>0</f>
        <v>0</v>
      </c>
      <c r="L58" s="127">
        <f t="shared" si="0"/>
        <v>0</v>
      </c>
      <c r="M58" s="127">
        <f t="shared" si="1"/>
        <v>0</v>
      </c>
      <c r="N58" s="128"/>
      <c r="O58" s="129">
        <f t="shared" si="2"/>
        <v>0</v>
      </c>
      <c r="P58" s="128"/>
      <c r="Q58" s="128"/>
      <c r="R58" s="128"/>
      <c r="S58" s="26">
        <f t="shared" si="3"/>
        <v>0</v>
      </c>
      <c r="T58" s="25" t="str">
        <f t="shared" si="4"/>
        <v>OK</v>
      </c>
      <c r="U58" s="138"/>
      <c r="V58" s="138"/>
      <c r="W58" s="138"/>
      <c r="X58" s="138"/>
      <c r="Y58" s="139"/>
      <c r="Z58" s="139"/>
      <c r="AA58" s="178"/>
      <c r="AB58" s="178"/>
      <c r="AC58" s="22"/>
      <c r="AD58" s="22"/>
      <c r="AE58" s="22"/>
      <c r="AF58" s="22"/>
      <c r="AG58" s="22"/>
      <c r="AH58" s="22"/>
    </row>
    <row r="59" spans="1:34" ht="30.25" customHeight="1" x14ac:dyDescent="0.35">
      <c r="A59" s="210"/>
      <c r="B59" s="44">
        <v>56</v>
      </c>
      <c r="C59" s="207"/>
      <c r="D59" s="46" t="s">
        <v>160</v>
      </c>
      <c r="E59" s="48" t="s">
        <v>8</v>
      </c>
      <c r="F59" s="50" t="s">
        <v>28</v>
      </c>
      <c r="G59" s="44" t="s">
        <v>29</v>
      </c>
      <c r="H59" s="44" t="s">
        <v>8</v>
      </c>
      <c r="I59" s="44" t="s">
        <v>9</v>
      </c>
      <c r="J59" s="47">
        <v>2000</v>
      </c>
      <c r="K59" s="27">
        <f>0</f>
        <v>0</v>
      </c>
      <c r="L59" s="127">
        <f t="shared" si="0"/>
        <v>0</v>
      </c>
      <c r="M59" s="127">
        <f t="shared" si="1"/>
        <v>0</v>
      </c>
      <c r="N59" s="128"/>
      <c r="O59" s="129">
        <f t="shared" si="2"/>
        <v>0</v>
      </c>
      <c r="P59" s="128"/>
      <c r="Q59" s="128"/>
      <c r="R59" s="128"/>
      <c r="S59" s="26">
        <f t="shared" si="3"/>
        <v>0</v>
      </c>
      <c r="T59" s="25" t="str">
        <f t="shared" si="4"/>
        <v>OK</v>
      </c>
      <c r="U59" s="138"/>
      <c r="V59" s="138"/>
      <c r="W59" s="138"/>
      <c r="X59" s="138"/>
      <c r="Y59" s="139"/>
      <c r="Z59" s="139"/>
      <c r="AA59" s="178"/>
      <c r="AB59" s="178"/>
      <c r="AC59" s="22"/>
      <c r="AD59" s="22"/>
      <c r="AE59" s="22"/>
      <c r="AF59" s="22"/>
      <c r="AG59" s="22"/>
      <c r="AH59" s="22"/>
    </row>
    <row r="60" spans="1:34" ht="30.25" customHeight="1" x14ac:dyDescent="0.35">
      <c r="A60" s="198" t="s">
        <v>163</v>
      </c>
      <c r="B60" s="37">
        <v>57</v>
      </c>
      <c r="C60" s="195" t="s">
        <v>33</v>
      </c>
      <c r="D60" s="34" t="s">
        <v>27</v>
      </c>
      <c r="E60" s="41" t="s">
        <v>8</v>
      </c>
      <c r="F60" s="43" t="s">
        <v>28</v>
      </c>
      <c r="G60" s="37" t="s">
        <v>29</v>
      </c>
      <c r="H60" s="37" t="s">
        <v>8</v>
      </c>
      <c r="I60" s="37" t="s">
        <v>9</v>
      </c>
      <c r="J60" s="36">
        <v>250.5</v>
      </c>
      <c r="K60" s="27">
        <f>0</f>
        <v>0</v>
      </c>
      <c r="L60" s="127">
        <f t="shared" si="0"/>
        <v>0</v>
      </c>
      <c r="M60" s="127">
        <f t="shared" si="1"/>
        <v>0</v>
      </c>
      <c r="N60" s="128"/>
      <c r="O60" s="129">
        <f t="shared" si="2"/>
        <v>0</v>
      </c>
      <c r="P60" s="128"/>
      <c r="Q60" s="128"/>
      <c r="R60" s="128"/>
      <c r="S60" s="26">
        <f t="shared" si="3"/>
        <v>0</v>
      </c>
      <c r="T60" s="25" t="str">
        <f t="shared" si="4"/>
        <v>OK</v>
      </c>
      <c r="U60" s="138"/>
      <c r="V60" s="138"/>
      <c r="W60" s="138"/>
      <c r="X60" s="138"/>
      <c r="Y60" s="139"/>
      <c r="Z60" s="139"/>
      <c r="AA60" s="178"/>
      <c r="AB60" s="178"/>
      <c r="AC60" s="22"/>
      <c r="AD60" s="22"/>
      <c r="AE60" s="22"/>
      <c r="AF60" s="22"/>
      <c r="AG60" s="22"/>
      <c r="AH60" s="22"/>
    </row>
    <row r="61" spans="1:34" ht="30.25" customHeight="1" x14ac:dyDescent="0.35">
      <c r="A61" s="199"/>
      <c r="B61" s="37">
        <v>58</v>
      </c>
      <c r="C61" s="196"/>
      <c r="D61" s="34" t="s">
        <v>7</v>
      </c>
      <c r="E61" s="41" t="s">
        <v>8</v>
      </c>
      <c r="F61" s="43" t="s">
        <v>28</v>
      </c>
      <c r="G61" s="37" t="s">
        <v>29</v>
      </c>
      <c r="H61" s="37" t="s">
        <v>8</v>
      </c>
      <c r="I61" s="37" t="s">
        <v>9</v>
      </c>
      <c r="J61" s="36">
        <v>1000</v>
      </c>
      <c r="K61" s="27">
        <f>0</f>
        <v>0</v>
      </c>
      <c r="L61" s="127">
        <f t="shared" si="0"/>
        <v>0</v>
      </c>
      <c r="M61" s="127">
        <f t="shared" si="1"/>
        <v>0</v>
      </c>
      <c r="N61" s="128"/>
      <c r="O61" s="129">
        <f t="shared" si="2"/>
        <v>0</v>
      </c>
      <c r="P61" s="128"/>
      <c r="Q61" s="128"/>
      <c r="R61" s="128"/>
      <c r="S61" s="26">
        <f t="shared" si="3"/>
        <v>0</v>
      </c>
      <c r="T61" s="25" t="str">
        <f t="shared" si="4"/>
        <v>OK</v>
      </c>
      <c r="U61" s="138"/>
      <c r="V61" s="138"/>
      <c r="W61" s="138"/>
      <c r="X61" s="138"/>
      <c r="Y61" s="139"/>
      <c r="Z61" s="139"/>
      <c r="AA61" s="178"/>
      <c r="AB61" s="178"/>
      <c r="AC61" s="22"/>
      <c r="AD61" s="22"/>
      <c r="AE61" s="22"/>
      <c r="AF61" s="22"/>
      <c r="AG61" s="22"/>
      <c r="AH61" s="22"/>
    </row>
    <row r="62" spans="1:34" ht="30.25" customHeight="1" x14ac:dyDescent="0.35">
      <c r="A62" s="199"/>
      <c r="B62" s="37">
        <v>59</v>
      </c>
      <c r="C62" s="196"/>
      <c r="D62" s="34" t="s">
        <v>10</v>
      </c>
      <c r="E62" s="41" t="s">
        <v>8</v>
      </c>
      <c r="F62" s="43" t="s">
        <v>28</v>
      </c>
      <c r="G62" s="37" t="s">
        <v>29</v>
      </c>
      <c r="H62" s="37" t="s">
        <v>8</v>
      </c>
      <c r="I62" s="37" t="s">
        <v>9</v>
      </c>
      <c r="J62" s="36">
        <v>1500</v>
      </c>
      <c r="K62" s="27">
        <f>0</f>
        <v>0</v>
      </c>
      <c r="L62" s="127">
        <f t="shared" si="0"/>
        <v>0</v>
      </c>
      <c r="M62" s="127">
        <f t="shared" si="1"/>
        <v>0</v>
      </c>
      <c r="N62" s="128"/>
      <c r="O62" s="129">
        <f t="shared" si="2"/>
        <v>0</v>
      </c>
      <c r="P62" s="128"/>
      <c r="Q62" s="128"/>
      <c r="R62" s="128"/>
      <c r="S62" s="26">
        <f t="shared" si="3"/>
        <v>0</v>
      </c>
      <c r="T62" s="25" t="str">
        <f t="shared" si="4"/>
        <v>OK</v>
      </c>
      <c r="U62" s="138"/>
      <c r="V62" s="138"/>
      <c r="W62" s="138"/>
      <c r="X62" s="138"/>
      <c r="Y62" s="139"/>
      <c r="Z62" s="139"/>
      <c r="AA62" s="178"/>
      <c r="AB62" s="178"/>
      <c r="AC62" s="22"/>
      <c r="AD62" s="22"/>
      <c r="AE62" s="22"/>
      <c r="AF62" s="22"/>
      <c r="AG62" s="22"/>
      <c r="AH62" s="22"/>
    </row>
    <row r="63" spans="1:34" ht="30.25" customHeight="1" x14ac:dyDescent="0.35">
      <c r="A63" s="199"/>
      <c r="B63" s="37">
        <v>60</v>
      </c>
      <c r="C63" s="196"/>
      <c r="D63" s="34" t="s">
        <v>11</v>
      </c>
      <c r="E63" s="41" t="s">
        <v>8</v>
      </c>
      <c r="F63" s="43" t="s">
        <v>28</v>
      </c>
      <c r="G63" s="37" t="s">
        <v>29</v>
      </c>
      <c r="H63" s="37" t="s">
        <v>8</v>
      </c>
      <c r="I63" s="37" t="s">
        <v>9</v>
      </c>
      <c r="J63" s="36">
        <v>1731</v>
      </c>
      <c r="K63" s="27">
        <f>0</f>
        <v>0</v>
      </c>
      <c r="L63" s="127">
        <f t="shared" si="0"/>
        <v>0</v>
      </c>
      <c r="M63" s="127">
        <f t="shared" si="1"/>
        <v>0</v>
      </c>
      <c r="N63" s="128"/>
      <c r="O63" s="129">
        <f t="shared" si="2"/>
        <v>0</v>
      </c>
      <c r="P63" s="128"/>
      <c r="Q63" s="128"/>
      <c r="R63" s="128"/>
      <c r="S63" s="26">
        <f t="shared" si="3"/>
        <v>0</v>
      </c>
      <c r="T63" s="25" t="str">
        <f t="shared" si="4"/>
        <v>OK</v>
      </c>
      <c r="U63" s="138"/>
      <c r="V63" s="138"/>
      <c r="W63" s="138"/>
      <c r="X63" s="138"/>
      <c r="Y63" s="139"/>
      <c r="Z63" s="139"/>
      <c r="AA63" s="178"/>
      <c r="AB63" s="178"/>
      <c r="AC63" s="22"/>
      <c r="AD63" s="22"/>
      <c r="AE63" s="22"/>
      <c r="AF63" s="22"/>
      <c r="AG63" s="22"/>
      <c r="AH63" s="22"/>
    </row>
    <row r="64" spans="1:34" ht="30.25" customHeight="1" x14ac:dyDescent="0.35">
      <c r="A64" s="199"/>
      <c r="B64" s="37">
        <v>61</v>
      </c>
      <c r="C64" s="196"/>
      <c r="D64" s="34" t="s">
        <v>12</v>
      </c>
      <c r="E64" s="41" t="s">
        <v>8</v>
      </c>
      <c r="F64" s="43" t="s">
        <v>28</v>
      </c>
      <c r="G64" s="37" t="s">
        <v>29</v>
      </c>
      <c r="H64" s="37" t="s">
        <v>34</v>
      </c>
      <c r="I64" s="37" t="s">
        <v>9</v>
      </c>
      <c r="J64" s="36">
        <v>160</v>
      </c>
      <c r="K64" s="27">
        <f>0</f>
        <v>0</v>
      </c>
      <c r="L64" s="127">
        <f t="shared" si="0"/>
        <v>0</v>
      </c>
      <c r="M64" s="127">
        <f t="shared" si="1"/>
        <v>0</v>
      </c>
      <c r="N64" s="128"/>
      <c r="O64" s="129">
        <f t="shared" si="2"/>
        <v>0</v>
      </c>
      <c r="P64" s="128"/>
      <c r="Q64" s="128"/>
      <c r="R64" s="128"/>
      <c r="S64" s="26">
        <f t="shared" si="3"/>
        <v>0</v>
      </c>
      <c r="T64" s="25" t="str">
        <f t="shared" si="4"/>
        <v>OK</v>
      </c>
      <c r="U64" s="138"/>
      <c r="V64" s="138"/>
      <c r="W64" s="138"/>
      <c r="X64" s="138"/>
      <c r="Y64" s="139"/>
      <c r="Z64" s="139"/>
      <c r="AA64" s="178"/>
      <c r="AB64" s="178"/>
      <c r="AC64" s="22"/>
      <c r="AD64" s="22"/>
      <c r="AE64" s="22"/>
      <c r="AF64" s="22"/>
      <c r="AG64" s="22"/>
      <c r="AH64" s="22"/>
    </row>
    <row r="65" spans="1:34" ht="30.25" customHeight="1" x14ac:dyDescent="0.35">
      <c r="A65" s="199"/>
      <c r="B65" s="37">
        <v>62</v>
      </c>
      <c r="C65" s="196"/>
      <c r="D65" s="34" t="s">
        <v>156</v>
      </c>
      <c r="E65" s="41" t="s">
        <v>8</v>
      </c>
      <c r="F65" s="43" t="s">
        <v>28</v>
      </c>
      <c r="G65" s="37" t="s">
        <v>29</v>
      </c>
      <c r="H65" s="37" t="s">
        <v>34</v>
      </c>
      <c r="I65" s="37" t="s">
        <v>9</v>
      </c>
      <c r="J65" s="36">
        <v>135</v>
      </c>
      <c r="K65" s="27">
        <f>0</f>
        <v>0</v>
      </c>
      <c r="L65" s="127">
        <f t="shared" si="0"/>
        <v>0</v>
      </c>
      <c r="M65" s="127">
        <f t="shared" si="1"/>
        <v>0</v>
      </c>
      <c r="N65" s="128"/>
      <c r="O65" s="129">
        <f t="shared" si="2"/>
        <v>0</v>
      </c>
      <c r="P65" s="128"/>
      <c r="Q65" s="128"/>
      <c r="R65" s="128"/>
      <c r="S65" s="26">
        <f t="shared" si="3"/>
        <v>0</v>
      </c>
      <c r="T65" s="25" t="str">
        <f t="shared" si="4"/>
        <v>OK</v>
      </c>
      <c r="U65" s="138"/>
      <c r="V65" s="138"/>
      <c r="W65" s="138"/>
      <c r="X65" s="138"/>
      <c r="Y65" s="139"/>
      <c r="Z65" s="139"/>
      <c r="AA65" s="178"/>
      <c r="AB65" s="178"/>
      <c r="AC65" s="22"/>
      <c r="AD65" s="22"/>
      <c r="AE65" s="22"/>
      <c r="AF65" s="22"/>
      <c r="AG65" s="22"/>
      <c r="AH65" s="22"/>
    </row>
    <row r="66" spans="1:34" ht="30.25" customHeight="1" x14ac:dyDescent="0.35">
      <c r="A66" s="199"/>
      <c r="B66" s="37">
        <v>63</v>
      </c>
      <c r="C66" s="196"/>
      <c r="D66" s="34" t="s">
        <v>13</v>
      </c>
      <c r="E66" s="41" t="s">
        <v>8</v>
      </c>
      <c r="F66" s="43" t="s">
        <v>28</v>
      </c>
      <c r="G66" s="37" t="s">
        <v>29</v>
      </c>
      <c r="H66" s="37" t="s">
        <v>34</v>
      </c>
      <c r="I66" s="37" t="s">
        <v>9</v>
      </c>
      <c r="J66" s="36">
        <v>135</v>
      </c>
      <c r="K66" s="27">
        <f>0</f>
        <v>0</v>
      </c>
      <c r="L66" s="127">
        <f t="shared" si="0"/>
        <v>0</v>
      </c>
      <c r="M66" s="127">
        <f t="shared" si="1"/>
        <v>0</v>
      </c>
      <c r="N66" s="128"/>
      <c r="O66" s="129">
        <f t="shared" si="2"/>
        <v>0</v>
      </c>
      <c r="P66" s="128"/>
      <c r="Q66" s="128"/>
      <c r="R66" s="128"/>
      <c r="S66" s="26">
        <f t="shared" si="3"/>
        <v>0</v>
      </c>
      <c r="T66" s="25" t="str">
        <f t="shared" si="4"/>
        <v>OK</v>
      </c>
      <c r="U66" s="138"/>
      <c r="V66" s="138"/>
      <c r="W66" s="138"/>
      <c r="X66" s="138"/>
      <c r="Y66" s="139"/>
      <c r="Z66" s="139"/>
      <c r="AA66" s="178"/>
      <c r="AB66" s="178"/>
      <c r="AC66" s="22"/>
      <c r="AD66" s="22"/>
      <c r="AE66" s="22"/>
      <c r="AF66" s="22"/>
      <c r="AG66" s="22"/>
      <c r="AH66" s="22"/>
    </row>
    <row r="67" spans="1:34" ht="30.25" customHeight="1" x14ac:dyDescent="0.35">
      <c r="A67" s="199"/>
      <c r="B67" s="37">
        <v>64</v>
      </c>
      <c r="C67" s="196"/>
      <c r="D67" s="34" t="s">
        <v>157</v>
      </c>
      <c r="E67" s="41" t="s">
        <v>8</v>
      </c>
      <c r="F67" s="43" t="s">
        <v>28</v>
      </c>
      <c r="G67" s="37" t="s">
        <v>29</v>
      </c>
      <c r="H67" s="37" t="s">
        <v>8</v>
      </c>
      <c r="I67" s="37" t="s">
        <v>9</v>
      </c>
      <c r="J67" s="36">
        <v>365</v>
      </c>
      <c r="K67" s="27">
        <f>0</f>
        <v>0</v>
      </c>
      <c r="L67" s="127">
        <f t="shared" si="0"/>
        <v>0</v>
      </c>
      <c r="M67" s="127">
        <f t="shared" si="1"/>
        <v>0</v>
      </c>
      <c r="N67" s="128"/>
      <c r="O67" s="129">
        <f t="shared" si="2"/>
        <v>0</v>
      </c>
      <c r="P67" s="128"/>
      <c r="Q67" s="128"/>
      <c r="R67" s="128"/>
      <c r="S67" s="26">
        <f t="shared" si="3"/>
        <v>0</v>
      </c>
      <c r="T67" s="25" t="str">
        <f t="shared" si="4"/>
        <v>OK</v>
      </c>
      <c r="U67" s="138"/>
      <c r="V67" s="138"/>
      <c r="W67" s="138"/>
      <c r="X67" s="138"/>
      <c r="Y67" s="139"/>
      <c r="Z67" s="139"/>
      <c r="AA67" s="178"/>
      <c r="AB67" s="178"/>
      <c r="AC67" s="22"/>
      <c r="AD67" s="22"/>
      <c r="AE67" s="22"/>
      <c r="AF67" s="22"/>
      <c r="AG67" s="22"/>
      <c r="AH67" s="22"/>
    </row>
    <row r="68" spans="1:34" ht="30.25" customHeight="1" x14ac:dyDescent="0.35">
      <c r="A68" s="200"/>
      <c r="B68" s="37">
        <v>65</v>
      </c>
      <c r="C68" s="197"/>
      <c r="D68" s="34" t="s">
        <v>30</v>
      </c>
      <c r="E68" s="41" t="s">
        <v>8</v>
      </c>
      <c r="F68" s="43" t="s">
        <v>28</v>
      </c>
      <c r="G68" s="37" t="s">
        <v>29</v>
      </c>
      <c r="H68" s="37" t="s">
        <v>8</v>
      </c>
      <c r="I68" s="37" t="s">
        <v>9</v>
      </c>
      <c r="J68" s="36">
        <v>100</v>
      </c>
      <c r="K68" s="27">
        <f>0</f>
        <v>0</v>
      </c>
      <c r="L68" s="127">
        <f t="shared" si="0"/>
        <v>0</v>
      </c>
      <c r="M68" s="127">
        <f t="shared" si="1"/>
        <v>0</v>
      </c>
      <c r="N68" s="128"/>
      <c r="O68" s="129">
        <f t="shared" si="2"/>
        <v>0</v>
      </c>
      <c r="P68" s="128"/>
      <c r="Q68" s="128"/>
      <c r="R68" s="128"/>
      <c r="S68" s="26">
        <f t="shared" si="3"/>
        <v>0</v>
      </c>
      <c r="T68" s="25" t="str">
        <f t="shared" si="4"/>
        <v>OK</v>
      </c>
      <c r="U68" s="138"/>
      <c r="V68" s="138"/>
      <c r="W68" s="138"/>
      <c r="X68" s="138"/>
      <c r="Y68" s="139"/>
      <c r="Z68" s="139"/>
      <c r="AA68" s="178"/>
      <c r="AB68" s="178"/>
      <c r="AC68" s="22"/>
      <c r="AD68" s="22"/>
      <c r="AE68" s="22"/>
      <c r="AF68" s="22"/>
      <c r="AG68" s="22"/>
      <c r="AH68" s="22"/>
    </row>
    <row r="69" spans="1:34" ht="30.25" customHeight="1" x14ac:dyDescent="0.35">
      <c r="A69" s="208" t="s">
        <v>164</v>
      </c>
      <c r="B69" s="44">
        <v>66</v>
      </c>
      <c r="C69" s="205" t="s">
        <v>92</v>
      </c>
      <c r="D69" s="46" t="s">
        <v>27</v>
      </c>
      <c r="E69" s="48" t="s">
        <v>8</v>
      </c>
      <c r="F69" s="50" t="s">
        <v>28</v>
      </c>
      <c r="G69" s="44" t="s">
        <v>29</v>
      </c>
      <c r="H69" s="44" t="s">
        <v>8</v>
      </c>
      <c r="I69" s="44" t="s">
        <v>9</v>
      </c>
      <c r="J69" s="47">
        <v>140</v>
      </c>
      <c r="K69" s="27">
        <f>0</f>
        <v>0</v>
      </c>
      <c r="L69" s="127">
        <f t="shared" ref="L69:L81" si="5">IF(SUM(U69:AL69)&gt;K69+N69,K69+N69,SUM(U69:AL69))</f>
        <v>0</v>
      </c>
      <c r="M69" s="127">
        <f t="shared" ref="M69:M81" si="6">(SUM(U69:AL69))</f>
        <v>0</v>
      </c>
      <c r="N69" s="128"/>
      <c r="O69" s="129">
        <f t="shared" ref="O69:O82" si="7">ROUND(IF(K69*0.25-0.5&lt;0,0,K69*0.25-0.5),0)-R69-P69</f>
        <v>0</v>
      </c>
      <c r="P69" s="128"/>
      <c r="Q69" s="128"/>
      <c r="R69" s="128"/>
      <c r="S69" s="26">
        <f t="shared" ref="S69:S80" si="8">K69-SUM(U69:AH69)+N69</f>
        <v>0</v>
      </c>
      <c r="T69" s="25" t="str">
        <f t="shared" ref="T69:T82" si="9">IF(S69&lt;0,"ATENÇÃO","OK")</f>
        <v>OK</v>
      </c>
      <c r="U69" s="138"/>
      <c r="V69" s="138"/>
      <c r="W69" s="138"/>
      <c r="X69" s="138"/>
      <c r="Y69" s="139"/>
      <c r="Z69" s="139"/>
      <c r="AA69" s="178"/>
      <c r="AB69" s="178"/>
      <c r="AC69" s="22"/>
      <c r="AD69" s="22"/>
      <c r="AE69" s="22"/>
      <c r="AF69" s="22"/>
      <c r="AG69" s="22"/>
      <c r="AH69" s="22"/>
    </row>
    <row r="70" spans="1:34" ht="30.25" customHeight="1" x14ac:dyDescent="0.35">
      <c r="A70" s="209"/>
      <c r="B70" s="44">
        <v>67</v>
      </c>
      <c r="C70" s="206"/>
      <c r="D70" s="46" t="s">
        <v>7</v>
      </c>
      <c r="E70" s="48" t="s">
        <v>8</v>
      </c>
      <c r="F70" s="50" t="s">
        <v>28</v>
      </c>
      <c r="G70" s="44" t="s">
        <v>29</v>
      </c>
      <c r="H70" s="44" t="s">
        <v>8</v>
      </c>
      <c r="I70" s="44" t="s">
        <v>9</v>
      </c>
      <c r="J70" s="47">
        <v>530</v>
      </c>
      <c r="K70" s="27">
        <f>0</f>
        <v>0</v>
      </c>
      <c r="L70" s="127">
        <f t="shared" si="5"/>
        <v>0</v>
      </c>
      <c r="M70" s="127">
        <f t="shared" si="6"/>
        <v>0</v>
      </c>
      <c r="N70" s="128"/>
      <c r="O70" s="129">
        <f t="shared" si="7"/>
        <v>0</v>
      </c>
      <c r="P70" s="128"/>
      <c r="Q70" s="128"/>
      <c r="R70" s="128"/>
      <c r="S70" s="26">
        <f t="shared" si="8"/>
        <v>0</v>
      </c>
      <c r="T70" s="25" t="str">
        <f t="shared" si="9"/>
        <v>OK</v>
      </c>
      <c r="U70" s="138"/>
      <c r="V70" s="138"/>
      <c r="W70" s="138"/>
      <c r="X70" s="138"/>
      <c r="Y70" s="139"/>
      <c r="Z70" s="139"/>
      <c r="AA70" s="178"/>
      <c r="AB70" s="178"/>
      <c r="AC70" s="22"/>
      <c r="AD70" s="22"/>
      <c r="AE70" s="22"/>
      <c r="AF70" s="22"/>
      <c r="AG70" s="22"/>
      <c r="AH70" s="22"/>
    </row>
    <row r="71" spans="1:34" ht="30.25" customHeight="1" x14ac:dyDescent="0.35">
      <c r="A71" s="209"/>
      <c r="B71" s="44">
        <v>68</v>
      </c>
      <c r="C71" s="206"/>
      <c r="D71" s="46" t="s">
        <v>10</v>
      </c>
      <c r="E71" s="48" t="s">
        <v>8</v>
      </c>
      <c r="F71" s="50" t="s">
        <v>28</v>
      </c>
      <c r="G71" s="44" t="s">
        <v>29</v>
      </c>
      <c r="H71" s="44" t="s">
        <v>8</v>
      </c>
      <c r="I71" s="44" t="s">
        <v>9</v>
      </c>
      <c r="J71" s="47">
        <v>660</v>
      </c>
      <c r="K71" s="27">
        <f>0</f>
        <v>0</v>
      </c>
      <c r="L71" s="127">
        <f t="shared" si="5"/>
        <v>0</v>
      </c>
      <c r="M71" s="127">
        <f t="shared" si="6"/>
        <v>0</v>
      </c>
      <c r="N71" s="128"/>
      <c r="O71" s="129">
        <f t="shared" si="7"/>
        <v>0</v>
      </c>
      <c r="P71" s="128"/>
      <c r="Q71" s="128"/>
      <c r="R71" s="128"/>
      <c r="S71" s="26">
        <f t="shared" si="8"/>
        <v>0</v>
      </c>
      <c r="T71" s="25" t="str">
        <f t="shared" si="9"/>
        <v>OK</v>
      </c>
      <c r="U71" s="138"/>
      <c r="V71" s="138"/>
      <c r="W71" s="138"/>
      <c r="X71" s="138"/>
      <c r="Y71" s="139"/>
      <c r="Z71" s="139"/>
      <c r="AA71" s="178"/>
      <c r="AB71" s="178"/>
      <c r="AC71" s="22"/>
      <c r="AD71" s="22"/>
      <c r="AE71" s="22"/>
      <c r="AF71" s="22"/>
      <c r="AG71" s="22"/>
      <c r="AH71" s="22"/>
    </row>
    <row r="72" spans="1:34" ht="30.25" customHeight="1" x14ac:dyDescent="0.35">
      <c r="A72" s="209"/>
      <c r="B72" s="44">
        <v>69</v>
      </c>
      <c r="C72" s="206"/>
      <c r="D72" s="46" t="s">
        <v>11</v>
      </c>
      <c r="E72" s="48" t="s">
        <v>8</v>
      </c>
      <c r="F72" s="50" t="s">
        <v>28</v>
      </c>
      <c r="G72" s="44" t="s">
        <v>29</v>
      </c>
      <c r="H72" s="44" t="s">
        <v>8</v>
      </c>
      <c r="I72" s="44" t="s">
        <v>9</v>
      </c>
      <c r="J72" s="47">
        <v>760</v>
      </c>
      <c r="K72" s="27">
        <f>0</f>
        <v>0</v>
      </c>
      <c r="L72" s="127">
        <f t="shared" si="5"/>
        <v>0</v>
      </c>
      <c r="M72" s="127">
        <f t="shared" si="6"/>
        <v>0</v>
      </c>
      <c r="N72" s="128"/>
      <c r="O72" s="129">
        <f t="shared" si="7"/>
        <v>0</v>
      </c>
      <c r="P72" s="128"/>
      <c r="Q72" s="128"/>
      <c r="R72" s="128"/>
      <c r="S72" s="26">
        <f t="shared" si="8"/>
        <v>0</v>
      </c>
      <c r="T72" s="25" t="str">
        <f t="shared" si="9"/>
        <v>OK</v>
      </c>
      <c r="U72" s="138"/>
      <c r="V72" s="138"/>
      <c r="W72" s="138"/>
      <c r="X72" s="138"/>
      <c r="Y72" s="139"/>
      <c r="Z72" s="139"/>
      <c r="AA72" s="178"/>
      <c r="AB72" s="178"/>
      <c r="AC72" s="22"/>
      <c r="AD72" s="22"/>
      <c r="AE72" s="22"/>
      <c r="AF72" s="22"/>
      <c r="AG72" s="22"/>
      <c r="AH72" s="22"/>
    </row>
    <row r="73" spans="1:34" ht="30.25" customHeight="1" x14ac:dyDescent="0.35">
      <c r="A73" s="209"/>
      <c r="B73" s="44">
        <v>70</v>
      </c>
      <c r="C73" s="206"/>
      <c r="D73" s="46" t="s">
        <v>12</v>
      </c>
      <c r="E73" s="48" t="s">
        <v>8</v>
      </c>
      <c r="F73" s="50" t="s">
        <v>28</v>
      </c>
      <c r="G73" s="44" t="s">
        <v>29</v>
      </c>
      <c r="H73" s="44" t="s">
        <v>34</v>
      </c>
      <c r="I73" s="44" t="s">
        <v>9</v>
      </c>
      <c r="J73" s="47">
        <v>70</v>
      </c>
      <c r="K73" s="27">
        <f>0</f>
        <v>0</v>
      </c>
      <c r="L73" s="127">
        <f t="shared" si="5"/>
        <v>0</v>
      </c>
      <c r="M73" s="127">
        <f t="shared" si="6"/>
        <v>0</v>
      </c>
      <c r="N73" s="128"/>
      <c r="O73" s="129">
        <f t="shared" si="7"/>
        <v>0</v>
      </c>
      <c r="P73" s="128"/>
      <c r="Q73" s="128"/>
      <c r="R73" s="128"/>
      <c r="S73" s="26">
        <f t="shared" si="8"/>
        <v>0</v>
      </c>
      <c r="T73" s="25" t="str">
        <f t="shared" si="9"/>
        <v>OK</v>
      </c>
      <c r="U73" s="138"/>
      <c r="V73" s="138"/>
      <c r="W73" s="138"/>
      <c r="X73" s="138"/>
      <c r="Y73" s="139"/>
      <c r="Z73" s="139"/>
      <c r="AA73" s="178"/>
      <c r="AB73" s="178"/>
      <c r="AC73" s="22"/>
      <c r="AD73" s="22"/>
      <c r="AE73" s="22"/>
      <c r="AF73" s="22"/>
      <c r="AG73" s="22"/>
      <c r="AH73" s="22"/>
    </row>
    <row r="74" spans="1:34" ht="30.25" customHeight="1" x14ac:dyDescent="0.35">
      <c r="A74" s="209"/>
      <c r="B74" s="44">
        <v>71</v>
      </c>
      <c r="C74" s="206"/>
      <c r="D74" s="46" t="s">
        <v>156</v>
      </c>
      <c r="E74" s="48" t="s">
        <v>8</v>
      </c>
      <c r="F74" s="50" t="s">
        <v>28</v>
      </c>
      <c r="G74" s="44" t="s">
        <v>29</v>
      </c>
      <c r="H74" s="44" t="s">
        <v>34</v>
      </c>
      <c r="I74" s="44" t="s">
        <v>9</v>
      </c>
      <c r="J74" s="47">
        <v>75</v>
      </c>
      <c r="K74" s="27">
        <f>0</f>
        <v>0</v>
      </c>
      <c r="L74" s="127">
        <f t="shared" si="5"/>
        <v>0</v>
      </c>
      <c r="M74" s="127">
        <f t="shared" si="6"/>
        <v>0</v>
      </c>
      <c r="N74" s="128"/>
      <c r="O74" s="129">
        <f t="shared" si="7"/>
        <v>0</v>
      </c>
      <c r="P74" s="128"/>
      <c r="Q74" s="128"/>
      <c r="R74" s="128"/>
      <c r="S74" s="26">
        <f t="shared" si="8"/>
        <v>0</v>
      </c>
      <c r="T74" s="25" t="str">
        <f t="shared" si="9"/>
        <v>OK</v>
      </c>
      <c r="U74" s="138"/>
      <c r="V74" s="138"/>
      <c r="W74" s="138"/>
      <c r="X74" s="138"/>
      <c r="Y74" s="139"/>
      <c r="Z74" s="139"/>
      <c r="AA74" s="178"/>
      <c r="AB74" s="178"/>
      <c r="AC74" s="22"/>
      <c r="AD74" s="22"/>
      <c r="AE74" s="22"/>
      <c r="AF74" s="22"/>
      <c r="AG74" s="22"/>
      <c r="AH74" s="22"/>
    </row>
    <row r="75" spans="1:34" ht="30.25" customHeight="1" x14ac:dyDescent="0.35">
      <c r="A75" s="209"/>
      <c r="B75" s="44">
        <v>72</v>
      </c>
      <c r="C75" s="206"/>
      <c r="D75" s="46" t="s">
        <v>13</v>
      </c>
      <c r="E75" s="48" t="s">
        <v>8</v>
      </c>
      <c r="F75" s="50" t="s">
        <v>28</v>
      </c>
      <c r="G75" s="44" t="s">
        <v>29</v>
      </c>
      <c r="H75" s="44" t="s">
        <v>34</v>
      </c>
      <c r="I75" s="44" t="s">
        <v>9</v>
      </c>
      <c r="J75" s="47">
        <v>80</v>
      </c>
      <c r="K75" s="27">
        <f>0</f>
        <v>0</v>
      </c>
      <c r="L75" s="127">
        <f t="shared" si="5"/>
        <v>0</v>
      </c>
      <c r="M75" s="127">
        <f t="shared" si="6"/>
        <v>0</v>
      </c>
      <c r="N75" s="128"/>
      <c r="O75" s="129">
        <f t="shared" si="7"/>
        <v>0</v>
      </c>
      <c r="P75" s="128"/>
      <c r="Q75" s="128"/>
      <c r="R75" s="128"/>
      <c r="S75" s="26">
        <f t="shared" si="8"/>
        <v>0</v>
      </c>
      <c r="T75" s="25" t="str">
        <f t="shared" si="9"/>
        <v>OK</v>
      </c>
      <c r="U75" s="138"/>
      <c r="V75" s="138"/>
      <c r="W75" s="138"/>
      <c r="X75" s="138"/>
      <c r="Y75" s="139"/>
      <c r="Z75" s="139"/>
      <c r="AA75" s="178"/>
      <c r="AB75" s="178"/>
      <c r="AC75" s="22"/>
      <c r="AD75" s="22"/>
      <c r="AE75" s="22"/>
      <c r="AF75" s="22"/>
      <c r="AG75" s="22"/>
      <c r="AH75" s="22"/>
    </row>
    <row r="76" spans="1:34" ht="30.25" customHeight="1" x14ac:dyDescent="0.35">
      <c r="A76" s="209"/>
      <c r="B76" s="44">
        <v>73</v>
      </c>
      <c r="C76" s="206"/>
      <c r="D76" s="46" t="s">
        <v>157</v>
      </c>
      <c r="E76" s="48" t="s">
        <v>8</v>
      </c>
      <c r="F76" s="50" t="s">
        <v>28</v>
      </c>
      <c r="G76" s="44" t="s">
        <v>29</v>
      </c>
      <c r="H76" s="44" t="s">
        <v>8</v>
      </c>
      <c r="I76" s="44" t="s">
        <v>9</v>
      </c>
      <c r="J76" s="47">
        <v>150</v>
      </c>
      <c r="K76" s="27">
        <f>0</f>
        <v>0</v>
      </c>
      <c r="L76" s="127">
        <f t="shared" si="5"/>
        <v>0</v>
      </c>
      <c r="M76" s="127">
        <f t="shared" si="6"/>
        <v>0</v>
      </c>
      <c r="N76" s="128"/>
      <c r="O76" s="129">
        <f t="shared" si="7"/>
        <v>0</v>
      </c>
      <c r="P76" s="128"/>
      <c r="Q76" s="128"/>
      <c r="R76" s="128"/>
      <c r="S76" s="26">
        <f t="shared" si="8"/>
        <v>0</v>
      </c>
      <c r="T76" s="25" t="str">
        <f t="shared" si="9"/>
        <v>OK</v>
      </c>
      <c r="U76" s="138"/>
      <c r="V76" s="138"/>
      <c r="W76" s="138"/>
      <c r="X76" s="138"/>
      <c r="Y76" s="139"/>
      <c r="Z76" s="139"/>
      <c r="AA76" s="178"/>
      <c r="AB76" s="178"/>
      <c r="AC76" s="22"/>
      <c r="AD76" s="22"/>
      <c r="AE76" s="22"/>
      <c r="AF76" s="22"/>
      <c r="AG76" s="22"/>
      <c r="AH76" s="22"/>
    </row>
    <row r="77" spans="1:34" ht="30.25" customHeight="1" x14ac:dyDescent="0.35">
      <c r="A77" s="209"/>
      <c r="B77" s="44">
        <v>74</v>
      </c>
      <c r="C77" s="206"/>
      <c r="D77" s="46" t="s">
        <v>30</v>
      </c>
      <c r="E77" s="48" t="s">
        <v>8</v>
      </c>
      <c r="F77" s="50" t="s">
        <v>28</v>
      </c>
      <c r="G77" s="44" t="s">
        <v>29</v>
      </c>
      <c r="H77" s="44" t="s">
        <v>8</v>
      </c>
      <c r="I77" s="44" t="s">
        <v>9</v>
      </c>
      <c r="J77" s="47">
        <v>150</v>
      </c>
      <c r="K77" s="27">
        <f>0</f>
        <v>0</v>
      </c>
      <c r="L77" s="127">
        <f t="shared" si="5"/>
        <v>0</v>
      </c>
      <c r="M77" s="127">
        <f t="shared" si="6"/>
        <v>0</v>
      </c>
      <c r="N77" s="128"/>
      <c r="O77" s="129">
        <f t="shared" si="7"/>
        <v>0</v>
      </c>
      <c r="P77" s="128"/>
      <c r="Q77" s="128"/>
      <c r="R77" s="128"/>
      <c r="S77" s="26">
        <f t="shared" si="8"/>
        <v>0</v>
      </c>
      <c r="T77" s="25" t="str">
        <f t="shared" si="9"/>
        <v>OK</v>
      </c>
      <c r="U77" s="138"/>
      <c r="V77" s="138"/>
      <c r="W77" s="138"/>
      <c r="X77" s="138"/>
      <c r="Y77" s="139"/>
      <c r="Z77" s="139"/>
      <c r="AA77" s="178"/>
      <c r="AB77" s="178"/>
      <c r="AC77" s="22"/>
      <c r="AD77" s="22"/>
      <c r="AE77" s="22"/>
      <c r="AF77" s="22"/>
      <c r="AG77" s="22"/>
      <c r="AH77" s="22"/>
    </row>
    <row r="78" spans="1:34" ht="30.25" customHeight="1" x14ac:dyDescent="0.35">
      <c r="A78" s="210"/>
      <c r="B78" s="44">
        <v>75</v>
      </c>
      <c r="C78" s="207"/>
      <c r="D78" s="46" t="s">
        <v>165</v>
      </c>
      <c r="E78" s="48" t="s">
        <v>8</v>
      </c>
      <c r="F78" s="50" t="s">
        <v>28</v>
      </c>
      <c r="G78" s="44" t="s">
        <v>29</v>
      </c>
      <c r="H78" s="44" t="s">
        <v>8</v>
      </c>
      <c r="I78" s="44" t="s">
        <v>9</v>
      </c>
      <c r="J78" s="47">
        <v>300</v>
      </c>
      <c r="K78" s="27">
        <f>0</f>
        <v>0</v>
      </c>
      <c r="L78" s="127">
        <f t="shared" si="5"/>
        <v>0</v>
      </c>
      <c r="M78" s="127">
        <f t="shared" si="6"/>
        <v>0</v>
      </c>
      <c r="N78" s="128"/>
      <c r="O78" s="129">
        <f t="shared" si="7"/>
        <v>0</v>
      </c>
      <c r="P78" s="128"/>
      <c r="Q78" s="128"/>
      <c r="R78" s="128"/>
      <c r="S78" s="26">
        <f t="shared" si="8"/>
        <v>0</v>
      </c>
      <c r="T78" s="25" t="str">
        <f t="shared" si="9"/>
        <v>OK</v>
      </c>
      <c r="U78" s="138"/>
      <c r="V78" s="138"/>
      <c r="W78" s="138"/>
      <c r="X78" s="138"/>
      <c r="Y78" s="139"/>
      <c r="Z78" s="139"/>
      <c r="AA78" s="178"/>
      <c r="AB78" s="178"/>
      <c r="AC78" s="22"/>
      <c r="AD78" s="22"/>
      <c r="AE78" s="22"/>
      <c r="AF78" s="22"/>
      <c r="AG78" s="22"/>
      <c r="AH78" s="22"/>
    </row>
    <row r="79" spans="1:34" ht="30.25" customHeight="1" x14ac:dyDescent="0.35">
      <c r="A79" s="198" t="s">
        <v>166</v>
      </c>
      <c r="B79" s="37">
        <v>76</v>
      </c>
      <c r="C79" s="195" t="s">
        <v>33</v>
      </c>
      <c r="D79" s="34" t="s">
        <v>7</v>
      </c>
      <c r="E79" s="41" t="s">
        <v>8</v>
      </c>
      <c r="F79" s="43" t="s">
        <v>28</v>
      </c>
      <c r="G79" s="37" t="s">
        <v>29</v>
      </c>
      <c r="H79" s="37" t="s">
        <v>8</v>
      </c>
      <c r="I79" s="37" t="s">
        <v>9</v>
      </c>
      <c r="J79" s="36">
        <v>1001</v>
      </c>
      <c r="K79" s="27">
        <f>0</f>
        <v>0</v>
      </c>
      <c r="L79" s="127">
        <f t="shared" si="5"/>
        <v>0</v>
      </c>
      <c r="M79" s="127">
        <f t="shared" si="6"/>
        <v>0</v>
      </c>
      <c r="N79" s="128"/>
      <c r="O79" s="129">
        <f t="shared" si="7"/>
        <v>0</v>
      </c>
      <c r="P79" s="128"/>
      <c r="Q79" s="128"/>
      <c r="R79" s="128"/>
      <c r="S79" s="26">
        <f t="shared" si="8"/>
        <v>0</v>
      </c>
      <c r="T79" s="25" t="str">
        <f t="shared" si="9"/>
        <v>OK</v>
      </c>
      <c r="U79" s="138"/>
      <c r="V79" s="138"/>
      <c r="W79" s="138"/>
      <c r="X79" s="138"/>
      <c r="Y79" s="139"/>
      <c r="Z79" s="139"/>
      <c r="AA79" s="178"/>
      <c r="AB79" s="178"/>
      <c r="AC79" s="22"/>
      <c r="AD79" s="22"/>
      <c r="AE79" s="22"/>
      <c r="AF79" s="22"/>
      <c r="AG79" s="22"/>
      <c r="AH79" s="22"/>
    </row>
    <row r="80" spans="1:34" ht="30.25" customHeight="1" x14ac:dyDescent="0.35">
      <c r="A80" s="199"/>
      <c r="B80" s="37">
        <v>77</v>
      </c>
      <c r="C80" s="196"/>
      <c r="D80" s="34" t="s">
        <v>12</v>
      </c>
      <c r="E80" s="41" t="s">
        <v>8</v>
      </c>
      <c r="F80" s="43" t="s">
        <v>28</v>
      </c>
      <c r="G80" s="37" t="s">
        <v>29</v>
      </c>
      <c r="H80" s="37" t="s">
        <v>34</v>
      </c>
      <c r="I80" s="37" t="s">
        <v>9</v>
      </c>
      <c r="J80" s="36">
        <v>130</v>
      </c>
      <c r="K80" s="27">
        <f>0</f>
        <v>0</v>
      </c>
      <c r="L80" s="127">
        <f t="shared" si="5"/>
        <v>0</v>
      </c>
      <c r="M80" s="127">
        <f t="shared" si="6"/>
        <v>0</v>
      </c>
      <c r="N80" s="128"/>
      <c r="O80" s="129">
        <f t="shared" si="7"/>
        <v>0</v>
      </c>
      <c r="P80" s="128"/>
      <c r="Q80" s="128"/>
      <c r="R80" s="128"/>
      <c r="S80" s="26">
        <f t="shared" si="8"/>
        <v>0</v>
      </c>
      <c r="T80" s="25" t="str">
        <f t="shared" si="9"/>
        <v>OK</v>
      </c>
      <c r="U80" s="138"/>
      <c r="V80" s="138"/>
      <c r="W80" s="138"/>
      <c r="X80" s="138"/>
      <c r="Y80" s="139"/>
      <c r="Z80" s="139"/>
      <c r="AA80" s="178"/>
      <c r="AB80" s="178"/>
      <c r="AC80" s="22"/>
      <c r="AD80" s="22"/>
      <c r="AE80" s="22"/>
      <c r="AF80" s="22"/>
      <c r="AG80" s="22"/>
      <c r="AH80" s="22"/>
    </row>
    <row r="81" spans="1:34" ht="30.25" customHeight="1" x14ac:dyDescent="0.35">
      <c r="A81" s="200"/>
      <c r="B81" s="37">
        <v>78</v>
      </c>
      <c r="C81" s="197"/>
      <c r="D81" s="34" t="s">
        <v>157</v>
      </c>
      <c r="E81" s="41" t="s">
        <v>8</v>
      </c>
      <c r="F81" s="43" t="s">
        <v>28</v>
      </c>
      <c r="G81" s="37" t="s">
        <v>29</v>
      </c>
      <c r="H81" s="37" t="s">
        <v>8</v>
      </c>
      <c r="I81" s="37" t="s">
        <v>9</v>
      </c>
      <c r="J81" s="36">
        <v>200</v>
      </c>
      <c r="K81" s="27">
        <f>0</f>
        <v>0</v>
      </c>
      <c r="L81" s="127">
        <f t="shared" si="5"/>
        <v>0</v>
      </c>
      <c r="M81" s="127">
        <f t="shared" si="6"/>
        <v>0</v>
      </c>
      <c r="N81" s="128"/>
      <c r="O81" s="129">
        <f t="shared" si="7"/>
        <v>0</v>
      </c>
      <c r="P81" s="128"/>
      <c r="Q81" s="128"/>
      <c r="R81" s="128"/>
      <c r="S81" s="26">
        <f>K81-SUM(U81:AH81)+N81</f>
        <v>0</v>
      </c>
      <c r="T81" s="25" t="str">
        <f t="shared" si="9"/>
        <v>OK</v>
      </c>
      <c r="U81" s="138"/>
      <c r="V81" s="138"/>
      <c r="W81" s="138"/>
      <c r="X81" s="138"/>
      <c r="Y81" s="139"/>
      <c r="Z81" s="139"/>
      <c r="AA81" s="178"/>
      <c r="AB81" s="178"/>
      <c r="AC81" s="22"/>
      <c r="AD81" s="22"/>
      <c r="AE81" s="22"/>
      <c r="AF81" s="22"/>
      <c r="AG81" s="22"/>
      <c r="AH81" s="22"/>
    </row>
    <row r="82" spans="1:34" ht="15" thickBot="1" x14ac:dyDescent="0.4">
      <c r="K82" s="4">
        <f>SUM(K4:K81)</f>
        <v>183</v>
      </c>
      <c r="N82" s="132"/>
      <c r="O82" s="132">
        <f t="shared" si="7"/>
        <v>45</v>
      </c>
      <c r="P82" s="132"/>
      <c r="Q82" s="132"/>
      <c r="R82" s="132"/>
      <c r="S82" s="12">
        <f>SUM(S4:S81)</f>
        <v>131</v>
      </c>
      <c r="T82" s="5" t="str">
        <f t="shared" si="9"/>
        <v>OK</v>
      </c>
      <c r="U82" s="30">
        <f t="shared" ref="U82:AH82" si="10">SUMPRODUCT($J$4:$J$81,U4:U81)</f>
        <v>6689.61</v>
      </c>
      <c r="V82" s="30">
        <f t="shared" si="10"/>
        <v>13170.68</v>
      </c>
      <c r="W82" s="30">
        <f t="shared" si="10"/>
        <v>1800</v>
      </c>
      <c r="X82" s="30">
        <f t="shared" si="10"/>
        <v>6689.61</v>
      </c>
      <c r="Y82" s="30">
        <f t="shared" si="10"/>
        <v>2821.51</v>
      </c>
      <c r="Z82" s="30">
        <f t="shared" si="10"/>
        <v>10205</v>
      </c>
      <c r="AA82" s="30">
        <f t="shared" si="10"/>
        <v>19106.400000000001</v>
      </c>
      <c r="AB82" s="30">
        <f t="shared" si="10"/>
        <v>3900</v>
      </c>
      <c r="AC82" s="30">
        <f t="shared" si="10"/>
        <v>0</v>
      </c>
      <c r="AD82" s="30">
        <f t="shared" si="10"/>
        <v>0</v>
      </c>
      <c r="AE82" s="30">
        <f t="shared" si="10"/>
        <v>0</v>
      </c>
      <c r="AF82" s="30">
        <f t="shared" si="10"/>
        <v>0</v>
      </c>
      <c r="AG82" s="30">
        <f t="shared" si="10"/>
        <v>0</v>
      </c>
      <c r="AH82" s="30">
        <f t="shared" si="10"/>
        <v>0</v>
      </c>
    </row>
    <row r="83" spans="1:34" ht="14.5" x14ac:dyDescent="0.35">
      <c r="D83" s="31" t="s">
        <v>53</v>
      </c>
      <c r="K83" s="132">
        <f>SUMPRODUCT($J$4:$J$81,K4:K81)</f>
        <v>371183.87</v>
      </c>
      <c r="L83" s="132">
        <f>SUMPRODUCT($J$4:$J$81,L4:L81)</f>
        <v>64382.81</v>
      </c>
      <c r="M83" s="132">
        <f>SUMPRODUCT($J$4:$J$81,M4:M81)</f>
        <v>64382.81</v>
      </c>
      <c r="R83" s="126"/>
      <c r="U83" s="142"/>
      <c r="V83" s="142"/>
      <c r="W83" s="142"/>
      <c r="X83" s="142"/>
      <c r="Y83" s="142"/>
      <c r="Z83" s="142"/>
    </row>
    <row r="84" spans="1:34" ht="15" customHeight="1" x14ac:dyDescent="0.35">
      <c r="D84" s="32" t="s">
        <v>54</v>
      </c>
      <c r="R84" s="125"/>
      <c r="U84" s="142"/>
      <c r="V84" s="142"/>
      <c r="W84" s="142"/>
      <c r="X84" s="142"/>
      <c r="Y84" s="142"/>
      <c r="Z84" s="142"/>
    </row>
    <row r="85" spans="1:34" ht="15.75" customHeight="1" thickBot="1" x14ac:dyDescent="0.4">
      <c r="D85" s="33" t="s">
        <v>55</v>
      </c>
      <c r="R85" s="125"/>
      <c r="U85" s="142"/>
      <c r="V85" s="142"/>
      <c r="W85" s="142"/>
      <c r="X85" s="142"/>
      <c r="Y85" s="142"/>
      <c r="Z85" s="142"/>
    </row>
    <row r="86" spans="1:34" ht="14.5" x14ac:dyDescent="0.35">
      <c r="U86" s="142"/>
      <c r="V86" s="142"/>
      <c r="W86" s="142"/>
      <c r="X86" s="142"/>
      <c r="Y86" s="142"/>
      <c r="Z86" s="142"/>
    </row>
    <row r="87" spans="1:34" ht="14.5" x14ac:dyDescent="0.35">
      <c r="U87" s="142"/>
      <c r="V87" s="142"/>
      <c r="W87" s="142"/>
      <c r="X87" s="142"/>
      <c r="Y87" s="142"/>
      <c r="Z87" s="142"/>
    </row>
    <row r="88" spans="1:34" ht="14.5" x14ac:dyDescent="0.35">
      <c r="U88" s="142"/>
      <c r="V88" s="142"/>
      <c r="W88" s="142"/>
      <c r="X88" s="142"/>
      <c r="Y88" s="142"/>
      <c r="Z88" s="142"/>
    </row>
    <row r="89" spans="1:34" ht="14.5" x14ac:dyDescent="0.35">
      <c r="U89" s="142"/>
      <c r="V89" s="142"/>
      <c r="W89" s="142"/>
      <c r="X89" s="142"/>
      <c r="Y89" s="142"/>
      <c r="Z89" s="142"/>
    </row>
    <row r="90" spans="1:34" ht="14.5" x14ac:dyDescent="0.35">
      <c r="U90" s="142"/>
      <c r="V90" s="142"/>
      <c r="W90" s="142"/>
      <c r="X90" s="142"/>
      <c r="Y90" s="142"/>
      <c r="Z90" s="142"/>
    </row>
    <row r="91" spans="1:34" ht="14.5" x14ac:dyDescent="0.35">
      <c r="U91" s="142"/>
      <c r="V91" s="142"/>
      <c r="W91" s="142"/>
      <c r="X91" s="142"/>
      <c r="Y91" s="142"/>
      <c r="Z91" s="142"/>
    </row>
    <row r="92" spans="1:34" ht="14.5" x14ac:dyDescent="0.35">
      <c r="U92" s="142"/>
      <c r="V92" s="142"/>
      <c r="W92" s="142"/>
      <c r="X92" s="142"/>
      <c r="Y92" s="142"/>
      <c r="Z92" s="142"/>
    </row>
  </sheetData>
  <mergeCells count="29">
    <mergeCell ref="A69:A78"/>
    <mergeCell ref="C69:C78"/>
    <mergeCell ref="A79:A81"/>
    <mergeCell ref="C79:C81"/>
    <mergeCell ref="A38:A48"/>
    <mergeCell ref="C38:C48"/>
    <mergeCell ref="A49:A59"/>
    <mergeCell ref="C49:C59"/>
    <mergeCell ref="A60:A68"/>
    <mergeCell ref="C60:C68"/>
    <mergeCell ref="AD1:AD2"/>
    <mergeCell ref="AE1:AE2"/>
    <mergeCell ref="AF1:AF2"/>
    <mergeCell ref="AG1:AG2"/>
    <mergeCell ref="AH1:AH2"/>
    <mergeCell ref="AC1:AC2"/>
    <mergeCell ref="A1:C1"/>
    <mergeCell ref="D1:J1"/>
    <mergeCell ref="K1:T1"/>
    <mergeCell ref="U1:U2"/>
    <mergeCell ref="V1:V2"/>
    <mergeCell ref="W1:W2"/>
    <mergeCell ref="A2:J2"/>
    <mergeCell ref="K2:T2"/>
    <mergeCell ref="X1:X2"/>
    <mergeCell ref="Y1:Y2"/>
    <mergeCell ref="Z1:Z2"/>
    <mergeCell ref="AA1:AA2"/>
    <mergeCell ref="AB1:AB2"/>
  </mergeCells>
  <conditionalFormatting sqref="T1 T3:T1048576">
    <cfRule type="cellIs" dxfId="17" priority="2" operator="equal">
      <formula>"ATENÇÃO"</formula>
    </cfRule>
  </conditionalFormatting>
  <conditionalFormatting sqref="AA4:AH81">
    <cfRule type="cellIs" dxfId="16" priority="1" operator="greaterThan">
      <formula>0</formula>
    </cfRule>
  </conditionalFormatting>
  <pageMargins left="0.511811024" right="0.511811024" top="0.78740157499999996" bottom="0.78740157499999996" header="0.31496062000000002" footer="0.31496062000000002"/>
  <pageSetup paperSize="9" scale="60" orientation="landscape" r:id="rId1"/>
  <colBreaks count="1" manualBreakCount="1">
    <brk id="24" max="1048575" man="1"/>
  </col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9933"/>
  </sheetPr>
  <dimension ref="A1:S91"/>
  <sheetViews>
    <sheetView tabSelected="1" topLeftCell="A73" zoomScale="85" zoomScaleNormal="85" workbookViewId="0">
      <selection activeCell="J84" sqref="J84"/>
    </sheetView>
  </sheetViews>
  <sheetFormatPr defaultColWidth="9.7265625" defaultRowHeight="35.15" customHeight="1" x14ac:dyDescent="0.35"/>
  <cols>
    <col min="1" max="2" width="6.453125" style="1" customWidth="1"/>
    <col min="3" max="3" width="17.453125" style="1" customWidth="1"/>
    <col min="4" max="4" width="36.1796875" style="3" customWidth="1"/>
    <col min="5" max="5" width="20.54296875" style="1" customWidth="1"/>
    <col min="6" max="6" width="9.81640625" style="1" customWidth="1"/>
    <col min="7" max="7" width="8.453125" style="1" customWidth="1"/>
    <col min="8" max="8" width="10.1796875" style="1" customWidth="1"/>
    <col min="9" max="9" width="12.54296875" style="1" customWidth="1"/>
    <col min="10" max="10" width="16.1796875" style="3" customWidth="1"/>
    <col min="11" max="11" width="15.81640625" style="4" customWidth="1"/>
    <col min="12" max="15" width="13.26953125" style="12" customWidth="1"/>
    <col min="16" max="16" width="12.453125" style="5" customWidth="1"/>
    <col min="17" max="18" width="20" style="2" customWidth="1"/>
    <col min="19" max="19" width="19.1796875" style="2" customWidth="1"/>
    <col min="20" max="16384" width="9.7265625" style="2"/>
  </cols>
  <sheetData>
    <row r="1" spans="1:19" ht="46.15" customHeight="1" x14ac:dyDescent="0.35">
      <c r="A1" s="265" t="s">
        <v>52</v>
      </c>
      <c r="B1" s="266"/>
      <c r="C1" s="266"/>
      <c r="D1" s="267" t="s">
        <v>48</v>
      </c>
      <c r="E1" s="268"/>
      <c r="F1" s="268"/>
      <c r="G1" s="268"/>
      <c r="H1" s="268"/>
      <c r="I1" s="268"/>
      <c r="J1" s="269"/>
      <c r="K1" s="265" t="s">
        <v>49</v>
      </c>
      <c r="L1" s="266"/>
      <c r="M1" s="266"/>
      <c r="N1" s="266"/>
      <c r="O1" s="266"/>
      <c r="P1" s="266"/>
      <c r="Q1" s="266"/>
      <c r="R1" s="266"/>
      <c r="S1" s="266"/>
    </row>
    <row r="2" spans="1:19" ht="24" customHeight="1" x14ac:dyDescent="0.35">
      <c r="A2" s="270" t="s">
        <v>170</v>
      </c>
      <c r="B2" s="271"/>
      <c r="C2" s="271"/>
      <c r="D2" s="271"/>
      <c r="E2" s="271"/>
      <c r="F2" s="271"/>
      <c r="G2" s="271"/>
      <c r="H2" s="271"/>
      <c r="I2" s="271"/>
      <c r="J2" s="271"/>
      <c r="K2" s="271"/>
      <c r="L2" s="271"/>
      <c r="M2" s="271"/>
      <c r="N2" s="271"/>
      <c r="O2" s="271"/>
      <c r="P2" s="271"/>
      <c r="Q2" s="271"/>
      <c r="R2" s="271"/>
      <c r="S2" s="272"/>
    </row>
    <row r="3" spans="1:19" s="3" customFormat="1" ht="43" customHeight="1" x14ac:dyDescent="0.25">
      <c r="A3" s="273" t="s">
        <v>3</v>
      </c>
      <c r="B3" s="273" t="s">
        <v>56</v>
      </c>
      <c r="C3" s="273" t="s">
        <v>57</v>
      </c>
      <c r="D3" s="274" t="s">
        <v>58</v>
      </c>
      <c r="E3" s="274" t="s">
        <v>59</v>
      </c>
      <c r="F3" s="274" t="s">
        <v>18</v>
      </c>
      <c r="G3" s="274" t="s">
        <v>19</v>
      </c>
      <c r="H3" s="274" t="s">
        <v>60</v>
      </c>
      <c r="I3" s="274" t="s">
        <v>61</v>
      </c>
      <c r="J3" s="275" t="s">
        <v>50</v>
      </c>
      <c r="K3" s="10" t="s">
        <v>4</v>
      </c>
      <c r="L3" s="53" t="s">
        <v>216</v>
      </c>
      <c r="M3" s="11" t="s">
        <v>217</v>
      </c>
      <c r="N3" s="11" t="s">
        <v>218</v>
      </c>
      <c r="O3" s="155" t="s">
        <v>219</v>
      </c>
      <c r="P3" s="7" t="s">
        <v>220</v>
      </c>
      <c r="Q3" s="135" t="s">
        <v>221</v>
      </c>
      <c r="R3" s="135" t="s">
        <v>215</v>
      </c>
      <c r="S3" s="135" t="s">
        <v>222</v>
      </c>
    </row>
    <row r="4" spans="1:19" ht="35.15" customHeight="1" x14ac:dyDescent="0.35">
      <c r="A4" s="37">
        <v>1</v>
      </c>
      <c r="B4" s="37">
        <v>1</v>
      </c>
      <c r="C4" s="35" t="s">
        <v>63</v>
      </c>
      <c r="D4" s="34" t="s">
        <v>64</v>
      </c>
      <c r="E4" s="35" t="s">
        <v>65</v>
      </c>
      <c r="F4" s="35" t="s">
        <v>20</v>
      </c>
      <c r="G4" s="35" t="s">
        <v>66</v>
      </c>
      <c r="H4" s="35" t="s">
        <v>5</v>
      </c>
      <c r="I4" s="35" t="s">
        <v>6</v>
      </c>
      <c r="J4" s="36">
        <v>1670</v>
      </c>
      <c r="K4" s="14">
        <f>'REITORIA_SEMS(+BU)'!K4+REITORIA_MUSEU!K4+CAV!K4+CCT!K4+CEAD!K4+CEART!K4+CEAVI!K4+CEFID!K4+CEO!K4+CEPLAN!K4+CERES!K4+CESFI!K4+CESMO!K4+ESAG!K4+FAED!K4</f>
        <v>28</v>
      </c>
      <c r="L4" s="13">
        <f>'REITORIA_SEMS(+BU)'!K4+REITORIA_MUSEU!K4+CAV!K4+CCT!K4+CEAD!K4+CEART!K4+CEAVI!K4+CEFID!K4+CEO!K4+CEPLAN!K4+CERES!K4+CESFI!K4+CESMO!K4+ESAG!K4+FAED!K4</f>
        <v>28</v>
      </c>
      <c r="M4" s="136">
        <f>'REITORIA_SEMS(+BU)'!L4+REITORIA_MUSEU!L4+CAV!L4+CCT!L4+CEAD!L4+CEART!L4+CEAVI!L4+CEFID!L4+CEO!L4+CEPLAN!L4+CERES!L4+CESFI!L4+CESMO!L4+ESAG!L4+FAED!L4</f>
        <v>10</v>
      </c>
      <c r="N4" s="133">
        <f>K4*0.25-0.5-O4</f>
        <v>6.5</v>
      </c>
      <c r="O4" s="134">
        <f>'REITORIA_SEMS(+BU)'!P4+'REITORIA_SEMS(+BU)'!Q4+REITORIA_MUSEU!P4+REITORIA_MUSEU!Q4+CAV!P4+CAV!Q4+CCT!P4+CCT!Q4+CEAD!P4+CEAD!Q4+CEART!P4+CEART!Q4+CEAVI!P4+CEAVI!Q4+CEFID!P4+CEFID!Q4+CEO!P4+CEO!Q4+CEPLAN!P4+CEPLAN!Q4+CERES!P4+CERES!Q4+CESFI!P4+CESFI!Q4+CESMO!P4+CESMO!Q4+ESAG!P4+ESAG!Q4+FAED!P4+FAED!Q4</f>
        <v>0</v>
      </c>
      <c r="P4" s="15">
        <f>K4-L4+O4</f>
        <v>0</v>
      </c>
      <c r="Q4" s="16">
        <f>J4*K4</f>
        <v>46760</v>
      </c>
      <c r="R4" s="16">
        <f>J4*O4</f>
        <v>0</v>
      </c>
      <c r="S4" s="16">
        <f>J4*L4</f>
        <v>46760</v>
      </c>
    </row>
    <row r="5" spans="1:19" ht="61.9" customHeight="1" x14ac:dyDescent="0.35">
      <c r="A5" s="44">
        <v>2</v>
      </c>
      <c r="B5" s="44">
        <v>2</v>
      </c>
      <c r="C5" s="45" t="s">
        <v>67</v>
      </c>
      <c r="D5" s="46" t="s">
        <v>68</v>
      </c>
      <c r="E5" s="45" t="s">
        <v>69</v>
      </c>
      <c r="F5" s="45" t="s">
        <v>20</v>
      </c>
      <c r="G5" s="45" t="s">
        <v>66</v>
      </c>
      <c r="H5" s="45" t="s">
        <v>5</v>
      </c>
      <c r="I5" s="45" t="s">
        <v>6</v>
      </c>
      <c r="J5" s="47">
        <v>1651.67</v>
      </c>
      <c r="K5" s="14">
        <f>'REITORIA_SEMS(+BU)'!K5+REITORIA_MUSEU!K5+CAV!K5+CCT!K5+CEAD!K5+CEART!K5+CEAVI!K5+CEFID!K5+CEO!K5+CEPLAN!K5+CERES!K5+CESFI!K5+CESMO!K5+ESAG!K5+FAED!K5</f>
        <v>42</v>
      </c>
      <c r="L5" s="13">
        <f>'REITORIA_SEMS(+BU)'!K5-'REITORIA_SEMS(+BU)'!S5+REITORIA_MUSEU!K5-REITORIA_MUSEU!S5+CAV!K5-CAV!S5+CCT!K5-CCT!S5+CEAD!K5-CEAD!S5+CEART!K5-CEART!S5+CEAVI!K5-CEAVI!S5+CEFID!K5-CEFID!S5+CEO!K5-CEO!S5+CEPLAN!K5-CEPLAN!S5+CERES!K5-CERES!S5+CESFI!K5-CESFI!S5+CESMO!K5-CESMO!S5+ESAG!K5-ESAG!S5+FAED!K5-FAED!S5</f>
        <v>36</v>
      </c>
      <c r="M5" s="136">
        <f>'REITORIA_SEMS(+BU)'!L5+REITORIA_MUSEU!L5+CAV!L5+CCT!L5+CEAD!L5+CEART!L5+CEAVI!L5+CEFID!L5+CEO!L5+CEPLAN!L5+CERES!L5+CESFI!L5+CESMO!L5+ESAG!L5+FAED!L5</f>
        <v>36</v>
      </c>
      <c r="N5" s="133">
        <f t="shared" ref="N5:N68" si="0">K5*0.25-0.5-O5</f>
        <v>10</v>
      </c>
      <c r="O5" s="134">
        <f>'REITORIA_SEMS(+BU)'!P5+'REITORIA_SEMS(+BU)'!Q5+REITORIA_MUSEU!P5+REITORIA_MUSEU!Q5+CAV!P5+CAV!Q5+CCT!P5+CCT!Q5+CEAD!P5+CEAD!Q5+CEART!P5+CEART!Q5+CEAVI!P5+CEAVI!Q5+CEFID!P5+CEFID!Q5+CEO!P5+CEO!Q5+CEPLAN!P5+CEPLAN!Q5+CERES!P5+CERES!Q5+CESFI!P5+CESFI!Q5+CESMO!P5+CESMO!Q5+ESAG!P5+ESAG!Q5+FAED!P5+FAED!Q5</f>
        <v>0</v>
      </c>
      <c r="P5" s="15">
        <f t="shared" ref="P5:P68" si="1">K5-L5+O5</f>
        <v>6</v>
      </c>
      <c r="Q5" s="16">
        <f t="shared" ref="Q5:Q45" si="2">J5*K5</f>
        <v>69370.14</v>
      </c>
      <c r="R5" s="16">
        <f t="shared" ref="R5:R68" si="3">J5*O5</f>
        <v>0</v>
      </c>
      <c r="S5" s="16">
        <f t="shared" ref="S5:S45" si="4">J5*L5</f>
        <v>59460.12</v>
      </c>
    </row>
    <row r="6" spans="1:19" ht="74.900000000000006" customHeight="1" x14ac:dyDescent="0.35">
      <c r="A6" s="84">
        <v>3</v>
      </c>
      <c r="B6" s="84">
        <v>3</v>
      </c>
      <c r="C6" s="59" t="s">
        <v>63</v>
      </c>
      <c r="D6" s="85" t="s">
        <v>70</v>
      </c>
      <c r="E6" s="59" t="s">
        <v>71</v>
      </c>
      <c r="F6" s="59" t="s">
        <v>20</v>
      </c>
      <c r="G6" s="59" t="s">
        <v>72</v>
      </c>
      <c r="H6" s="59" t="s">
        <v>5</v>
      </c>
      <c r="I6" s="59" t="s">
        <v>6</v>
      </c>
      <c r="J6" s="86">
        <v>1802</v>
      </c>
      <c r="K6" s="14">
        <f>'REITORIA_SEMS(+BU)'!K6+REITORIA_MUSEU!K6+CAV!K6+CCT!K6+CEAD!K6+CEART!K6+CEAVI!K6+CEFID!K6+CEO!K6+CEPLAN!K6+CERES!K6+CESFI!K6+CESMO!K6+ESAG!K6+FAED!K6</f>
        <v>28</v>
      </c>
      <c r="L6" s="13">
        <f>'REITORIA_SEMS(+BU)'!K6-'REITORIA_SEMS(+BU)'!S6+REITORIA_MUSEU!K6-REITORIA_MUSEU!S6+CAV!K6-CAV!S6+CCT!K6-CCT!S6+CEAD!K6-CEAD!S6+CEART!K6-CEART!S6+CEAVI!K6-CEAVI!S6+CEFID!K6-CEFID!S6+CEO!K6-CEO!S6+CEPLAN!K6-CEPLAN!S6+CERES!K6-CERES!S6+CESFI!K6-CESFI!S6+CESMO!K6-CESMO!S6+ESAG!K6-ESAG!S6+FAED!K6-FAED!S6</f>
        <v>15</v>
      </c>
      <c r="M6" s="136">
        <f>'REITORIA_SEMS(+BU)'!L6+REITORIA_MUSEU!L6+CAV!L6+CCT!L6+CEAD!L6+CEART!L6+CEAVI!L6+CEFID!L6+CEO!L6+CEPLAN!L6+CERES!L6+CESFI!L6+CESMO!L6+ESAG!L6+FAED!L6</f>
        <v>15</v>
      </c>
      <c r="N6" s="133">
        <f t="shared" si="0"/>
        <v>6.5</v>
      </c>
      <c r="O6" s="134">
        <f>'REITORIA_SEMS(+BU)'!P6+'REITORIA_SEMS(+BU)'!Q6+REITORIA_MUSEU!P6+REITORIA_MUSEU!Q6+CAV!P6+CAV!Q6+CCT!P6+CCT!Q6+CEAD!P6+CEAD!Q6+CEART!P6+CEART!Q6+CEAVI!P6+CEAVI!Q6+CEFID!P6+CEFID!Q6+CEO!P6+CEO!Q6+CEPLAN!P6+CEPLAN!Q6+CERES!P6+CERES!Q6+CESFI!P6+CESFI!Q6+CESMO!P6+CESMO!Q6+ESAG!P6+ESAG!Q6+FAED!P6+FAED!Q6</f>
        <v>0</v>
      </c>
      <c r="P6" s="15">
        <f t="shared" si="1"/>
        <v>13</v>
      </c>
      <c r="Q6" s="16">
        <f t="shared" si="2"/>
        <v>50456</v>
      </c>
      <c r="R6" s="16">
        <f t="shared" si="3"/>
        <v>0</v>
      </c>
      <c r="S6" s="16">
        <f t="shared" si="4"/>
        <v>27030</v>
      </c>
    </row>
    <row r="7" spans="1:19" ht="42.75" customHeight="1" x14ac:dyDescent="0.35">
      <c r="A7" s="44">
        <v>4</v>
      </c>
      <c r="B7" s="44">
        <v>4</v>
      </c>
      <c r="C7" s="45" t="s">
        <v>67</v>
      </c>
      <c r="D7" s="46" t="s">
        <v>73</v>
      </c>
      <c r="E7" s="45" t="s">
        <v>74</v>
      </c>
      <c r="F7" s="45" t="s">
        <v>20</v>
      </c>
      <c r="G7" s="45" t="s">
        <v>75</v>
      </c>
      <c r="H7" s="45" t="s">
        <v>5</v>
      </c>
      <c r="I7" s="45" t="s">
        <v>6</v>
      </c>
      <c r="J7" s="47">
        <v>1800</v>
      </c>
      <c r="K7" s="14">
        <f>'REITORIA_SEMS(+BU)'!K7+REITORIA_MUSEU!K7+CAV!K7+CCT!K7+CEAD!K7+CEART!K7+CEAVI!K7+CEFID!K7+CEO!K7+CEPLAN!K7+CERES!K7+CESFI!K7+CESMO!K7+ESAG!K7+FAED!K7</f>
        <v>45</v>
      </c>
      <c r="L7" s="13">
        <f>'REITORIA_SEMS(+BU)'!K7-'REITORIA_SEMS(+BU)'!S7+REITORIA_MUSEU!K7-REITORIA_MUSEU!S7+CAV!K7-CAV!S7+CCT!K7-CCT!S7+CEAD!K7-CEAD!S7+CEART!K7-CEART!S7+CEAVI!K7-CEAVI!S7+CEFID!K7-CEFID!S7+CEO!K7-CEO!S7+CEPLAN!K7-CEPLAN!S7+CERES!K7-CERES!S7+CESFI!K7-CESFI!S7+CESMO!K7-CESMO!S7+ESAG!K7-ESAG!S7+FAED!K7-FAED!S7</f>
        <v>40</v>
      </c>
      <c r="M7" s="136">
        <f>'REITORIA_SEMS(+BU)'!L7+REITORIA_MUSEU!L7+CAV!L7+CCT!L7+CEAD!L7+CEART!L7+CEAVI!L7+CEFID!L7+CEO!L7+CEPLAN!L7+CERES!L7+CESFI!L7+CESMO!L7+ESAG!L7+FAED!L7</f>
        <v>40</v>
      </c>
      <c r="N7" s="133">
        <f t="shared" si="0"/>
        <v>10.75</v>
      </c>
      <c r="O7" s="134">
        <f>'REITORIA_SEMS(+BU)'!P7+'REITORIA_SEMS(+BU)'!Q7+REITORIA_MUSEU!P7+REITORIA_MUSEU!Q7+CAV!P7+CAV!Q7+CCT!P7+CCT!Q7+CEAD!P7+CEAD!Q7+CEART!P7+CEART!Q7+CEAVI!P7+CEAVI!Q7+CEFID!P7+CEFID!Q7+CEO!P7+CEO!Q7+CEPLAN!P7+CEPLAN!Q7+CERES!P7+CERES!Q7+CESFI!P7+CESFI!Q7+CESMO!P7+CESMO!Q7+ESAG!P7+ESAG!Q7+FAED!P7+FAED!Q7</f>
        <v>0</v>
      </c>
      <c r="P7" s="15">
        <f t="shared" si="1"/>
        <v>5</v>
      </c>
      <c r="Q7" s="16">
        <f t="shared" si="2"/>
        <v>81000</v>
      </c>
      <c r="R7" s="16">
        <f t="shared" si="3"/>
        <v>0</v>
      </c>
      <c r="S7" s="16">
        <f t="shared" si="4"/>
        <v>72000</v>
      </c>
    </row>
    <row r="8" spans="1:19" ht="35.15" customHeight="1" x14ac:dyDescent="0.35">
      <c r="A8" s="37">
        <v>5</v>
      </c>
      <c r="B8" s="37">
        <v>5</v>
      </c>
      <c r="C8" s="35" t="s">
        <v>63</v>
      </c>
      <c r="D8" s="34" t="s">
        <v>76</v>
      </c>
      <c r="E8" s="35" t="s">
        <v>77</v>
      </c>
      <c r="F8" s="35" t="s">
        <v>20</v>
      </c>
      <c r="G8" s="35" t="s">
        <v>78</v>
      </c>
      <c r="H8" s="35" t="s">
        <v>5</v>
      </c>
      <c r="I8" s="35" t="s">
        <v>6</v>
      </c>
      <c r="J8" s="36">
        <v>2686</v>
      </c>
      <c r="K8" s="14">
        <f>'REITORIA_SEMS(+BU)'!K8+REITORIA_MUSEU!K8+CAV!K8+CCT!K8+CEAD!K8+CEART!K8+CEAVI!K8+CEFID!K8+CEO!K8+CEPLAN!K8+CERES!K8+CESFI!K8+CESMO!K8+ESAG!K8+FAED!K8</f>
        <v>40</v>
      </c>
      <c r="L8" s="13">
        <f>'REITORIA_SEMS(+BU)'!K8-'REITORIA_SEMS(+BU)'!S8+REITORIA_MUSEU!K8-REITORIA_MUSEU!S8+CAV!K8-CAV!S8+CCT!K8-CCT!S8+CEAD!K8-CEAD!S8+CEART!K8-CEART!S8+CEAVI!K8-CEAVI!S8+CEFID!K8-CEFID!S8+CEO!K8-CEO!S8+CEPLAN!K8-CEPLAN!S8+CERES!K8-CERES!S8+CESFI!K8-CESFI!S8+CESMO!K8-CESMO!S8+ESAG!K8-ESAG!S8+FAED!K8-FAED!S8</f>
        <v>34</v>
      </c>
      <c r="M8" s="136">
        <f>'REITORIA_SEMS(+BU)'!L8+REITORIA_MUSEU!L8+CAV!L8+CCT!L8+CEAD!L8+CEART!L8+CEAVI!L8+CEFID!L8+CEO!L8+CEPLAN!L8+CERES!L8+CESFI!L8+CESMO!L8+ESAG!L8+FAED!L8</f>
        <v>34</v>
      </c>
      <c r="N8" s="133">
        <f t="shared" si="0"/>
        <v>9.5</v>
      </c>
      <c r="O8" s="134">
        <f>'REITORIA_SEMS(+BU)'!P8+'REITORIA_SEMS(+BU)'!Q8+REITORIA_MUSEU!P8+REITORIA_MUSEU!Q8+CAV!P8+CAV!Q8+CCT!P8+CCT!Q8+CEAD!P8+CEAD!Q8+CEART!P8+CEART!Q8+CEAVI!P8+CEAVI!Q8+CEFID!P8+CEFID!Q8+CEO!P8+CEO!Q8+CEPLAN!P8+CEPLAN!Q8+CERES!P8+CERES!Q8+CESFI!P8+CESFI!Q8+CESMO!P8+CESMO!Q8+ESAG!P8+ESAG!Q8+FAED!P8+FAED!Q8</f>
        <v>0</v>
      </c>
      <c r="P8" s="15">
        <f t="shared" si="1"/>
        <v>6</v>
      </c>
      <c r="Q8" s="16">
        <f t="shared" si="2"/>
        <v>107440</v>
      </c>
      <c r="R8" s="16">
        <f t="shared" si="3"/>
        <v>0</v>
      </c>
      <c r="S8" s="16">
        <f t="shared" si="4"/>
        <v>91324</v>
      </c>
    </row>
    <row r="9" spans="1:19" ht="73.400000000000006" customHeight="1" x14ac:dyDescent="0.35">
      <c r="A9" s="80">
        <v>6</v>
      </c>
      <c r="B9" s="80">
        <v>6</v>
      </c>
      <c r="C9" s="81" t="s">
        <v>67</v>
      </c>
      <c r="D9" s="82" t="s">
        <v>79</v>
      </c>
      <c r="E9" s="87" t="s">
        <v>182</v>
      </c>
      <c r="F9" s="81" t="s">
        <v>20</v>
      </c>
      <c r="G9" s="81" t="s">
        <v>21</v>
      </c>
      <c r="H9" s="81" t="s">
        <v>5</v>
      </c>
      <c r="I9" s="81" t="s">
        <v>6</v>
      </c>
      <c r="J9" s="83">
        <v>2821.51</v>
      </c>
      <c r="K9" s="14">
        <f>'REITORIA_SEMS(+BU)'!K9+REITORIA_MUSEU!K9+CAV!K9+CCT!K9+CEAD!K9+CEART!K9+CEAVI!K9+CEFID!K9+CEO!K9+CEPLAN!K9+CERES!K9+CESFI!K9+CESMO!K9+ESAG!K9+FAED!K9</f>
        <v>56</v>
      </c>
      <c r="L9" s="13">
        <f>'REITORIA_SEMS(+BU)'!K9-'REITORIA_SEMS(+BU)'!S9+REITORIA_MUSEU!K9-REITORIA_MUSEU!S9+CAV!K9-CAV!S9+CCT!K9-CCT!S9+CEAD!K9-CEAD!S9+CEART!K9-CEART!S9+CEAVI!K9-CEAVI!S9+CEFID!K9-CEFID!S9+CEO!K9-CEO!S9+CEPLAN!K9-CEPLAN!S9+CERES!K9-CERES!S9+CESFI!K9-CESFI!S9+CESMO!K9-CESMO!S9+ESAG!K9-ESAG!S9+FAED!K9-FAED!S9</f>
        <v>32</v>
      </c>
      <c r="M9" s="136">
        <f>'REITORIA_SEMS(+BU)'!L9+REITORIA_MUSEU!L9+CAV!L9+CCT!L9+CEAD!L9+CEART!L9+CEAVI!L9+CEFID!L9+CEO!L9+CEPLAN!L9+CERES!L9+CESFI!L9+CESMO!L9+ESAG!L9+FAED!L9</f>
        <v>31</v>
      </c>
      <c r="N9" s="133">
        <f t="shared" si="0"/>
        <v>13.5</v>
      </c>
      <c r="O9" s="134">
        <f>'REITORIA_SEMS(+BU)'!P9+'REITORIA_SEMS(+BU)'!Q9+REITORIA_MUSEU!P9+REITORIA_MUSEU!Q9+CAV!P9+CAV!Q9+CCT!P9+CCT!Q9+CEAD!P9+CEAD!Q9+CEART!P9+CEART!Q9+CEAVI!P9+CEAVI!Q9+CEFID!P9+CEFID!Q9+CEO!P9+CEO!Q9+CEPLAN!P9+CEPLAN!Q9+CERES!P9+CERES!Q9+CESFI!P9+CESFI!Q9+CESMO!P9+CESMO!Q9+ESAG!P9+ESAG!Q9+FAED!P9+FAED!Q9</f>
        <v>0</v>
      </c>
      <c r="P9" s="15">
        <f t="shared" si="1"/>
        <v>24</v>
      </c>
      <c r="Q9" s="16">
        <f t="shared" si="2"/>
        <v>158004.56</v>
      </c>
      <c r="R9" s="16">
        <f t="shared" si="3"/>
        <v>0</v>
      </c>
      <c r="S9" s="16">
        <f t="shared" si="4"/>
        <v>90288.320000000007</v>
      </c>
    </row>
    <row r="10" spans="1:19" ht="53.5" customHeight="1" x14ac:dyDescent="0.35">
      <c r="A10" s="37">
        <v>7</v>
      </c>
      <c r="B10" s="37">
        <v>7</v>
      </c>
      <c r="C10" s="35" t="s">
        <v>63</v>
      </c>
      <c r="D10" s="34" t="s">
        <v>80</v>
      </c>
      <c r="E10" s="35" t="s">
        <v>81</v>
      </c>
      <c r="F10" s="35" t="s">
        <v>20</v>
      </c>
      <c r="G10" s="35" t="s">
        <v>21</v>
      </c>
      <c r="H10" s="35" t="s">
        <v>5</v>
      </c>
      <c r="I10" s="35" t="s">
        <v>6</v>
      </c>
      <c r="J10" s="36">
        <v>7446</v>
      </c>
      <c r="K10" s="14">
        <f>'REITORIA_SEMS(+BU)'!K10+REITORIA_MUSEU!K10+CAV!K10+CCT!K10+CEAD!K10+CEART!K10+CEAVI!K10+CEFID!K10+CEO!K10+CEPLAN!K10+CERES!K10+CESFI!K10+CESMO!K10+ESAG!K10+FAED!K10</f>
        <v>3</v>
      </c>
      <c r="L10" s="13">
        <f>'REITORIA_SEMS(+BU)'!K10-'REITORIA_SEMS(+BU)'!S10+REITORIA_MUSEU!K10-REITORIA_MUSEU!S10+CAV!K10-CAV!S10+CCT!K10-CCT!S10+CEAD!K10-CEAD!S10+CEART!K10-CEART!S10+CEAVI!K10-CEAVI!S10+CEFID!K10-CEFID!S10+CEO!K10-CEO!S10+CEPLAN!K10-CEPLAN!S10+CERES!K10-CERES!S10+CESFI!K10-CESFI!S10+CESMO!K10-CESMO!S10+ESAG!K10-ESAG!S10+FAED!K10-FAED!S10</f>
        <v>0</v>
      </c>
      <c r="M10" s="136">
        <f>'REITORIA_SEMS(+BU)'!L10+REITORIA_MUSEU!L10+CAV!L10+CCT!L10+CEAD!L10+CEART!L10+CEAVI!L10+CEFID!L10+CEO!L10+CEPLAN!L10+CERES!L10+CESFI!L10+CESMO!L10+ESAG!L10+FAED!L10</f>
        <v>0</v>
      </c>
      <c r="N10" s="133">
        <f t="shared" si="0"/>
        <v>0.25</v>
      </c>
      <c r="O10" s="134">
        <f>'REITORIA_SEMS(+BU)'!P10+'REITORIA_SEMS(+BU)'!Q10+REITORIA_MUSEU!P10+REITORIA_MUSEU!Q10+CAV!P10+CAV!Q10+CCT!P10+CCT!Q10+CEAD!P10+CEAD!Q10+CEART!P10+CEART!Q10+CEAVI!P10+CEAVI!Q10+CEFID!P10+CEFID!Q10+CEO!P10+CEO!Q10+CEPLAN!P10+CEPLAN!Q10+CERES!P10+CERES!Q10+CESFI!P10+CESFI!Q10+CESMO!P10+CESMO!Q10+ESAG!P10+ESAG!Q10+FAED!P10+FAED!Q10</f>
        <v>0</v>
      </c>
      <c r="P10" s="15">
        <f t="shared" si="1"/>
        <v>3</v>
      </c>
      <c r="Q10" s="16">
        <f t="shared" si="2"/>
        <v>22338</v>
      </c>
      <c r="R10" s="16">
        <f t="shared" si="3"/>
        <v>0</v>
      </c>
      <c r="S10" s="16">
        <f t="shared" si="4"/>
        <v>0</v>
      </c>
    </row>
    <row r="11" spans="1:19" ht="47.5" customHeight="1" x14ac:dyDescent="0.35">
      <c r="A11" s="44">
        <v>8</v>
      </c>
      <c r="B11" s="44">
        <v>8</v>
      </c>
      <c r="C11" s="45" t="s">
        <v>63</v>
      </c>
      <c r="D11" s="46" t="s">
        <v>82</v>
      </c>
      <c r="E11" s="45" t="s">
        <v>81</v>
      </c>
      <c r="F11" s="45" t="s">
        <v>20</v>
      </c>
      <c r="G11" s="45" t="s">
        <v>21</v>
      </c>
      <c r="H11" s="45" t="s">
        <v>5</v>
      </c>
      <c r="I11" s="45" t="s">
        <v>6</v>
      </c>
      <c r="J11" s="47">
        <v>7375</v>
      </c>
      <c r="K11" s="14">
        <f>'REITORIA_SEMS(+BU)'!K11+REITORIA_MUSEU!K11+CAV!K11+CCT!K11+CEAD!K11+CEART!K11+CEAVI!K11+CEFID!K11+CEO!K11+CEPLAN!K11+CERES!K11+CESFI!K11+CESMO!K11+ESAG!K11+FAED!K11</f>
        <v>2</v>
      </c>
      <c r="L11" s="13">
        <f>'REITORIA_SEMS(+BU)'!K11-'REITORIA_SEMS(+BU)'!S11+REITORIA_MUSEU!K11-REITORIA_MUSEU!S11+CAV!K11-CAV!S11+CCT!K11-CCT!S11+CEAD!K11-CEAD!S11+CEART!K11-CEART!S11+CEAVI!K11-CEAVI!S11+CEFID!K11-CEFID!S11+CEO!K11-CEO!S11+CEPLAN!K11-CEPLAN!S11+CERES!K11-CERES!S11+CESFI!K11-CESFI!S11+CESMO!K11-CESMO!S11+ESAG!K11-ESAG!S11+FAED!K11-FAED!S11</f>
        <v>0</v>
      </c>
      <c r="M11" s="136">
        <f>'REITORIA_SEMS(+BU)'!L11+REITORIA_MUSEU!L11+CAV!L11+CCT!L11+CEAD!L11+CEART!L11+CEAVI!L11+CEFID!L11+CEO!L11+CEPLAN!L11+CERES!L11+CESFI!L11+CESMO!L11+ESAG!L11+FAED!L11</f>
        <v>0</v>
      </c>
      <c r="N11" s="133">
        <f t="shared" si="0"/>
        <v>0</v>
      </c>
      <c r="O11" s="134">
        <f>'REITORIA_SEMS(+BU)'!P11+'REITORIA_SEMS(+BU)'!Q11+REITORIA_MUSEU!P11+REITORIA_MUSEU!Q11+CAV!P11+CAV!Q11+CCT!P11+CCT!Q11+CEAD!P11+CEAD!Q11+CEART!P11+CEART!Q11+CEAVI!P11+CEAVI!Q11+CEFID!P11+CEFID!Q11+CEO!P11+CEO!Q11+CEPLAN!P11+CEPLAN!Q11+CERES!P11+CERES!Q11+CESFI!P11+CESFI!Q11+CESMO!P11+CESMO!Q11+ESAG!P11+ESAG!Q11+FAED!P11+FAED!Q11</f>
        <v>0</v>
      </c>
      <c r="P11" s="15">
        <f t="shared" si="1"/>
        <v>2</v>
      </c>
      <c r="Q11" s="16">
        <f t="shared" si="2"/>
        <v>14750</v>
      </c>
      <c r="R11" s="16">
        <f t="shared" si="3"/>
        <v>0</v>
      </c>
      <c r="S11" s="16">
        <f t="shared" si="4"/>
        <v>0</v>
      </c>
    </row>
    <row r="12" spans="1:19" ht="35.15" customHeight="1" x14ac:dyDescent="0.35">
      <c r="A12" s="37">
        <v>9</v>
      </c>
      <c r="B12" s="37">
        <v>9</v>
      </c>
      <c r="C12" s="35" t="s">
        <v>83</v>
      </c>
      <c r="D12" s="34" t="s">
        <v>84</v>
      </c>
      <c r="E12" s="35" t="s">
        <v>85</v>
      </c>
      <c r="F12" s="35" t="s">
        <v>20</v>
      </c>
      <c r="G12" s="35" t="s">
        <v>22</v>
      </c>
      <c r="H12" s="35" t="s">
        <v>5</v>
      </c>
      <c r="I12" s="35" t="s">
        <v>6</v>
      </c>
      <c r="J12" s="36">
        <v>6213.51</v>
      </c>
      <c r="K12" s="14">
        <f>'REITORIA_SEMS(+BU)'!K12+REITORIA_MUSEU!K12+CAV!K12+CCT!K12+CEAD!K12+CEART!K12+CEAVI!K12+CEFID!K12+CEO!K12+CEPLAN!K12+CERES!K12+CESFI!K12+CESMO!K12+ESAG!K12+FAED!K12</f>
        <v>15</v>
      </c>
      <c r="L12" s="13">
        <f>'REITORIA_SEMS(+BU)'!K12-'REITORIA_SEMS(+BU)'!S12+REITORIA_MUSEU!K12-REITORIA_MUSEU!S12+CAV!K12-CAV!S12+CCT!K12-CCT!S12+CEAD!K12-CEAD!S12+CEART!K12-CEART!S12+CEAVI!K12-CEAVI!S12+CEFID!K12-CEFID!S12+CEO!K12-CEO!S12+CEPLAN!K12-CEPLAN!S12+CERES!K12-CERES!S12+CESFI!K12-CESFI!S12+CESMO!K12-CESMO!S12+ESAG!K12-ESAG!S12+FAED!K12-FAED!S12</f>
        <v>5</v>
      </c>
      <c r="M12" s="136">
        <f>'REITORIA_SEMS(+BU)'!L12+REITORIA_MUSEU!L12+CAV!L12+CCT!L12+CEAD!L12+CEART!L12+CEAVI!L12+CEFID!L12+CEO!L12+CEPLAN!L12+CERES!L12+CESFI!L12+CESMO!L12+ESAG!L12+FAED!L12</f>
        <v>5</v>
      </c>
      <c r="N12" s="133">
        <f t="shared" si="0"/>
        <v>3.25</v>
      </c>
      <c r="O12" s="134">
        <f>'REITORIA_SEMS(+BU)'!P12+'REITORIA_SEMS(+BU)'!Q12+REITORIA_MUSEU!P12+REITORIA_MUSEU!Q12+CAV!P12+CAV!Q12+CCT!P12+CCT!Q12+CEAD!P12+CEAD!Q12+CEART!P12+CEART!Q12+CEAVI!P12+CEAVI!Q12+CEFID!P12+CEFID!Q12+CEO!P12+CEO!Q12+CEPLAN!P12+CEPLAN!Q12+CERES!P12+CERES!Q12+CESFI!P12+CESFI!Q12+CESMO!P12+CESMO!Q12+ESAG!P12+ESAG!Q12+FAED!P12+FAED!Q12</f>
        <v>0</v>
      </c>
      <c r="P12" s="15">
        <f t="shared" si="1"/>
        <v>10</v>
      </c>
      <c r="Q12" s="16">
        <f t="shared" si="2"/>
        <v>93202.650000000009</v>
      </c>
      <c r="R12" s="16">
        <f t="shared" si="3"/>
        <v>0</v>
      </c>
      <c r="S12" s="16">
        <f t="shared" si="4"/>
        <v>31067.550000000003</v>
      </c>
    </row>
    <row r="13" spans="1:19" ht="35.15" customHeight="1" x14ac:dyDescent="0.35">
      <c r="A13" s="44">
        <v>10</v>
      </c>
      <c r="B13" s="44">
        <v>10</v>
      </c>
      <c r="C13" s="45" t="s">
        <v>63</v>
      </c>
      <c r="D13" s="46" t="s">
        <v>86</v>
      </c>
      <c r="E13" s="45" t="s">
        <v>87</v>
      </c>
      <c r="F13" s="45" t="s">
        <v>20</v>
      </c>
      <c r="G13" s="45" t="s">
        <v>22</v>
      </c>
      <c r="H13" s="45" t="s">
        <v>5</v>
      </c>
      <c r="I13" s="45" t="s">
        <v>6</v>
      </c>
      <c r="J13" s="47">
        <v>6689.61</v>
      </c>
      <c r="K13" s="14">
        <f>'REITORIA_SEMS(+BU)'!K13+REITORIA_MUSEU!K13+CAV!K13+CCT!K13+CEAD!K13+CEART!K13+CEAVI!K13+CEFID!K13+CEO!K13+CEPLAN!K13+CERES!K13+CESFI!K13+CESMO!K13+ESAG!K13+FAED!K13</f>
        <v>26</v>
      </c>
      <c r="L13" s="13">
        <f>'REITORIA_SEMS(+BU)'!K13-'REITORIA_SEMS(+BU)'!S13+REITORIA_MUSEU!K13-REITORIA_MUSEU!S13+CAV!K13-CAV!S13+CCT!K13-CCT!S13+CEAD!K13-CEAD!S13+CEART!K13-CEART!S13+CEAVI!K13-CEAVI!S13+CEFID!K13-CEFID!S13+CEO!K13-CEO!S13+CEPLAN!K13-CEPLAN!S13+CERES!K13-CERES!S13+CESFI!K13-CESFI!S13+CESMO!K13-CESMO!S13+ESAG!K13-ESAG!S13+FAED!K13-FAED!S13</f>
        <v>19</v>
      </c>
      <c r="M13" s="136">
        <f>'REITORIA_SEMS(+BU)'!L13+REITORIA_MUSEU!L13+CAV!L13+CCT!L13+CEAD!L13+CEART!L13+CEAVI!L13+CEFID!L13+CEO!L13+CEPLAN!L13+CERES!L13+CESFI!L13+CESMO!L13+ESAG!L13+FAED!L13</f>
        <v>19</v>
      </c>
      <c r="N13" s="133">
        <f t="shared" si="0"/>
        <v>6</v>
      </c>
      <c r="O13" s="134">
        <f>'REITORIA_SEMS(+BU)'!P13+'REITORIA_SEMS(+BU)'!Q13+REITORIA_MUSEU!P13+REITORIA_MUSEU!Q13+CAV!P13+CAV!Q13+CCT!P13+CCT!Q13+CEAD!P13+CEAD!Q13+CEART!P13+CEART!Q13+CEAVI!P13+CEAVI!Q13+CEFID!P13+CEFID!Q13+CEO!P13+CEO!Q13+CEPLAN!P13+CEPLAN!Q13+CERES!P13+CERES!Q13+CESFI!P13+CESFI!Q13+CESMO!P13+CESMO!Q13+ESAG!P13+ESAG!Q13+FAED!P13+FAED!Q13</f>
        <v>0</v>
      </c>
      <c r="P13" s="15">
        <f t="shared" si="1"/>
        <v>7</v>
      </c>
      <c r="Q13" s="16">
        <f t="shared" si="2"/>
        <v>173929.86</v>
      </c>
      <c r="R13" s="16">
        <f t="shared" si="3"/>
        <v>0</v>
      </c>
      <c r="S13" s="16">
        <f t="shared" si="4"/>
        <v>127102.59</v>
      </c>
    </row>
    <row r="14" spans="1:19" ht="35.15" customHeight="1" x14ac:dyDescent="0.35">
      <c r="A14" s="37">
        <v>11</v>
      </c>
      <c r="B14" s="37">
        <v>11</v>
      </c>
      <c r="C14" s="35" t="s">
        <v>83</v>
      </c>
      <c r="D14" s="34" t="s">
        <v>88</v>
      </c>
      <c r="E14" s="35" t="s">
        <v>89</v>
      </c>
      <c r="F14" s="37" t="s">
        <v>20</v>
      </c>
      <c r="G14" s="35" t="s">
        <v>22</v>
      </c>
      <c r="H14" s="37" t="s">
        <v>5</v>
      </c>
      <c r="I14" s="35" t="s">
        <v>6</v>
      </c>
      <c r="J14" s="36">
        <v>3445.06</v>
      </c>
      <c r="K14" s="14">
        <f>'REITORIA_SEMS(+BU)'!K14+REITORIA_MUSEU!K14+CAV!K14+CCT!K14+CEAD!K14+CEART!K14+CEAVI!K14+CEFID!K14+CEO!K14+CEPLAN!K14+CERES!K14+CESFI!K14+CESMO!K14+ESAG!K14+FAED!K14</f>
        <v>45</v>
      </c>
      <c r="L14" s="13">
        <f>'REITORIA_SEMS(+BU)'!K14-'REITORIA_SEMS(+BU)'!S14+REITORIA_MUSEU!K14-REITORIA_MUSEU!S14+CAV!K14-CAV!S14+CCT!K14-CCT!S14+CEAD!K14-CEAD!S14+CEART!K14-CEART!S14+CEAVI!K14-CEAVI!S14+CEFID!K14-CEFID!S14+CEO!K14-CEO!S14+CEPLAN!K14-CEPLAN!S14+CERES!K14-CERES!S14+CESFI!K14-CESFI!S14+CESMO!K14-CESMO!S14+ESAG!K14-ESAG!S14+FAED!K14-FAED!S14</f>
        <v>36</v>
      </c>
      <c r="M14" s="136">
        <f>'REITORIA_SEMS(+BU)'!L14+REITORIA_MUSEU!L14+CAV!L14+CCT!L14+CEAD!L14+CEART!L14+CEAVI!L14+CEFID!L14+CEO!L14+CEPLAN!L14+CERES!L14+CESFI!L14+CESMO!L14+ESAG!L14+FAED!L14</f>
        <v>35</v>
      </c>
      <c r="N14" s="133">
        <f t="shared" si="0"/>
        <v>10.75</v>
      </c>
      <c r="O14" s="134">
        <f>'REITORIA_SEMS(+BU)'!P14+'REITORIA_SEMS(+BU)'!Q14+REITORIA_MUSEU!P14+REITORIA_MUSEU!Q14+CAV!P14+CAV!Q14+CCT!P14+CCT!Q14+CEAD!P14+CEAD!Q14+CEART!P14+CEART!Q14+CEAVI!P14+CEAVI!Q14+CEFID!P14+CEFID!Q14+CEO!P14+CEO!Q14+CEPLAN!P14+CEPLAN!Q14+CERES!P14+CERES!Q14+CESFI!P14+CESFI!Q14+CESMO!P14+CESMO!Q14+ESAG!P14+ESAG!Q14+FAED!P14+FAED!Q14</f>
        <v>0</v>
      </c>
      <c r="P14" s="15">
        <f t="shared" si="1"/>
        <v>9</v>
      </c>
      <c r="Q14" s="16">
        <f t="shared" si="2"/>
        <v>155027.70000000001</v>
      </c>
      <c r="R14" s="16">
        <f t="shared" si="3"/>
        <v>0</v>
      </c>
      <c r="S14" s="16">
        <f t="shared" si="4"/>
        <v>124022.16</v>
      </c>
    </row>
    <row r="15" spans="1:19" ht="35.15" customHeight="1" x14ac:dyDescent="0.35">
      <c r="A15" s="84">
        <v>12</v>
      </c>
      <c r="B15" s="84">
        <v>12</v>
      </c>
      <c r="C15" s="59" t="s">
        <v>83</v>
      </c>
      <c r="D15" s="85" t="s">
        <v>90</v>
      </c>
      <c r="E15" s="59" t="s">
        <v>91</v>
      </c>
      <c r="F15" s="84" t="s">
        <v>20</v>
      </c>
      <c r="G15" s="84" t="s">
        <v>22</v>
      </c>
      <c r="H15" s="84" t="s">
        <v>5</v>
      </c>
      <c r="I15" s="59" t="s">
        <v>6</v>
      </c>
      <c r="J15" s="86">
        <v>3617.48</v>
      </c>
      <c r="K15" s="14">
        <f>'REITORIA_SEMS(+BU)'!K15+REITORIA_MUSEU!K15+CAV!K15+CCT!K15+CEAD!K15+CEART!K15+CEAVI!K15+CEFID!K15+CEO!K15+CEPLAN!K15+CERES!K15+CESFI!K15+CESMO!K15+ESAG!K15+FAED!K15</f>
        <v>28</v>
      </c>
      <c r="L15" s="13">
        <f>'REITORIA_SEMS(+BU)'!K15-'REITORIA_SEMS(+BU)'!S15+REITORIA_MUSEU!K15-REITORIA_MUSEU!S15+CAV!K15-CAV!S15+CCT!K15-CCT!S15+CEAD!K15-CEAD!S15+CEART!K15-CEART!S15+CEAVI!K15-CEAVI!S15+CEFID!K15-CEFID!S15+CEO!K15-CEO!S15+CEPLAN!K15-CEPLAN!S15+CERES!K15-CERES!S15+CESFI!K15-CESFI!S15+CESMO!K15-CESMO!S15+ESAG!K15-ESAG!S15+FAED!K15-FAED!S15</f>
        <v>16</v>
      </c>
      <c r="M15" s="136">
        <f>'REITORIA_SEMS(+BU)'!L15+REITORIA_MUSEU!L15+CAV!L15+CCT!L15+CEAD!L15+CEART!L15+CEAVI!L15+CEFID!L15+CEO!L15+CEPLAN!L15+CERES!L15+CESFI!L15+CESMO!L15+ESAG!L15+FAED!L15</f>
        <v>17</v>
      </c>
      <c r="N15" s="133">
        <f t="shared" si="0"/>
        <v>6.5</v>
      </c>
      <c r="O15" s="134">
        <f>'REITORIA_SEMS(+BU)'!P15+'REITORIA_SEMS(+BU)'!Q15+REITORIA_MUSEU!P15+REITORIA_MUSEU!Q15+CAV!P15+CAV!Q15+CCT!P15+CCT!Q15+CEAD!P15+CEAD!Q15+CEART!P15+CEART!Q15+CEAVI!P15+CEAVI!Q15+CEFID!P15+CEFID!Q15+CEO!P15+CEO!Q15+CEPLAN!P15+CEPLAN!Q15+CERES!P15+CERES!Q15+CESFI!P15+CESFI!Q15+CESMO!P15+CESMO!Q15+ESAG!P15+ESAG!Q15+FAED!P15+FAED!Q15</f>
        <v>0</v>
      </c>
      <c r="P15" s="15">
        <f t="shared" si="1"/>
        <v>12</v>
      </c>
      <c r="Q15" s="16">
        <f t="shared" si="2"/>
        <v>101289.44</v>
      </c>
      <c r="R15" s="16">
        <f t="shared" si="3"/>
        <v>0</v>
      </c>
      <c r="S15" s="16">
        <f t="shared" si="4"/>
        <v>57879.68</v>
      </c>
    </row>
    <row r="16" spans="1:19" ht="35.15" customHeight="1" x14ac:dyDescent="0.35">
      <c r="A16" s="37">
        <v>13</v>
      </c>
      <c r="B16" s="37">
        <v>13</v>
      </c>
      <c r="C16" s="35" t="s">
        <v>92</v>
      </c>
      <c r="D16" s="34" t="s">
        <v>93</v>
      </c>
      <c r="E16" s="35" t="s">
        <v>94</v>
      </c>
      <c r="F16" s="37" t="s">
        <v>20</v>
      </c>
      <c r="G16" s="37" t="s">
        <v>22</v>
      </c>
      <c r="H16" s="37" t="s">
        <v>5</v>
      </c>
      <c r="I16" s="35" t="s">
        <v>6</v>
      </c>
      <c r="J16" s="36">
        <v>7453.33</v>
      </c>
      <c r="K16" s="14">
        <f>'REITORIA_SEMS(+BU)'!K16+REITORIA_MUSEU!K16+CAV!K16+CCT!K16+CEAD!K16+CEART!K16+CEAVI!K16+CEFID!K16+CEO!K16+CEPLAN!K16+CERES!K16+CESFI!K16+CESMO!K16+ESAG!K16+FAED!K16</f>
        <v>3</v>
      </c>
      <c r="L16" s="13">
        <f>'REITORIA_SEMS(+BU)'!K16-'REITORIA_SEMS(+BU)'!S16+REITORIA_MUSEU!K16-REITORIA_MUSEU!S16+CAV!K16-CAV!S16+CCT!K16-CCT!S16+CEAD!K16-CEAD!S16+CEART!K16-CEART!S16+CEAVI!K16-CEAVI!S16+CEFID!K16-CEFID!S16+CEO!K16-CEO!S16+CEPLAN!K16-CEPLAN!S16+CERES!K16-CERES!S16+CESFI!K16-CESFI!S16+CESMO!K16-CESMO!S16+ESAG!K16-ESAG!S16+FAED!K16-FAED!S16</f>
        <v>0</v>
      </c>
      <c r="M16" s="136">
        <f>'REITORIA_SEMS(+BU)'!L16+REITORIA_MUSEU!L16+CAV!L16+CCT!L16+CEAD!L16+CEART!L16+CEAVI!L16+CEFID!L16+CEO!L16+CEPLAN!L16+CERES!L16+CESFI!L16+CESMO!L16+ESAG!L16+FAED!L16</f>
        <v>0</v>
      </c>
      <c r="N16" s="133">
        <f t="shared" si="0"/>
        <v>0.25</v>
      </c>
      <c r="O16" s="134">
        <f>'REITORIA_SEMS(+BU)'!P16+'REITORIA_SEMS(+BU)'!Q16+REITORIA_MUSEU!P16+REITORIA_MUSEU!Q16+CAV!P16+CAV!Q16+CCT!P16+CCT!Q16+CEAD!P16+CEAD!Q16+CEART!P16+CEART!Q16+CEAVI!P16+CEAVI!Q16+CEFID!P16+CEFID!Q16+CEO!P16+CEO!Q16+CEPLAN!P16+CEPLAN!Q16+CERES!P16+CERES!Q16+CESFI!P16+CESFI!Q16+CESMO!P16+CESMO!Q16+ESAG!P16+ESAG!Q16+FAED!P16+FAED!Q16</f>
        <v>0</v>
      </c>
      <c r="P16" s="15">
        <f t="shared" si="1"/>
        <v>3</v>
      </c>
      <c r="Q16" s="16">
        <f t="shared" si="2"/>
        <v>22359.989999999998</v>
      </c>
      <c r="R16" s="16">
        <f t="shared" si="3"/>
        <v>0</v>
      </c>
      <c r="S16" s="16">
        <f t="shared" si="4"/>
        <v>0</v>
      </c>
    </row>
    <row r="17" spans="1:19" ht="35.15" customHeight="1" x14ac:dyDescent="0.35">
      <c r="A17" s="44">
        <v>14</v>
      </c>
      <c r="B17" s="44">
        <v>14</v>
      </c>
      <c r="C17" s="45" t="s">
        <v>92</v>
      </c>
      <c r="D17" s="46" t="s">
        <v>95</v>
      </c>
      <c r="E17" s="45" t="s">
        <v>94</v>
      </c>
      <c r="F17" s="45" t="s">
        <v>20</v>
      </c>
      <c r="G17" s="45" t="s">
        <v>22</v>
      </c>
      <c r="H17" s="45" t="s">
        <v>5</v>
      </c>
      <c r="I17" s="45" t="s">
        <v>6</v>
      </c>
      <c r="J17" s="47">
        <v>9561.2000000000007</v>
      </c>
      <c r="K17" s="14">
        <f>'REITORIA_SEMS(+BU)'!K17+REITORIA_MUSEU!K17+CAV!K17+CCT!K17+CEAD!K17+CEART!K17+CEAVI!K17+CEFID!K17+CEO!K17+CEPLAN!K17+CERES!K17+CESFI!K17+CESMO!K17+ESAG!K17+FAED!K17</f>
        <v>5</v>
      </c>
      <c r="L17" s="13">
        <f>'REITORIA_SEMS(+BU)'!K17-'REITORIA_SEMS(+BU)'!S17+REITORIA_MUSEU!K17-REITORIA_MUSEU!S17+CAV!K17-CAV!S17+CCT!K17-CCT!S17+CEAD!K17-CEAD!S17+CEART!K17-CEART!S17+CEAVI!K17-CEAVI!S17+CEFID!K17-CEFID!S17+CEO!K17-CEO!S17+CEPLAN!K17-CEPLAN!S17+CERES!K17-CERES!S17+CESFI!K17-CESFI!S17+CESMO!K17-CESMO!S17+ESAG!K17-ESAG!S17+FAED!K17-FAED!S17</f>
        <v>1</v>
      </c>
      <c r="M17" s="136">
        <f>'REITORIA_SEMS(+BU)'!L17+REITORIA_MUSEU!L17+CAV!L17+CCT!L17+CEAD!L17+CEART!L17+CEAVI!L17+CEFID!L17+CEO!L17+CEPLAN!L17+CERES!L17+CESFI!L17+CESMO!L17+ESAG!L17+FAED!L17</f>
        <v>1</v>
      </c>
      <c r="N17" s="133">
        <f t="shared" si="0"/>
        <v>0.75</v>
      </c>
      <c r="O17" s="134">
        <f>'REITORIA_SEMS(+BU)'!P17+'REITORIA_SEMS(+BU)'!Q17+REITORIA_MUSEU!P17+REITORIA_MUSEU!Q17+CAV!P17+CAV!Q17+CCT!P17+CCT!Q17+CEAD!P17+CEAD!Q17+CEART!P17+CEART!Q17+CEAVI!P17+CEAVI!Q17+CEFID!P17+CEFID!Q17+CEO!P17+CEO!Q17+CEPLAN!P17+CEPLAN!Q17+CERES!P17+CERES!Q17+CESFI!P17+CESFI!Q17+CESMO!P17+CESMO!Q17+ESAG!P17+ESAG!Q17+FAED!P17+FAED!Q17</f>
        <v>0</v>
      </c>
      <c r="P17" s="15">
        <f t="shared" si="1"/>
        <v>4</v>
      </c>
      <c r="Q17" s="16">
        <f t="shared" si="2"/>
        <v>47806</v>
      </c>
      <c r="R17" s="16">
        <f t="shared" si="3"/>
        <v>0</v>
      </c>
      <c r="S17" s="16">
        <f t="shared" si="4"/>
        <v>9561.2000000000007</v>
      </c>
    </row>
    <row r="18" spans="1:19" ht="35.15" customHeight="1" x14ac:dyDescent="0.35">
      <c r="A18" s="37">
        <v>15</v>
      </c>
      <c r="B18" s="37">
        <v>15</v>
      </c>
      <c r="C18" s="35" t="s">
        <v>63</v>
      </c>
      <c r="D18" s="34" t="s">
        <v>96</v>
      </c>
      <c r="E18" s="35" t="s">
        <v>97</v>
      </c>
      <c r="F18" s="35" t="s">
        <v>20</v>
      </c>
      <c r="G18" s="35" t="s">
        <v>31</v>
      </c>
      <c r="H18" s="35" t="s">
        <v>5</v>
      </c>
      <c r="I18" s="35" t="s">
        <v>6</v>
      </c>
      <c r="J18" s="36">
        <v>7598</v>
      </c>
      <c r="K18" s="14">
        <f>'REITORIA_SEMS(+BU)'!K18+REITORIA_MUSEU!K18+CAV!K18+CCT!K18+CEAD!K18+CEART!K18+CEAVI!K18+CEFID!K18+CEO!K18+CEPLAN!K18+CERES!K18+CESFI!K18+CESMO!K18+ESAG!K18+FAED!K18</f>
        <v>9</v>
      </c>
      <c r="L18" s="13">
        <f>'REITORIA_SEMS(+BU)'!K18-'REITORIA_SEMS(+BU)'!S18+REITORIA_MUSEU!K18-REITORIA_MUSEU!S18+CAV!K18-CAV!S18+CCT!K18-CCT!S18+CEAD!K18-CEAD!S18+CEART!K18-CEART!S18+CEAVI!K18-CEAVI!S18+CEFID!K18-CEFID!S18+CEO!K18-CEO!S18+CEPLAN!K18-CEPLAN!S18+CERES!K18-CERES!S18+CESFI!K18-CESFI!S18+CESMO!K18-CESMO!S18+ESAG!K18-ESAG!S18+FAED!K18-FAED!S18</f>
        <v>0</v>
      </c>
      <c r="M18" s="136">
        <f>'REITORIA_SEMS(+BU)'!L18+REITORIA_MUSEU!L18+CAV!L18+CCT!L18+CEAD!L18+CEART!L18+CEAVI!L18+CEFID!L18+CEO!L18+CEPLAN!L18+CERES!L18+CESFI!L18+CESMO!L18+ESAG!L18+FAED!L18</f>
        <v>0</v>
      </c>
      <c r="N18" s="133">
        <f t="shared" si="0"/>
        <v>1.75</v>
      </c>
      <c r="O18" s="134">
        <f>'REITORIA_SEMS(+BU)'!P18+'REITORIA_SEMS(+BU)'!Q18+REITORIA_MUSEU!P18+REITORIA_MUSEU!Q18+CAV!P18+CAV!Q18+CCT!P18+CCT!Q18+CEAD!P18+CEAD!Q18+CEART!P18+CEART!Q18+CEAVI!P18+CEAVI!Q18+CEFID!P18+CEFID!Q18+CEO!P18+CEO!Q18+CEPLAN!P18+CEPLAN!Q18+CERES!P18+CERES!Q18+CESFI!P18+CESFI!Q18+CESMO!P18+CESMO!Q18+ESAG!P18+ESAG!Q18+FAED!P18+FAED!Q18</f>
        <v>0</v>
      </c>
      <c r="P18" s="15">
        <f t="shared" si="1"/>
        <v>9</v>
      </c>
      <c r="Q18" s="16">
        <f t="shared" si="2"/>
        <v>68382</v>
      </c>
      <c r="R18" s="16">
        <f t="shared" si="3"/>
        <v>0</v>
      </c>
      <c r="S18" s="16">
        <f t="shared" si="4"/>
        <v>0</v>
      </c>
    </row>
    <row r="19" spans="1:19" ht="35.15" customHeight="1" x14ac:dyDescent="0.35">
      <c r="A19" s="44">
        <v>16</v>
      </c>
      <c r="B19" s="44">
        <v>16</v>
      </c>
      <c r="C19" s="45" t="s">
        <v>83</v>
      </c>
      <c r="D19" s="46" t="s">
        <v>98</v>
      </c>
      <c r="E19" s="45" t="s">
        <v>99</v>
      </c>
      <c r="F19" s="45" t="s">
        <v>20</v>
      </c>
      <c r="G19" s="45" t="s">
        <v>100</v>
      </c>
      <c r="H19" s="45" t="s">
        <v>5</v>
      </c>
      <c r="I19" s="45" t="s">
        <v>6</v>
      </c>
      <c r="J19" s="47">
        <v>4540.34</v>
      </c>
      <c r="K19" s="14">
        <f>'REITORIA_SEMS(+BU)'!K19+REITORIA_MUSEU!K19+CAV!K19+CCT!K19+CEAD!K19+CEART!K19+CEAVI!K19+CEFID!K19+CEO!K19+CEPLAN!K19+CERES!K19+CESFI!K19+CESMO!K19+ESAG!K19+FAED!K19</f>
        <v>29</v>
      </c>
      <c r="L19" s="13">
        <f>'REITORIA_SEMS(+BU)'!K19-'REITORIA_SEMS(+BU)'!S19+REITORIA_MUSEU!K19-REITORIA_MUSEU!S19+CAV!K19-CAV!S19+CCT!K19-CCT!S19+CEAD!K19-CEAD!S19+CEART!K19-CEART!S19+CEAVI!K19-CEAVI!S19+CEFID!K19-CEFID!S19+CEO!K19-CEO!S19+CEPLAN!K19-CEPLAN!S19+CERES!K19-CERES!S19+CESFI!K19-CESFI!S19+CESMO!K19-CESMO!S19+ESAG!K19-ESAG!S19+FAED!K19-FAED!S19</f>
        <v>5</v>
      </c>
      <c r="M19" s="136">
        <f>'REITORIA_SEMS(+BU)'!L19+REITORIA_MUSEU!L19+CAV!L19+CCT!L19+CEAD!L19+CEART!L19+CEAVI!L19+CEFID!L19+CEO!L19+CEPLAN!L19+CERES!L19+CESFI!L19+CESMO!L19+ESAG!L19+FAED!L19</f>
        <v>5</v>
      </c>
      <c r="N19" s="133">
        <f t="shared" si="0"/>
        <v>6.75</v>
      </c>
      <c r="O19" s="134">
        <f>'REITORIA_SEMS(+BU)'!P19+'REITORIA_SEMS(+BU)'!Q19+REITORIA_MUSEU!P19+REITORIA_MUSEU!Q19+CAV!P19+CAV!Q19+CCT!P19+CCT!Q19+CEAD!P19+CEAD!Q19+CEART!P19+CEART!Q19+CEAVI!P19+CEAVI!Q19+CEFID!P19+CEFID!Q19+CEO!P19+CEO!Q19+CEPLAN!P19+CEPLAN!Q19+CERES!P19+CERES!Q19+CESFI!P19+CESFI!Q19+CESMO!P19+CESMO!Q19+ESAG!P19+ESAG!Q19+FAED!P19+FAED!Q19</f>
        <v>0</v>
      </c>
      <c r="P19" s="15">
        <f t="shared" si="1"/>
        <v>24</v>
      </c>
      <c r="Q19" s="16">
        <f t="shared" si="2"/>
        <v>131669.86000000002</v>
      </c>
      <c r="R19" s="16">
        <f t="shared" si="3"/>
        <v>0</v>
      </c>
      <c r="S19" s="16">
        <f t="shared" si="4"/>
        <v>22701.7</v>
      </c>
    </row>
    <row r="20" spans="1:19" ht="64" customHeight="1" x14ac:dyDescent="0.35">
      <c r="A20" s="88">
        <v>17</v>
      </c>
      <c r="B20" s="88">
        <v>17</v>
      </c>
      <c r="C20" s="89" t="s">
        <v>63</v>
      </c>
      <c r="D20" s="90" t="s">
        <v>101</v>
      </c>
      <c r="E20" s="91" t="s">
        <v>102</v>
      </c>
      <c r="F20" s="92" t="s">
        <v>20</v>
      </c>
      <c r="G20" s="92" t="s">
        <v>103</v>
      </c>
      <c r="H20" s="92" t="s">
        <v>5</v>
      </c>
      <c r="I20" s="92" t="s">
        <v>6</v>
      </c>
      <c r="J20" s="93">
        <v>7499</v>
      </c>
      <c r="K20" s="14">
        <f>'REITORIA_SEMS(+BU)'!K20+REITORIA_MUSEU!K20+CAV!K20+CCT!K20+CEAD!K20+CEART!K20+CEAVI!K20+CEFID!K20+CEO!K20+CEPLAN!K20+CERES!K20+CESFI!K20+CESMO!K20+ESAG!K20+FAED!K20</f>
        <v>38</v>
      </c>
      <c r="L20" s="13">
        <f>'REITORIA_SEMS(+BU)'!K20-'REITORIA_SEMS(+BU)'!S20+REITORIA_MUSEU!K20-REITORIA_MUSEU!S20+CAV!K20-CAV!S20+CCT!K20-CCT!S20+CEAD!K20-CEAD!S20+CEART!K20-CEART!S20+CEAVI!K20-CEAVI!S20+CEFID!K20-CEFID!S20+CEO!K20-CEO!S20+CEPLAN!K20-CEPLAN!S20+CERES!K20-CERES!S20+CESFI!K20-CESFI!S20+CESMO!K20-CESMO!S20+ESAG!K20-ESAG!S20+FAED!K20-FAED!S20</f>
        <v>33</v>
      </c>
      <c r="M20" s="136">
        <f>'REITORIA_SEMS(+BU)'!L20+REITORIA_MUSEU!L20+CAV!L20+CCT!L20+CEAD!L20+CEART!L20+CEAVI!L20+CEFID!L20+CEO!L20+CEPLAN!L20+CERES!L20+CESFI!L20+CESMO!L20+ESAG!L20+FAED!L20</f>
        <v>33</v>
      </c>
      <c r="N20" s="133">
        <f t="shared" si="0"/>
        <v>9</v>
      </c>
      <c r="O20" s="134">
        <f>'REITORIA_SEMS(+BU)'!P20+'REITORIA_SEMS(+BU)'!Q20+REITORIA_MUSEU!P20+REITORIA_MUSEU!Q20+CAV!P20+CAV!Q20+CCT!P20+CCT!Q20+CEAD!P20+CEAD!Q20+CEART!P20+CEART!Q20+CEAVI!P20+CEAVI!Q20+CEFID!P20+CEFID!Q20+CEO!P20+CEO!Q20+CEPLAN!P20+CEPLAN!Q20+CERES!P20+CERES!Q20+CESFI!P20+CESFI!Q20+CESMO!P20+CESMO!Q20+ESAG!P20+ESAG!Q20+FAED!P20+FAED!Q20</f>
        <v>0</v>
      </c>
      <c r="P20" s="15">
        <f t="shared" si="1"/>
        <v>5</v>
      </c>
      <c r="Q20" s="16">
        <f t="shared" si="2"/>
        <v>284962</v>
      </c>
      <c r="R20" s="16">
        <f t="shared" si="3"/>
        <v>0</v>
      </c>
      <c r="S20" s="16">
        <f t="shared" si="4"/>
        <v>247467</v>
      </c>
    </row>
    <row r="21" spans="1:19" ht="35.15" customHeight="1" x14ac:dyDescent="0.35">
      <c r="A21" s="84">
        <v>18</v>
      </c>
      <c r="B21" s="84">
        <v>18</v>
      </c>
      <c r="C21" s="59" t="s">
        <v>104</v>
      </c>
      <c r="D21" s="85" t="s">
        <v>105</v>
      </c>
      <c r="E21" s="114" t="s">
        <v>106</v>
      </c>
      <c r="F21" s="61" t="s">
        <v>20</v>
      </c>
      <c r="G21" s="84" t="s">
        <v>107</v>
      </c>
      <c r="H21" s="84" t="s">
        <v>5</v>
      </c>
      <c r="I21" s="84" t="s">
        <v>6</v>
      </c>
      <c r="J21" s="86">
        <v>9553.2000000000007</v>
      </c>
      <c r="K21" s="14">
        <f>'REITORIA_SEMS(+BU)'!K21+REITORIA_MUSEU!K21+CAV!K21+CCT!K21+CEAD!K21+CEART!K21+CEAVI!K21+CEFID!K21+CEO!K21+CEPLAN!K21+CERES!K21+CESFI!K21+CESMO!K21+ESAG!K21+FAED!K21</f>
        <v>48</v>
      </c>
      <c r="L21" s="13">
        <f>'REITORIA_SEMS(+BU)'!K21-'REITORIA_SEMS(+BU)'!S21+REITORIA_MUSEU!K21-REITORIA_MUSEU!S21+CAV!K21-CAV!S21+CCT!K21-CCT!S21+CEAD!K21-CEAD!S21+CEART!K21-CEART!S21+CEAVI!K21-CEAVI!S21+CEFID!K21-CEFID!S21+CEO!K21-CEO!S21+CEPLAN!K21-CEPLAN!S21+CERES!K21-CERES!S21+CESFI!K21-CESFI!S21+CESMO!K21-CESMO!S21+ESAG!K21-ESAG!S21+FAED!K21-FAED!S21</f>
        <v>35</v>
      </c>
      <c r="M21" s="136">
        <f>'REITORIA_SEMS(+BU)'!L21+REITORIA_MUSEU!L21+CAV!L21+CCT!L21+CEAD!L21+CEART!L21+CEAVI!L21+CEFID!L21+CEO!L21+CEPLAN!L21+CERES!L21+CESFI!L21+CESMO!L21+ESAG!L21+FAED!L21</f>
        <v>35</v>
      </c>
      <c r="N21" s="133">
        <f t="shared" si="0"/>
        <v>11.5</v>
      </c>
      <c r="O21" s="134">
        <f>'REITORIA_SEMS(+BU)'!P21+'REITORIA_SEMS(+BU)'!Q21+REITORIA_MUSEU!P21+REITORIA_MUSEU!Q21+CAV!P21+CAV!Q21+CCT!P21+CCT!Q21+CEAD!P21+CEAD!Q21+CEART!P21+CEART!Q21+CEAVI!P21+CEAVI!Q21+CEFID!P21+CEFID!Q21+CEO!P21+CEO!Q21+CEPLAN!P21+CEPLAN!Q21+CERES!P21+CERES!Q21+CESFI!P21+CESFI!Q21+CESMO!P21+CESMO!Q21+ESAG!P21+ESAG!Q21+FAED!P21+FAED!Q21</f>
        <v>0</v>
      </c>
      <c r="P21" s="15">
        <f t="shared" si="1"/>
        <v>13</v>
      </c>
      <c r="Q21" s="16">
        <f t="shared" si="2"/>
        <v>458553.60000000003</v>
      </c>
      <c r="R21" s="16">
        <f t="shared" si="3"/>
        <v>0</v>
      </c>
      <c r="S21" s="16">
        <f t="shared" si="4"/>
        <v>334362</v>
      </c>
    </row>
    <row r="22" spans="1:19" ht="53.25" customHeight="1" x14ac:dyDescent="0.35">
      <c r="A22" s="37">
        <v>19</v>
      </c>
      <c r="B22" s="37">
        <v>19</v>
      </c>
      <c r="C22" s="35" t="s">
        <v>63</v>
      </c>
      <c r="D22" s="34" t="s">
        <v>108</v>
      </c>
      <c r="E22" s="41" t="s">
        <v>109</v>
      </c>
      <c r="F22" s="43" t="s">
        <v>20</v>
      </c>
      <c r="G22" s="37" t="s">
        <v>107</v>
      </c>
      <c r="H22" s="37" t="s">
        <v>5</v>
      </c>
      <c r="I22" s="37" t="s">
        <v>6</v>
      </c>
      <c r="J22" s="36">
        <v>8608</v>
      </c>
      <c r="K22" s="14">
        <f>'REITORIA_SEMS(+BU)'!K22+REITORIA_MUSEU!K22+CAV!K22+CCT!K22+CEAD!K22+CEART!K22+CEAVI!K22+CEFID!K22+CEO!K22+CEPLAN!K22+CERES!K22+CESFI!K22+CESMO!K22+ESAG!K22+FAED!K22</f>
        <v>23</v>
      </c>
      <c r="L22" s="13">
        <f>'REITORIA_SEMS(+BU)'!K22-'REITORIA_SEMS(+BU)'!S22+REITORIA_MUSEU!K22-REITORIA_MUSEU!S22+CAV!K22-CAV!S22+CCT!K22-CCT!S22+CEAD!K22-CEAD!S22+CEART!K22-CEART!S22+CEAVI!K22-CEAVI!S22+CEFID!K22-CEFID!S22+CEO!K22-CEO!S22+CEPLAN!K22-CEPLAN!S22+CERES!K22-CERES!S22+CESFI!K22-CESFI!S22+CESMO!K22-CESMO!S22+ESAG!K22-ESAG!S22+FAED!K22-FAED!S22</f>
        <v>5</v>
      </c>
      <c r="M22" s="136">
        <f>'REITORIA_SEMS(+BU)'!L22+REITORIA_MUSEU!L22+CAV!L22+CCT!L22+CEAD!L22+CEART!L22+CEAVI!L22+CEFID!L22+CEO!L22+CEPLAN!L22+CERES!L22+CESFI!L22+CESMO!L22+ESAG!L22+FAED!L22</f>
        <v>5</v>
      </c>
      <c r="N22" s="133">
        <f t="shared" si="0"/>
        <v>5.25</v>
      </c>
      <c r="O22" s="134">
        <f>'REITORIA_SEMS(+BU)'!P22+'REITORIA_SEMS(+BU)'!Q22+REITORIA_MUSEU!P22+REITORIA_MUSEU!Q22+CAV!P22+CAV!Q22+CCT!P22+CCT!Q22+CEAD!P22+CEAD!Q22+CEART!P22+CEART!Q22+CEAVI!P22+CEAVI!Q22+CEFID!P22+CEFID!Q22+CEO!P22+CEO!Q22+CEPLAN!P22+CEPLAN!Q22+CERES!P22+CERES!Q22+CESFI!P22+CESFI!Q22+CESMO!P22+CESMO!Q22+ESAG!P22+ESAG!Q22+FAED!P22+FAED!Q22</f>
        <v>0</v>
      </c>
      <c r="P22" s="15">
        <f t="shared" si="1"/>
        <v>18</v>
      </c>
      <c r="Q22" s="16">
        <f t="shared" si="2"/>
        <v>197984</v>
      </c>
      <c r="R22" s="16">
        <f t="shared" si="3"/>
        <v>0</v>
      </c>
      <c r="S22" s="16">
        <f t="shared" si="4"/>
        <v>43040</v>
      </c>
    </row>
    <row r="23" spans="1:19" ht="35.15" customHeight="1" x14ac:dyDescent="0.35">
      <c r="A23" s="44">
        <v>20</v>
      </c>
      <c r="B23" s="44">
        <v>20</v>
      </c>
      <c r="C23" s="45" t="s">
        <v>63</v>
      </c>
      <c r="D23" s="46" t="s">
        <v>110</v>
      </c>
      <c r="E23" s="48" t="s">
        <v>111</v>
      </c>
      <c r="F23" s="50" t="s">
        <v>20</v>
      </c>
      <c r="G23" s="44" t="s">
        <v>112</v>
      </c>
      <c r="H23" s="44" t="s">
        <v>5</v>
      </c>
      <c r="I23" s="44" t="s">
        <v>6</v>
      </c>
      <c r="J23" s="47">
        <v>10488</v>
      </c>
      <c r="K23" s="14">
        <f>'REITORIA_SEMS(+BU)'!K23+REITORIA_MUSEU!K23+CAV!K23+CCT!K23+CEAD!K23+CEART!K23+CEAVI!K23+CEFID!K23+CEO!K23+CEPLAN!K23+CERES!K23+CESFI!K23+CESMO!K23+ESAG!K23+FAED!K23</f>
        <v>25</v>
      </c>
      <c r="L23" s="13">
        <f>'REITORIA_SEMS(+BU)'!K23-'REITORIA_SEMS(+BU)'!S23+REITORIA_MUSEU!K23-REITORIA_MUSEU!S23+CAV!K23-CAV!S23+CCT!K23-CCT!S23+CEAD!K23-CEAD!S23+CEART!K23-CEART!S23+CEAVI!K23-CEAVI!S23+CEFID!K23-CEFID!S23+CEO!K23-CEO!S23+CEPLAN!K23-CEPLAN!S23+CERES!K23-CERES!S23+CESFI!K23-CESFI!S23+CESMO!K23-CESMO!S23+ESAG!K23-ESAG!S23+FAED!K23-FAED!S23</f>
        <v>19</v>
      </c>
      <c r="M23" s="136">
        <f>'REITORIA_SEMS(+BU)'!L23+REITORIA_MUSEU!L23+CAV!L23+CCT!L23+CEAD!L23+CEART!L23+CEAVI!L23+CEFID!L23+CEO!L23+CEPLAN!L23+CERES!L23+CESFI!L23+CESMO!L23+ESAG!L23+FAED!L23</f>
        <v>19</v>
      </c>
      <c r="N23" s="133">
        <f t="shared" si="0"/>
        <v>5.75</v>
      </c>
      <c r="O23" s="134">
        <f>'REITORIA_SEMS(+BU)'!P23+'REITORIA_SEMS(+BU)'!Q23+REITORIA_MUSEU!P23+REITORIA_MUSEU!Q23+CAV!P23+CAV!Q23+CCT!P23+CCT!Q23+CEAD!P23+CEAD!Q23+CEART!P23+CEART!Q23+CEAVI!P23+CEAVI!Q23+CEFID!P23+CEFID!Q23+CEO!P23+CEO!Q23+CEPLAN!P23+CEPLAN!Q23+CERES!P23+CERES!Q23+CESFI!P23+CESFI!Q23+CESMO!P23+CESMO!Q23+ESAG!P23+ESAG!Q23+FAED!P23+FAED!Q23</f>
        <v>0</v>
      </c>
      <c r="P23" s="15">
        <f t="shared" si="1"/>
        <v>6</v>
      </c>
      <c r="Q23" s="16">
        <f t="shared" si="2"/>
        <v>262200</v>
      </c>
      <c r="R23" s="16">
        <f t="shared" si="3"/>
        <v>0</v>
      </c>
      <c r="S23" s="16">
        <f t="shared" si="4"/>
        <v>199272</v>
      </c>
    </row>
    <row r="24" spans="1:19" ht="44.15" customHeight="1" x14ac:dyDescent="0.35">
      <c r="A24" s="88">
        <v>21</v>
      </c>
      <c r="B24" s="88">
        <v>21</v>
      </c>
      <c r="C24" s="89" t="s">
        <v>63</v>
      </c>
      <c r="D24" s="94" t="s">
        <v>113</v>
      </c>
      <c r="E24" s="95" t="s">
        <v>114</v>
      </c>
      <c r="F24" s="96" t="s">
        <v>20</v>
      </c>
      <c r="G24" s="88" t="s">
        <v>115</v>
      </c>
      <c r="H24" s="88" t="s">
        <v>5</v>
      </c>
      <c r="I24" s="88" t="s">
        <v>6</v>
      </c>
      <c r="J24" s="93">
        <v>10968</v>
      </c>
      <c r="K24" s="14">
        <f>'REITORIA_SEMS(+BU)'!K24+REITORIA_MUSEU!K24+CAV!K24+CCT!K24+CEAD!K24+CEART!K24+CEAVI!K24+CEFID!K24+CEO!K24+CEPLAN!K24+CERES!K24+CESFI!K24+CESMO!K24+ESAG!K24+FAED!K24</f>
        <v>21</v>
      </c>
      <c r="L24" s="13">
        <f>'REITORIA_SEMS(+BU)'!K24-'REITORIA_SEMS(+BU)'!S24+REITORIA_MUSEU!K24-REITORIA_MUSEU!S24+CAV!K24-CAV!S24+CCT!K24-CCT!S24+CEAD!K24-CEAD!S24+CEART!K24-CEART!S24+CEAVI!K24-CEAVI!S24+CEFID!K24-CEFID!S24+CEO!K24-CEO!S24+CEPLAN!K24-CEPLAN!S24+CERES!K24-CERES!S24+CESFI!K24-CESFI!S24+CESMO!K24-CESMO!S24+ESAG!K24-ESAG!S24+FAED!K24-FAED!S24</f>
        <v>17</v>
      </c>
      <c r="M24" s="136">
        <f>'REITORIA_SEMS(+BU)'!L24+REITORIA_MUSEU!L24+CAV!L24+CCT!L24+CEAD!L24+CEART!L24+CEAVI!L24+CEFID!L24+CEO!L24+CEPLAN!L24+CERES!L24+CESFI!L24+CESMO!L24+ESAG!L24+FAED!L24</f>
        <v>17</v>
      </c>
      <c r="N24" s="133">
        <f t="shared" si="0"/>
        <v>4.75</v>
      </c>
      <c r="O24" s="134">
        <f>'REITORIA_SEMS(+BU)'!P24+'REITORIA_SEMS(+BU)'!Q24+REITORIA_MUSEU!P24+REITORIA_MUSEU!Q24+CAV!P24+CAV!Q24+CCT!P24+CCT!Q24+CEAD!P24+CEAD!Q24+CEART!P24+CEART!Q24+CEAVI!P24+CEAVI!Q24+CEFID!P24+CEFID!Q24+CEO!P24+CEO!Q24+CEPLAN!P24+CEPLAN!Q24+CERES!P24+CERES!Q24+CESFI!P24+CESFI!Q24+CESMO!P24+CESMO!Q24+ESAG!P24+ESAG!Q24+FAED!P24+FAED!Q24</f>
        <v>0</v>
      </c>
      <c r="P24" s="15">
        <f t="shared" si="1"/>
        <v>4</v>
      </c>
      <c r="Q24" s="16">
        <f t="shared" si="2"/>
        <v>230328</v>
      </c>
      <c r="R24" s="16">
        <f t="shared" si="3"/>
        <v>0</v>
      </c>
      <c r="S24" s="16">
        <f t="shared" si="4"/>
        <v>186456</v>
      </c>
    </row>
    <row r="25" spans="1:19" ht="35.15" customHeight="1" x14ac:dyDescent="0.35">
      <c r="A25" s="44">
        <v>22</v>
      </c>
      <c r="B25" s="44">
        <v>22</v>
      </c>
      <c r="C25" s="45" t="s">
        <v>32</v>
      </c>
      <c r="D25" s="46" t="s">
        <v>116</v>
      </c>
      <c r="E25" s="48" t="s">
        <v>117</v>
      </c>
      <c r="F25" s="50" t="s">
        <v>20</v>
      </c>
      <c r="G25" s="44" t="s">
        <v>118</v>
      </c>
      <c r="H25" s="44" t="s">
        <v>5</v>
      </c>
      <c r="I25" s="44" t="s">
        <v>6</v>
      </c>
      <c r="J25" s="47">
        <v>13446</v>
      </c>
      <c r="K25" s="14">
        <f>'REITORIA_SEMS(+BU)'!K25+REITORIA_MUSEU!K25+CAV!K25+CCT!K25+CEAD!K25+CEART!K25+CEAVI!K25+CEFID!K25+CEO!K25+CEPLAN!K25+CERES!K25+CESFI!K25+CESMO!K25+ESAG!K25+FAED!K25</f>
        <v>40</v>
      </c>
      <c r="L25" s="13">
        <f>'REITORIA_SEMS(+BU)'!K25-'REITORIA_SEMS(+BU)'!S25+REITORIA_MUSEU!K25-REITORIA_MUSEU!S25+CAV!K25-CAV!S25+CCT!K25-CCT!S25+CEAD!K25-CEAD!S25+CEART!K25-CEART!S25+CEAVI!K25-CEAVI!S25+CEFID!K25-CEFID!S25+CEO!K25-CEO!S25+CEPLAN!K25-CEPLAN!S25+CERES!K25-CERES!S25+CESFI!K25-CESFI!S25+CESMO!K25-CESMO!S25+ESAG!K25-ESAG!S25+FAED!K25-FAED!S25</f>
        <v>20</v>
      </c>
      <c r="M25" s="136">
        <f>'REITORIA_SEMS(+BU)'!L25+REITORIA_MUSEU!L25+CAV!L25+CCT!L25+CEAD!L25+CEART!L25+CEAVI!L25+CEFID!L25+CEO!L25+CEPLAN!L25+CERES!L25+CESFI!L25+CESMO!L25+ESAG!L25+FAED!L25</f>
        <v>20</v>
      </c>
      <c r="N25" s="133">
        <f t="shared" si="0"/>
        <v>9.5</v>
      </c>
      <c r="O25" s="134">
        <f>'REITORIA_SEMS(+BU)'!P25+'REITORIA_SEMS(+BU)'!Q25+REITORIA_MUSEU!P25+REITORIA_MUSEU!Q25+CAV!P25+CAV!Q25+CCT!P25+CCT!Q25+CEAD!P25+CEAD!Q25+CEART!P25+CEART!Q25+CEAVI!P25+CEAVI!Q25+CEFID!P25+CEFID!Q25+CEO!P25+CEO!Q25+CEPLAN!P25+CEPLAN!Q25+CERES!P25+CERES!Q25+CESFI!P25+CESFI!Q25+CESMO!P25+CESMO!Q25+ESAG!P25+ESAG!Q25+FAED!P25+FAED!Q25</f>
        <v>0</v>
      </c>
      <c r="P25" s="15">
        <f t="shared" si="1"/>
        <v>20</v>
      </c>
      <c r="Q25" s="16">
        <f t="shared" si="2"/>
        <v>537840</v>
      </c>
      <c r="R25" s="16">
        <f t="shared" si="3"/>
        <v>0</v>
      </c>
      <c r="S25" s="16">
        <f t="shared" si="4"/>
        <v>268920</v>
      </c>
    </row>
    <row r="26" spans="1:19" ht="35.15" customHeight="1" x14ac:dyDescent="0.35">
      <c r="A26" s="37">
        <v>23</v>
      </c>
      <c r="B26" s="37">
        <v>23</v>
      </c>
      <c r="C26" s="35" t="s">
        <v>119</v>
      </c>
      <c r="D26" s="34" t="s">
        <v>120</v>
      </c>
      <c r="E26" s="41" t="s">
        <v>121</v>
      </c>
      <c r="F26" s="43" t="s">
        <v>20</v>
      </c>
      <c r="G26" s="37" t="s">
        <v>115</v>
      </c>
      <c r="H26" s="37" t="s">
        <v>5</v>
      </c>
      <c r="I26" s="37" t="s">
        <v>6</v>
      </c>
      <c r="J26" s="36">
        <v>11764.7</v>
      </c>
      <c r="K26" s="14">
        <f>'REITORIA_SEMS(+BU)'!K26+REITORIA_MUSEU!K26+CAV!K26+CCT!K26+CEAD!K26+CEART!K26+CEAVI!K26+CEFID!K26+CEO!K26+CEPLAN!K26+CERES!K26+CESFI!K26+CESMO!K26+ESAG!K26+FAED!K26</f>
        <v>17</v>
      </c>
      <c r="L26" s="13">
        <f>'REITORIA_SEMS(+BU)'!K26-'REITORIA_SEMS(+BU)'!S26+REITORIA_MUSEU!K26-REITORIA_MUSEU!S26+CAV!K26-CAV!S26+CCT!K26-CCT!S26+CEAD!K26-CEAD!S26+CEART!K26-CEART!S26+CEAVI!K26-CEAVI!S26+CEFID!K26-CEFID!S26+CEO!K26-CEO!S26+CEPLAN!K26-CEPLAN!S26+CERES!K26-CERES!S26+CESFI!K26-CESFI!S26+CESMO!K26-CESMO!S26+ESAG!K26-ESAG!S26+FAED!K26-FAED!S26</f>
        <v>5</v>
      </c>
      <c r="M26" s="136">
        <f>'REITORIA_SEMS(+BU)'!L26+REITORIA_MUSEU!L26+CAV!L26+CCT!L26+CEAD!L26+CEART!L26+CEAVI!L26+CEFID!L26+CEO!L26+CEPLAN!L26+CERES!L26+CESFI!L26+CESMO!L26+ESAG!L26+FAED!L26</f>
        <v>5</v>
      </c>
      <c r="N26" s="133">
        <f t="shared" si="0"/>
        <v>3.75</v>
      </c>
      <c r="O26" s="134">
        <f>'REITORIA_SEMS(+BU)'!P26+'REITORIA_SEMS(+BU)'!Q26+REITORIA_MUSEU!P26+REITORIA_MUSEU!Q26+CAV!P26+CAV!Q26+CCT!P26+CCT!Q26+CEAD!P26+CEAD!Q26+CEART!P26+CEART!Q26+CEAVI!P26+CEAVI!Q26+CEFID!P26+CEFID!Q26+CEO!P26+CEO!Q26+CEPLAN!P26+CEPLAN!Q26+CERES!P26+CERES!Q26+CESFI!P26+CESFI!Q26+CESMO!P26+CESMO!Q26+ESAG!P26+ESAG!Q26+FAED!P26+FAED!Q26</f>
        <v>0</v>
      </c>
      <c r="P26" s="15">
        <f t="shared" si="1"/>
        <v>12</v>
      </c>
      <c r="Q26" s="16">
        <f t="shared" si="2"/>
        <v>199999.90000000002</v>
      </c>
      <c r="R26" s="16">
        <f t="shared" si="3"/>
        <v>0</v>
      </c>
      <c r="S26" s="16">
        <f t="shared" si="4"/>
        <v>58823.5</v>
      </c>
    </row>
    <row r="27" spans="1:19" ht="35.15" customHeight="1" x14ac:dyDescent="0.35">
      <c r="A27" s="44">
        <v>24</v>
      </c>
      <c r="B27" s="44">
        <v>24</v>
      </c>
      <c r="C27" s="45" t="s">
        <v>32</v>
      </c>
      <c r="D27" s="46" t="s">
        <v>122</v>
      </c>
      <c r="E27" s="48" t="s">
        <v>123</v>
      </c>
      <c r="F27" s="50" t="s">
        <v>20</v>
      </c>
      <c r="G27" s="44" t="s">
        <v>124</v>
      </c>
      <c r="H27" s="44" t="s">
        <v>60</v>
      </c>
      <c r="I27" s="44" t="s">
        <v>6</v>
      </c>
      <c r="J27" s="47">
        <v>13333.33</v>
      </c>
      <c r="K27" s="14">
        <f>'REITORIA_SEMS(+BU)'!K27+REITORIA_MUSEU!K27+CAV!K27+CCT!K27+CEAD!K27+CEART!K27+CEAVI!K27+CEFID!K27+CEO!K27+CEPLAN!K27+CERES!K27+CESFI!K27+CESMO!K27+ESAG!K27+FAED!K27</f>
        <v>3</v>
      </c>
      <c r="L27" s="13">
        <f>'REITORIA_SEMS(+BU)'!K27-'REITORIA_SEMS(+BU)'!S27+REITORIA_MUSEU!K27-REITORIA_MUSEU!S27+CAV!K27-CAV!S27+CCT!K27-CCT!S27+CEAD!K27-CEAD!S27+CEART!K27-CEART!S27+CEAVI!K27-CEAVI!S27+CEFID!K27-CEFID!S27+CEO!K27-CEO!S27+CEPLAN!K27-CEPLAN!S27+CERES!K27-CERES!S27+CESFI!K27-CESFI!S27+CESMO!K27-CESMO!S27+ESAG!K27-ESAG!S27+FAED!K27-FAED!S27</f>
        <v>3</v>
      </c>
      <c r="M27" s="136">
        <f>'REITORIA_SEMS(+BU)'!L27+REITORIA_MUSEU!L27+CAV!L27+CCT!L27+CEAD!L27+CEART!L27+CEAVI!L27+CEFID!L27+CEO!L27+CEPLAN!L27+CERES!L27+CESFI!L27+CESMO!L27+ESAG!L27+FAED!L27</f>
        <v>3</v>
      </c>
      <c r="N27" s="133">
        <f t="shared" si="0"/>
        <v>0.25</v>
      </c>
      <c r="O27" s="134">
        <f>'REITORIA_SEMS(+BU)'!P27+'REITORIA_SEMS(+BU)'!Q27+REITORIA_MUSEU!P27+REITORIA_MUSEU!Q27+CAV!P27+CAV!Q27+CCT!P27+CCT!Q27+CEAD!P27+CEAD!Q27+CEART!P27+CEART!Q27+CEAVI!P27+CEAVI!Q27+CEFID!P27+CEFID!Q27+CEO!P27+CEO!Q27+CEPLAN!P27+CEPLAN!Q27+CERES!P27+CERES!Q27+CESFI!P27+CESFI!Q27+CESMO!P27+CESMO!Q27+ESAG!P27+ESAG!Q27+FAED!P27+FAED!Q27</f>
        <v>0</v>
      </c>
      <c r="P27" s="15">
        <f t="shared" si="1"/>
        <v>0</v>
      </c>
      <c r="Q27" s="16">
        <f t="shared" si="2"/>
        <v>39999.99</v>
      </c>
      <c r="R27" s="16">
        <f t="shared" si="3"/>
        <v>0</v>
      </c>
      <c r="S27" s="16">
        <f t="shared" si="4"/>
        <v>39999.99</v>
      </c>
    </row>
    <row r="28" spans="1:19" ht="35.15" customHeight="1" x14ac:dyDescent="0.35">
      <c r="A28" s="37">
        <v>25</v>
      </c>
      <c r="B28" s="37">
        <v>25</v>
      </c>
      <c r="C28" s="35" t="s">
        <v>125</v>
      </c>
      <c r="D28" s="34" t="s">
        <v>126</v>
      </c>
      <c r="E28" s="41" t="s">
        <v>127</v>
      </c>
      <c r="F28" s="43" t="s">
        <v>24</v>
      </c>
      <c r="G28" s="37" t="s">
        <v>25</v>
      </c>
      <c r="H28" s="37" t="s">
        <v>5</v>
      </c>
      <c r="I28" s="37" t="s">
        <v>26</v>
      </c>
      <c r="J28" s="36">
        <v>1320</v>
      </c>
      <c r="K28" s="14">
        <f>'REITORIA_SEMS(+BU)'!K28+REITORIA_MUSEU!K28+CAV!K28+CCT!K28+CEAD!K28+CEART!K28+CEAVI!K28+CEFID!K28+CEO!K28+CEPLAN!K28+CERES!K28+CESFI!K28+CESMO!K28+ESAG!K28+FAED!K28</f>
        <v>61</v>
      </c>
      <c r="L28" s="13">
        <f>'REITORIA_SEMS(+BU)'!K28-'REITORIA_SEMS(+BU)'!S28+REITORIA_MUSEU!K28-REITORIA_MUSEU!S28+CAV!K28-CAV!S28+CCT!K28-CCT!S28+CEAD!K28-CEAD!S28+CEART!K28-CEART!S28+CEAVI!K28-CEAVI!S28+CEFID!K28-CEFID!S28+CEO!K28-CEO!S28+CEPLAN!K28-CEPLAN!S28+CERES!K28-CERES!S28+CESFI!K28-CESFI!S28+CESMO!K28-CESMO!S28+ESAG!K28-ESAG!S28+FAED!K28-FAED!S28</f>
        <v>27</v>
      </c>
      <c r="M28" s="136">
        <f>'REITORIA_SEMS(+BU)'!L28+REITORIA_MUSEU!L28+CAV!L28+CCT!L28+CEAD!L28+CEART!L28+CEAVI!L28+CEFID!L28+CEO!L28+CEPLAN!L28+CERES!L28+CESFI!L28+CESMO!L28+ESAG!L28+FAED!L28</f>
        <v>27</v>
      </c>
      <c r="N28" s="133">
        <f t="shared" si="0"/>
        <v>14.75</v>
      </c>
      <c r="O28" s="134">
        <f>'REITORIA_SEMS(+BU)'!P28+'REITORIA_SEMS(+BU)'!Q28+REITORIA_MUSEU!P28+REITORIA_MUSEU!Q28+CAV!P28+CAV!Q28+CCT!P28+CCT!Q28+CEAD!P28+CEAD!Q28+CEART!P28+CEART!Q28+CEAVI!P28+CEAVI!Q28+CEFID!P28+CEFID!Q28+CEO!P28+CEO!Q28+CEPLAN!P28+CEPLAN!Q28+CERES!P28+CERES!Q28+CESFI!P28+CESFI!Q28+CESMO!P28+CESMO!Q28+ESAG!P28+ESAG!Q28+FAED!P28+FAED!Q28</f>
        <v>0</v>
      </c>
      <c r="P28" s="15">
        <f t="shared" si="1"/>
        <v>34</v>
      </c>
      <c r="Q28" s="16">
        <f t="shared" si="2"/>
        <v>80520</v>
      </c>
      <c r="R28" s="16">
        <f t="shared" si="3"/>
        <v>0</v>
      </c>
      <c r="S28" s="16">
        <f t="shared" si="4"/>
        <v>35640</v>
      </c>
    </row>
    <row r="29" spans="1:19" ht="35.15" customHeight="1" x14ac:dyDescent="0.35">
      <c r="A29" s="44">
        <v>26</v>
      </c>
      <c r="B29" s="44">
        <v>26</v>
      </c>
      <c r="C29" s="45" t="s">
        <v>119</v>
      </c>
      <c r="D29" s="46" t="s">
        <v>14</v>
      </c>
      <c r="E29" s="48" t="s">
        <v>128</v>
      </c>
      <c r="F29" s="50" t="s">
        <v>23</v>
      </c>
      <c r="G29" s="44" t="s">
        <v>129</v>
      </c>
      <c r="H29" s="44" t="s">
        <v>5</v>
      </c>
      <c r="I29" s="44" t="s">
        <v>6</v>
      </c>
      <c r="J29" s="47">
        <v>650</v>
      </c>
      <c r="K29" s="14">
        <f>'REITORIA_SEMS(+BU)'!K29+REITORIA_MUSEU!K29+CAV!K29+CCT!K29+CEAD!K29+CEART!K29+CEAVI!K29+CEFID!K29+CEO!K29+CEPLAN!K29+CERES!K29+CESFI!K29+CESMO!K29+ESAG!K29+FAED!K29</f>
        <v>36</v>
      </c>
      <c r="L29" s="13">
        <f>'REITORIA_SEMS(+BU)'!K29-'REITORIA_SEMS(+BU)'!S29+REITORIA_MUSEU!K29-REITORIA_MUSEU!S29+CAV!K29-CAV!S29+CCT!K29-CCT!S29+CEAD!K29-CEAD!S29+CEART!K29-CEART!S29+CEAVI!K29-CEAVI!S29+CEFID!K29-CEFID!S29+CEO!K29-CEO!S29+CEPLAN!K29-CEPLAN!S29+CERES!K29-CERES!S29+CESFI!K29-CESFI!S29+CESMO!K29-CESMO!S29+ESAG!K29-ESAG!S29+FAED!K29-FAED!S29</f>
        <v>7</v>
      </c>
      <c r="M29" s="136">
        <f>'REITORIA_SEMS(+BU)'!L29+REITORIA_MUSEU!L29+CAV!L29+CCT!L29+CEAD!L29+CEART!L29+CEAVI!L29+CEFID!L29+CEO!L29+CEPLAN!L29+CERES!L29+CESFI!L29+CESMO!L29+ESAG!L29+FAED!L29</f>
        <v>7</v>
      </c>
      <c r="N29" s="133">
        <f t="shared" si="0"/>
        <v>8.5</v>
      </c>
      <c r="O29" s="134">
        <f>'REITORIA_SEMS(+BU)'!P29+'REITORIA_SEMS(+BU)'!Q29+REITORIA_MUSEU!P29+REITORIA_MUSEU!Q29+CAV!P29+CAV!Q29+CCT!P29+CCT!Q29+CEAD!P29+CEAD!Q29+CEART!P29+CEART!Q29+CEAVI!P29+CEAVI!Q29+CEFID!P29+CEFID!Q29+CEO!P29+CEO!Q29+CEPLAN!P29+CEPLAN!Q29+CERES!P29+CERES!Q29+CESFI!P29+CESFI!Q29+CESMO!P29+CESMO!Q29+ESAG!P29+ESAG!Q29+FAED!P29+FAED!Q29</f>
        <v>0</v>
      </c>
      <c r="P29" s="15">
        <f t="shared" si="1"/>
        <v>29</v>
      </c>
      <c r="Q29" s="16">
        <f t="shared" si="2"/>
        <v>23400</v>
      </c>
      <c r="R29" s="16">
        <f t="shared" si="3"/>
        <v>0</v>
      </c>
      <c r="S29" s="16">
        <f t="shared" si="4"/>
        <v>4550</v>
      </c>
    </row>
    <row r="30" spans="1:19" ht="35.15" customHeight="1" x14ac:dyDescent="0.35">
      <c r="A30" s="37">
        <v>27</v>
      </c>
      <c r="B30" s="37">
        <v>27</v>
      </c>
      <c r="C30" s="35" t="s">
        <v>130</v>
      </c>
      <c r="D30" s="34" t="s">
        <v>131</v>
      </c>
      <c r="E30" s="41" t="s">
        <v>132</v>
      </c>
      <c r="F30" s="43" t="s">
        <v>28</v>
      </c>
      <c r="G30" s="37" t="s">
        <v>29</v>
      </c>
      <c r="H30" s="37" t="s">
        <v>8</v>
      </c>
      <c r="I30" s="37" t="s">
        <v>26</v>
      </c>
      <c r="J30" s="36">
        <v>39.78</v>
      </c>
      <c r="K30" s="14">
        <f>'REITORIA_SEMS(+BU)'!K30+REITORIA_MUSEU!K30+CAV!K30+CCT!K30+CEAD!K30+CEART!K30+CEAVI!K30+CEFID!K30+CEO!K30+CEPLAN!K30+CERES!K30+CESFI!K30+CESMO!K30+ESAG!K30+FAED!K30</f>
        <v>103</v>
      </c>
      <c r="L30" s="13">
        <f>'REITORIA_SEMS(+BU)'!K30-'REITORIA_SEMS(+BU)'!S30+REITORIA_MUSEU!K30-REITORIA_MUSEU!S30+CAV!K30-CAV!S30+CCT!K30-CCT!S30+CEAD!K30-CEAD!S30+CEART!K30-CEART!S30+CEAVI!K30-CEAVI!S30+CEFID!K30-CEFID!S30+CEO!K30-CEO!S30+CEPLAN!K30-CEPLAN!S30+CERES!K30-CERES!S30+CESFI!K30-CESFI!S30+CESMO!K30-CESMO!S30+ESAG!K30-ESAG!S30+FAED!K30-FAED!S30</f>
        <v>35</v>
      </c>
      <c r="M30" s="136">
        <f>'REITORIA_SEMS(+BU)'!L30+REITORIA_MUSEU!L30+CAV!L30+CCT!L30+CEAD!L30+CEART!L30+CEAVI!L30+CEFID!L30+CEO!L30+CEPLAN!L30+CERES!L30+CESFI!L30+CESMO!L30+ESAG!L30+FAED!L30</f>
        <v>35</v>
      </c>
      <c r="N30" s="133">
        <f t="shared" si="0"/>
        <v>25.25</v>
      </c>
      <c r="O30" s="134">
        <f>'REITORIA_SEMS(+BU)'!P30+'REITORIA_SEMS(+BU)'!Q30+REITORIA_MUSEU!P30+REITORIA_MUSEU!Q30+CAV!P30+CAV!Q30+CCT!P30+CCT!Q30+CEAD!P30+CEAD!Q30+CEART!P30+CEART!Q30+CEAVI!P30+CEAVI!Q30+CEFID!P30+CEFID!Q30+CEO!P30+CEO!Q30+CEPLAN!P30+CEPLAN!Q30+CERES!P30+CERES!Q30+CESFI!P30+CESFI!Q30+CESMO!P30+CESMO!Q30+ESAG!P30+ESAG!Q30+FAED!P30+FAED!Q30</f>
        <v>0</v>
      </c>
      <c r="P30" s="15">
        <f t="shared" si="1"/>
        <v>68</v>
      </c>
      <c r="Q30" s="16">
        <f t="shared" si="2"/>
        <v>4097.34</v>
      </c>
      <c r="R30" s="16">
        <f t="shared" si="3"/>
        <v>0</v>
      </c>
      <c r="S30" s="16">
        <f t="shared" si="4"/>
        <v>1392.3</v>
      </c>
    </row>
    <row r="31" spans="1:19" ht="35.15" customHeight="1" x14ac:dyDescent="0.35">
      <c r="A31" s="44">
        <v>28</v>
      </c>
      <c r="B31" s="44">
        <v>28</v>
      </c>
      <c r="C31" s="45" t="s">
        <v>133</v>
      </c>
      <c r="D31" s="46" t="s">
        <v>134</v>
      </c>
      <c r="E31" s="48" t="s">
        <v>135</v>
      </c>
      <c r="F31" s="50" t="s">
        <v>136</v>
      </c>
      <c r="G31" s="44" t="s">
        <v>137</v>
      </c>
      <c r="H31" s="44" t="s">
        <v>5</v>
      </c>
      <c r="I31" s="44" t="s">
        <v>6</v>
      </c>
      <c r="J31" s="47">
        <v>2259.91</v>
      </c>
      <c r="K31" s="14">
        <f>'REITORIA_SEMS(+BU)'!K31+REITORIA_MUSEU!K31+CAV!K31+CCT!K31+CEAD!K31+CEART!K31+CEAVI!K31+CEFID!K31+CEO!K31+CEPLAN!K31+CERES!K31+CESFI!K31+CESMO!K31+ESAG!K31+FAED!K31</f>
        <v>17</v>
      </c>
      <c r="L31" s="13">
        <f>'REITORIA_SEMS(+BU)'!K31-'REITORIA_SEMS(+BU)'!S31+REITORIA_MUSEU!K31-REITORIA_MUSEU!S31+CAV!K31-CAV!S31+CCT!K31-CCT!S31+CEAD!K31-CEAD!S31+CEART!K31-CEART!S31+CEAVI!K31-CEAVI!S31+CEFID!K31-CEFID!S31+CEO!K31-CEO!S31+CEPLAN!K31-CEPLAN!S31+CERES!K31-CERES!S31+CESFI!K31-CESFI!S31+CESMO!K31-CESMO!S31+ESAG!K31-ESAG!S31+FAED!K31-FAED!S31</f>
        <v>9</v>
      </c>
      <c r="M31" s="136">
        <f>'REITORIA_SEMS(+BU)'!L31+REITORIA_MUSEU!L31+CAV!L31+CCT!L31+CEAD!L31+CEART!L31+CEAVI!L31+CEFID!L31+CEO!L31+CEPLAN!L31+CERES!L31+CESFI!L31+CESMO!L31+ESAG!L31+FAED!L31</f>
        <v>9</v>
      </c>
      <c r="N31" s="133">
        <f t="shared" si="0"/>
        <v>3.75</v>
      </c>
      <c r="O31" s="134">
        <f>'REITORIA_SEMS(+BU)'!P31+'REITORIA_SEMS(+BU)'!Q31+REITORIA_MUSEU!P31+REITORIA_MUSEU!Q31+CAV!P31+CAV!Q31+CCT!P31+CCT!Q31+CEAD!P31+CEAD!Q31+CEART!P31+CEART!Q31+CEAVI!P31+CEAVI!Q31+CEFID!P31+CEFID!Q31+CEO!P31+CEO!Q31+CEPLAN!P31+CEPLAN!Q31+CERES!P31+CERES!Q31+CESFI!P31+CESFI!Q31+CESMO!P31+CESMO!Q31+ESAG!P31+ESAG!Q31+FAED!P31+FAED!Q31</f>
        <v>0</v>
      </c>
      <c r="P31" s="15">
        <f t="shared" si="1"/>
        <v>8</v>
      </c>
      <c r="Q31" s="16">
        <f t="shared" si="2"/>
        <v>38418.47</v>
      </c>
      <c r="R31" s="16">
        <f t="shared" si="3"/>
        <v>0</v>
      </c>
      <c r="S31" s="16">
        <f t="shared" si="4"/>
        <v>20339.189999999999</v>
      </c>
    </row>
    <row r="32" spans="1:19" ht="35.15" customHeight="1" x14ac:dyDescent="0.35">
      <c r="A32" s="37">
        <v>29</v>
      </c>
      <c r="B32" s="37">
        <v>29</v>
      </c>
      <c r="C32" s="35" t="s">
        <v>138</v>
      </c>
      <c r="D32" s="34" t="s">
        <v>139</v>
      </c>
      <c r="E32" s="41" t="s">
        <v>140</v>
      </c>
      <c r="F32" s="43" t="s">
        <v>136</v>
      </c>
      <c r="G32" s="37" t="s">
        <v>137</v>
      </c>
      <c r="H32" s="37" t="s">
        <v>5</v>
      </c>
      <c r="I32" s="37" t="s">
        <v>6</v>
      </c>
      <c r="J32" s="36">
        <v>3391.3</v>
      </c>
      <c r="K32" s="14">
        <f>'REITORIA_SEMS(+BU)'!K32+REITORIA_MUSEU!K32+CAV!K32+CCT!K32+CEAD!K32+CEART!K32+CEAVI!K32+CEFID!K32+CEO!K32+CEPLAN!K32+CERES!K32+CESFI!K32+CESMO!K32+ESAG!K32+FAED!K32</f>
        <v>23</v>
      </c>
      <c r="L32" s="13">
        <f>'REITORIA_SEMS(+BU)'!K32-'REITORIA_SEMS(+BU)'!S32+REITORIA_MUSEU!K32-REITORIA_MUSEU!S32+CAV!K32-CAV!S32+CCT!K32-CCT!S32+CEAD!K32-CEAD!S32+CEART!K32-CEART!S32+CEAVI!K32-CEAVI!S32+CEFID!K32-CEFID!S32+CEO!K32-CEO!S32+CEPLAN!K32-CEPLAN!S32+CERES!K32-CERES!S32+CESFI!K32-CESFI!S32+CESMO!K32-CESMO!S32+ESAG!K32-ESAG!S32+FAED!K32-FAED!S32</f>
        <v>13</v>
      </c>
      <c r="M32" s="136">
        <f>'REITORIA_SEMS(+BU)'!L32+REITORIA_MUSEU!L32+CAV!L32+CCT!L32+CEAD!L32+CEART!L32+CEAVI!L32+CEFID!L32+CEO!L32+CEPLAN!L32+CERES!L32+CESFI!L32+CESMO!L32+ESAG!L32+FAED!L32</f>
        <v>13</v>
      </c>
      <c r="N32" s="133">
        <f t="shared" si="0"/>
        <v>5.25</v>
      </c>
      <c r="O32" s="134">
        <f>'REITORIA_SEMS(+BU)'!P32+'REITORIA_SEMS(+BU)'!Q32+REITORIA_MUSEU!P32+REITORIA_MUSEU!Q32+CAV!P32+CAV!Q32+CCT!P32+CCT!Q32+CEAD!P32+CEAD!Q32+CEART!P32+CEART!Q32+CEAVI!P32+CEAVI!Q32+CEFID!P32+CEFID!Q32+CEO!P32+CEO!Q32+CEPLAN!P32+CEPLAN!Q32+CERES!P32+CERES!Q32+CESFI!P32+CESFI!Q32+CESMO!P32+CESMO!Q32+ESAG!P32+ESAG!Q32+FAED!P32+FAED!Q32</f>
        <v>0</v>
      </c>
      <c r="P32" s="15">
        <f t="shared" si="1"/>
        <v>10</v>
      </c>
      <c r="Q32" s="16">
        <f t="shared" si="2"/>
        <v>77999.900000000009</v>
      </c>
      <c r="R32" s="16">
        <f t="shared" si="3"/>
        <v>0</v>
      </c>
      <c r="S32" s="16">
        <f t="shared" si="4"/>
        <v>44086.9</v>
      </c>
    </row>
    <row r="33" spans="1:19" ht="35.15" customHeight="1" x14ac:dyDescent="0.35">
      <c r="A33" s="44">
        <v>30</v>
      </c>
      <c r="B33" s="44">
        <v>30</v>
      </c>
      <c r="C33" s="45" t="s">
        <v>141</v>
      </c>
      <c r="D33" s="46" t="s">
        <v>142</v>
      </c>
      <c r="E33" s="48" t="s">
        <v>143</v>
      </c>
      <c r="F33" s="50" t="s">
        <v>136</v>
      </c>
      <c r="G33" s="44" t="s">
        <v>137</v>
      </c>
      <c r="H33" s="44" t="s">
        <v>5</v>
      </c>
      <c r="I33" s="44" t="s">
        <v>6</v>
      </c>
      <c r="J33" s="47">
        <v>9961.5300000000007</v>
      </c>
      <c r="K33" s="14">
        <f>'REITORIA_SEMS(+BU)'!K33+REITORIA_MUSEU!K33+CAV!K33+CCT!K33+CEAD!K33+CEART!K33+CEAVI!K33+CEFID!K33+CEO!K33+CEPLAN!K33+CERES!K33+CESFI!K33+CESMO!K33+ESAG!K33+FAED!K33</f>
        <v>26</v>
      </c>
      <c r="L33" s="13">
        <f>'REITORIA_SEMS(+BU)'!K33-'REITORIA_SEMS(+BU)'!S33+REITORIA_MUSEU!K33-REITORIA_MUSEU!S33+CAV!K33-CAV!S33+CCT!K33-CCT!S33+CEAD!K33-CEAD!S33+CEART!K33-CEART!S33+CEAVI!K33-CEAVI!S33+CEFID!K33-CEFID!S33+CEO!K33-CEO!S33+CEPLAN!K33-CEPLAN!S33+CERES!K33-CERES!S33+CESFI!K33-CESFI!S33+CESMO!K33-CESMO!S33+ESAG!K33-ESAG!S33+FAED!K33-FAED!S33</f>
        <v>13</v>
      </c>
      <c r="M33" s="136">
        <f>'REITORIA_SEMS(+BU)'!L33+REITORIA_MUSEU!L33+CAV!L33+CCT!L33+CEAD!L33+CEART!L33+CEAVI!L33+CEFID!L33+CEO!L33+CEPLAN!L33+CERES!L33+CESFI!L33+CESMO!L33+ESAG!L33+FAED!L33</f>
        <v>13</v>
      </c>
      <c r="N33" s="133">
        <f t="shared" si="0"/>
        <v>6</v>
      </c>
      <c r="O33" s="134">
        <f>'REITORIA_SEMS(+BU)'!P33+'REITORIA_SEMS(+BU)'!Q33+REITORIA_MUSEU!P33+REITORIA_MUSEU!Q33+CAV!P33+CAV!Q33+CCT!P33+CCT!Q33+CEAD!P33+CEAD!Q33+CEART!P33+CEART!Q33+CEAVI!P33+CEAVI!Q33+CEFID!P33+CEFID!Q33+CEO!P33+CEO!Q33+CEPLAN!P33+CEPLAN!Q33+CERES!P33+CERES!Q33+CESFI!P33+CESFI!Q33+CESMO!P33+CESMO!Q33+ESAG!P33+ESAG!Q33+FAED!P33+FAED!Q33</f>
        <v>0</v>
      </c>
      <c r="P33" s="15">
        <f t="shared" si="1"/>
        <v>13</v>
      </c>
      <c r="Q33" s="16">
        <f t="shared" si="2"/>
        <v>258999.78000000003</v>
      </c>
      <c r="R33" s="16">
        <f t="shared" si="3"/>
        <v>0</v>
      </c>
      <c r="S33" s="16">
        <f t="shared" si="4"/>
        <v>129499.89000000001</v>
      </c>
    </row>
    <row r="34" spans="1:19" ht="35.15" customHeight="1" x14ac:dyDescent="0.35">
      <c r="A34" s="37">
        <v>31</v>
      </c>
      <c r="B34" s="37">
        <v>31</v>
      </c>
      <c r="C34" s="35" t="s">
        <v>144</v>
      </c>
      <c r="D34" s="34" t="s">
        <v>145</v>
      </c>
      <c r="E34" s="41" t="s">
        <v>146</v>
      </c>
      <c r="F34" s="43" t="s">
        <v>20</v>
      </c>
      <c r="G34" s="37" t="s">
        <v>147</v>
      </c>
      <c r="H34" s="37" t="s">
        <v>60</v>
      </c>
      <c r="I34" s="37">
        <v>44905212</v>
      </c>
      <c r="J34" s="36">
        <v>630</v>
      </c>
      <c r="K34" s="14">
        <f>'REITORIA_SEMS(+BU)'!K34+REITORIA_MUSEU!K34+CAV!K34+CCT!K34+CEAD!K34+CEART!K34+CEAVI!K34+CEFID!K34+CEO!K34+CEPLAN!K34+CERES!K34+CESFI!K34+CESMO!K34+ESAG!K34+FAED!K34</f>
        <v>2</v>
      </c>
      <c r="L34" s="13">
        <f>'REITORIA_SEMS(+BU)'!K34-'REITORIA_SEMS(+BU)'!S34+REITORIA_MUSEU!K34-REITORIA_MUSEU!S34+CAV!K34-CAV!S34+CCT!K34-CCT!S34+CEAD!K34-CEAD!S34+CEART!K34-CEART!S34+CEAVI!K34-CEAVI!S34+CEFID!K34-CEFID!S34+CEO!K34-CEO!S34+CEPLAN!K34-CEPLAN!S34+CERES!K34-CERES!S34+CESFI!K34-CESFI!S34+CESMO!K34-CESMO!S34+ESAG!K34-ESAG!S34+FAED!K34-FAED!S34</f>
        <v>2</v>
      </c>
      <c r="M34" s="136">
        <f>'REITORIA_SEMS(+BU)'!L34+REITORIA_MUSEU!L34+CAV!L34+CCT!L34+CEAD!L34+CEART!L34+CEAVI!L34+CEFID!L34+CEO!L34+CEPLAN!L34+CERES!L34+CESFI!L34+CESMO!L34+ESAG!L34+FAED!L34</f>
        <v>2</v>
      </c>
      <c r="N34" s="133">
        <f t="shared" si="0"/>
        <v>0</v>
      </c>
      <c r="O34" s="134">
        <f>'REITORIA_SEMS(+BU)'!P34+'REITORIA_SEMS(+BU)'!Q34+REITORIA_MUSEU!P34+REITORIA_MUSEU!Q34+CAV!P34+CAV!Q34+CCT!P34+CCT!Q34+CEAD!P34+CEAD!Q34+CEART!P34+CEART!Q34+CEAVI!P34+CEAVI!Q34+CEFID!P34+CEFID!Q34+CEO!P34+CEO!Q34+CEPLAN!P34+CEPLAN!Q34+CERES!P34+CERES!Q34+CESFI!P34+CESFI!Q34+CESMO!P34+CESMO!Q34+ESAG!P34+ESAG!Q34+FAED!P34+FAED!Q34</f>
        <v>0</v>
      </c>
      <c r="P34" s="15">
        <f t="shared" si="1"/>
        <v>0</v>
      </c>
      <c r="Q34" s="16">
        <f t="shared" si="2"/>
        <v>1260</v>
      </c>
      <c r="R34" s="16">
        <f t="shared" si="3"/>
        <v>0</v>
      </c>
      <c r="S34" s="16">
        <f t="shared" si="4"/>
        <v>1260</v>
      </c>
    </row>
    <row r="35" spans="1:19" ht="35.15" customHeight="1" x14ac:dyDescent="0.35">
      <c r="A35" s="44">
        <v>32</v>
      </c>
      <c r="B35" s="44">
        <v>32</v>
      </c>
      <c r="C35" s="45" t="s">
        <v>144</v>
      </c>
      <c r="D35" s="46" t="s">
        <v>148</v>
      </c>
      <c r="E35" s="48" t="s">
        <v>149</v>
      </c>
      <c r="F35" s="50" t="s">
        <v>20</v>
      </c>
      <c r="G35" s="44" t="s">
        <v>147</v>
      </c>
      <c r="H35" s="44" t="s">
        <v>60</v>
      </c>
      <c r="I35" s="44">
        <v>44905212</v>
      </c>
      <c r="J35" s="47">
        <v>1550</v>
      </c>
      <c r="K35" s="14">
        <f>'REITORIA_SEMS(+BU)'!K35+REITORIA_MUSEU!K35+CAV!K35+CCT!K35+CEAD!K35+CEART!K35+CEAVI!K35+CEFID!K35+CEO!K35+CEPLAN!K35+CERES!K35+CESFI!K35+CESMO!K35+ESAG!K35+FAED!K35</f>
        <v>2</v>
      </c>
      <c r="L35" s="13">
        <f>'REITORIA_SEMS(+BU)'!K35-'REITORIA_SEMS(+BU)'!S35+REITORIA_MUSEU!K35-REITORIA_MUSEU!S35+CAV!K35-CAV!S35+CCT!K35-CCT!S35+CEAD!K35-CEAD!S35+CEART!K35-CEART!S35+CEAVI!K35-CEAVI!S35+CEFID!K35-CEFID!S35+CEO!K35-CEO!S35+CEPLAN!K35-CEPLAN!S35+CERES!K35-CERES!S35+CESFI!K35-CESFI!S35+CESMO!K35-CESMO!S35+ESAG!K35-ESAG!S35+FAED!K35-FAED!S35</f>
        <v>2</v>
      </c>
      <c r="M35" s="136">
        <f>'REITORIA_SEMS(+BU)'!L35+REITORIA_MUSEU!L35+CAV!L35+CCT!L35+CEAD!L35+CEART!L35+CEAVI!L35+CEFID!L35+CEO!L35+CEPLAN!L35+CERES!L35+CESFI!L35+CESMO!L35+ESAG!L35+FAED!L35</f>
        <v>2</v>
      </c>
      <c r="N35" s="133">
        <f t="shared" si="0"/>
        <v>0</v>
      </c>
      <c r="O35" s="134">
        <f>'REITORIA_SEMS(+BU)'!P35+'REITORIA_SEMS(+BU)'!Q35+REITORIA_MUSEU!P35+REITORIA_MUSEU!Q35+CAV!P35+CAV!Q35+CCT!P35+CCT!Q35+CEAD!P35+CEAD!Q35+CEART!P35+CEART!Q35+CEAVI!P35+CEAVI!Q35+CEFID!P35+CEFID!Q35+CEO!P35+CEO!Q35+CEPLAN!P35+CEPLAN!Q35+CERES!P35+CERES!Q35+CESFI!P35+CESFI!Q35+CESMO!P35+CESMO!Q35+ESAG!P35+ESAG!Q35+FAED!P35+FAED!Q35</f>
        <v>0</v>
      </c>
      <c r="P35" s="15">
        <f t="shared" si="1"/>
        <v>0</v>
      </c>
      <c r="Q35" s="16">
        <f t="shared" si="2"/>
        <v>3100</v>
      </c>
      <c r="R35" s="16">
        <f t="shared" si="3"/>
        <v>0</v>
      </c>
      <c r="S35" s="16">
        <f t="shared" si="4"/>
        <v>3100</v>
      </c>
    </row>
    <row r="36" spans="1:19" ht="35.15" customHeight="1" x14ac:dyDescent="0.35">
      <c r="A36" s="37">
        <v>33</v>
      </c>
      <c r="B36" s="37">
        <v>33</v>
      </c>
      <c r="C36" s="35" t="s">
        <v>150</v>
      </c>
      <c r="D36" s="34" t="s">
        <v>151</v>
      </c>
      <c r="E36" s="41" t="s">
        <v>152</v>
      </c>
      <c r="F36" s="43" t="s">
        <v>20</v>
      </c>
      <c r="G36" s="37" t="s">
        <v>147</v>
      </c>
      <c r="H36" s="37" t="s">
        <v>60</v>
      </c>
      <c r="I36" s="37">
        <v>44905212</v>
      </c>
      <c r="J36" s="36">
        <v>930</v>
      </c>
      <c r="K36" s="14">
        <f>'REITORIA_SEMS(+BU)'!K36+REITORIA_MUSEU!K36+CAV!K36+CCT!K36+CEAD!K36+CEART!K36+CEAVI!K36+CEFID!K36+CEO!K36+CEPLAN!K36+CERES!K36+CESFI!K36+CESMO!K36+ESAG!K36+FAED!K36</f>
        <v>1</v>
      </c>
      <c r="L36" s="13">
        <f>'REITORIA_SEMS(+BU)'!K36-'REITORIA_SEMS(+BU)'!S36+REITORIA_MUSEU!K36-REITORIA_MUSEU!S36+CAV!K36-CAV!S36+CCT!K36-CCT!S36+CEAD!K36-CEAD!S36+CEART!K36-CEART!S36+CEAVI!K36-CEAVI!S36+CEFID!K36-CEFID!S36+CEO!K36-CEO!S36+CEPLAN!K36-CEPLAN!S36+CERES!K36-CERES!S36+CESFI!K36-CESFI!S36+CESMO!K36-CESMO!S36+ESAG!K36-ESAG!S36+FAED!K36-FAED!S36</f>
        <v>1</v>
      </c>
      <c r="M36" s="136">
        <f>'REITORIA_SEMS(+BU)'!L36+REITORIA_MUSEU!L36+CAV!L36+CCT!L36+CEAD!L36+CEART!L36+CEAVI!L36+CEFID!L36+CEO!L36+CEPLAN!L36+CERES!L36+CESFI!L36+CESMO!L36+ESAG!L36+FAED!L36</f>
        <v>1</v>
      </c>
      <c r="N36" s="133">
        <f t="shared" si="0"/>
        <v>-0.25</v>
      </c>
      <c r="O36" s="134">
        <f>'REITORIA_SEMS(+BU)'!P36+'REITORIA_SEMS(+BU)'!Q36+REITORIA_MUSEU!P36+REITORIA_MUSEU!Q36+CAV!P36+CAV!Q36+CCT!P36+CCT!Q36+CEAD!P36+CEAD!Q36+CEART!P36+CEART!Q36+CEAVI!P36+CEAVI!Q36+CEFID!P36+CEFID!Q36+CEO!P36+CEO!Q36+CEPLAN!P36+CEPLAN!Q36+CERES!P36+CERES!Q36+CESFI!P36+CESFI!Q36+CESMO!P36+CESMO!Q36+ESAG!P36+ESAG!Q36+FAED!P36+FAED!Q36</f>
        <v>0</v>
      </c>
      <c r="P36" s="15">
        <f t="shared" si="1"/>
        <v>0</v>
      </c>
      <c r="Q36" s="16">
        <f t="shared" si="2"/>
        <v>930</v>
      </c>
      <c r="R36" s="16">
        <f t="shared" si="3"/>
        <v>0</v>
      </c>
      <c r="S36" s="16">
        <f t="shared" si="4"/>
        <v>930</v>
      </c>
    </row>
    <row r="37" spans="1:19" ht="35.15" customHeight="1" x14ac:dyDescent="0.35">
      <c r="A37" s="44">
        <v>34</v>
      </c>
      <c r="B37" s="44">
        <v>34</v>
      </c>
      <c r="C37" s="45" t="s">
        <v>150</v>
      </c>
      <c r="D37" s="46" t="s">
        <v>153</v>
      </c>
      <c r="E37" s="48" t="s">
        <v>154</v>
      </c>
      <c r="F37" s="50" t="s">
        <v>20</v>
      </c>
      <c r="G37" s="44" t="s">
        <v>147</v>
      </c>
      <c r="H37" s="44" t="s">
        <v>60</v>
      </c>
      <c r="I37" s="44">
        <v>44905212</v>
      </c>
      <c r="J37" s="47">
        <v>2560</v>
      </c>
      <c r="K37" s="14">
        <f>'REITORIA_SEMS(+BU)'!K37+REITORIA_MUSEU!K37+CAV!K37+CCT!K37+CEAD!K37+CEART!K37+CEAVI!K37+CEFID!K37+CEO!K37+CEPLAN!K37+CERES!K37+CESFI!K37+CESMO!K37+ESAG!K37+FAED!K37</f>
        <v>1</v>
      </c>
      <c r="L37" s="13">
        <f>'REITORIA_SEMS(+BU)'!K37-'REITORIA_SEMS(+BU)'!S37+REITORIA_MUSEU!K37-REITORIA_MUSEU!S37+CAV!K37-CAV!S37+CCT!K37-CCT!S37+CEAD!K37-CEAD!S37+CEART!K37-CEART!S37+CEAVI!K37-CEAVI!S37+CEFID!K37-CEFID!S37+CEO!K37-CEO!S37+CEPLAN!K37-CEPLAN!S37+CERES!K37-CERES!S37+CESFI!K37-CESFI!S37+CESMO!K37-CESMO!S37+ESAG!K37-ESAG!S37+FAED!K37-FAED!S37</f>
        <v>1</v>
      </c>
      <c r="M37" s="136">
        <f>'REITORIA_SEMS(+BU)'!L37+REITORIA_MUSEU!L37+CAV!L37+CCT!L37+CEAD!L37+CEART!L37+CEAVI!L37+CEFID!L37+CEO!L37+CEPLAN!L37+CERES!L37+CESFI!L37+CESMO!L37+ESAG!L37+FAED!L37</f>
        <v>1</v>
      </c>
      <c r="N37" s="133">
        <f t="shared" si="0"/>
        <v>-0.25</v>
      </c>
      <c r="O37" s="134">
        <f>'REITORIA_SEMS(+BU)'!P37+'REITORIA_SEMS(+BU)'!Q37+REITORIA_MUSEU!P37+REITORIA_MUSEU!Q37+CAV!P37+CAV!Q37+CCT!P37+CCT!Q37+CEAD!P37+CEAD!Q37+CEART!P37+CEART!Q37+CEAVI!P37+CEAVI!Q37+CEFID!P37+CEFID!Q37+CEO!P37+CEO!Q37+CEPLAN!P37+CEPLAN!Q37+CERES!P37+CERES!Q37+CESFI!P37+CESFI!Q37+CESMO!P37+CESMO!Q37+ESAG!P37+ESAG!Q37+FAED!P37+FAED!Q37</f>
        <v>0</v>
      </c>
      <c r="P37" s="15">
        <f t="shared" si="1"/>
        <v>0</v>
      </c>
      <c r="Q37" s="16">
        <f t="shared" si="2"/>
        <v>2560</v>
      </c>
      <c r="R37" s="16">
        <f t="shared" si="3"/>
        <v>0</v>
      </c>
      <c r="S37" s="16">
        <f t="shared" si="4"/>
        <v>2560</v>
      </c>
    </row>
    <row r="38" spans="1:19" ht="35.15" customHeight="1" x14ac:dyDescent="0.35">
      <c r="A38" s="198" t="s">
        <v>155</v>
      </c>
      <c r="B38" s="37">
        <v>35</v>
      </c>
      <c r="C38" s="195" t="s">
        <v>33</v>
      </c>
      <c r="D38" s="34" t="s">
        <v>27</v>
      </c>
      <c r="E38" s="41" t="s">
        <v>8</v>
      </c>
      <c r="F38" s="42" t="s">
        <v>28</v>
      </c>
      <c r="G38" s="37" t="s">
        <v>29</v>
      </c>
      <c r="H38" s="37" t="s">
        <v>8</v>
      </c>
      <c r="I38" s="37" t="s">
        <v>9</v>
      </c>
      <c r="J38" s="36">
        <v>150.13999999999999</v>
      </c>
      <c r="K38" s="14">
        <f>'REITORIA_SEMS(+BU)'!K38+REITORIA_MUSEU!K38+CAV!K38+CCT!K38+CEAD!K38+CEART!K38+CEAVI!K38+CEFID!K38+CEO!K38+CEPLAN!K38+CERES!K38+CESFI!K38+CESMO!K38+ESAG!K38+FAED!K38</f>
        <v>33</v>
      </c>
      <c r="L38" s="13">
        <f>'REITORIA_SEMS(+BU)'!K38-'REITORIA_SEMS(+BU)'!S38+REITORIA_MUSEU!K38-REITORIA_MUSEU!S38+CAV!K38-CAV!S38+CCT!K38-CCT!S38+CEAD!K38-CEAD!S38+CEART!K38-CEART!S38+CEAVI!K38-CEAVI!S38+CEFID!K38-CEFID!S38+CEO!K38-CEO!S38+CEPLAN!K38-CEPLAN!S38+CERES!K38-CERES!S38+CESFI!K38-CESFI!S38+CESMO!K38-CESMO!S38+ESAG!K38-ESAG!S38+FAED!K38-FAED!S38</f>
        <v>16</v>
      </c>
      <c r="M38" s="136">
        <f>'REITORIA_SEMS(+BU)'!L38+REITORIA_MUSEU!L38+CAV!L38+CCT!L38+CEAD!L38+CEART!L38+CEAVI!L38+CEFID!L38+CEO!L38+CEPLAN!L38+CERES!L38+CESFI!L38+CESMO!L38+ESAG!L38+FAED!L38</f>
        <v>16</v>
      </c>
      <c r="N38" s="133">
        <f t="shared" si="0"/>
        <v>7.75</v>
      </c>
      <c r="O38" s="134">
        <f>'REITORIA_SEMS(+BU)'!P38+'REITORIA_SEMS(+BU)'!Q38+REITORIA_MUSEU!P38+REITORIA_MUSEU!Q38+CAV!P38+CAV!Q38+CCT!P38+CCT!Q38+CEAD!P38+CEAD!Q38+CEART!P38+CEART!Q38+CEAVI!P38+CEAVI!Q38+CEFID!P38+CEFID!Q38+CEO!P38+CEO!Q38+CEPLAN!P38+CEPLAN!Q38+CERES!P38+CERES!Q38+CESFI!P38+CESFI!Q38+CESMO!P38+CESMO!Q38+ESAG!P38+ESAG!Q38+FAED!P38+FAED!Q38</f>
        <v>0</v>
      </c>
      <c r="P38" s="15">
        <f t="shared" si="1"/>
        <v>17</v>
      </c>
      <c r="Q38" s="16">
        <f t="shared" si="2"/>
        <v>4954.62</v>
      </c>
      <c r="R38" s="16">
        <f t="shared" si="3"/>
        <v>0</v>
      </c>
      <c r="S38" s="16">
        <f t="shared" si="4"/>
        <v>2402.2399999999998</v>
      </c>
    </row>
    <row r="39" spans="1:19" ht="35.15" customHeight="1" x14ac:dyDescent="0.35">
      <c r="A39" s="199"/>
      <c r="B39" s="37">
        <v>36</v>
      </c>
      <c r="C39" s="196"/>
      <c r="D39" s="34" t="s">
        <v>7</v>
      </c>
      <c r="E39" s="41" t="s">
        <v>8</v>
      </c>
      <c r="F39" s="43" t="s">
        <v>28</v>
      </c>
      <c r="G39" s="37" t="s">
        <v>29</v>
      </c>
      <c r="H39" s="37" t="s">
        <v>8</v>
      </c>
      <c r="I39" s="37" t="s">
        <v>9</v>
      </c>
      <c r="J39" s="36">
        <v>1076</v>
      </c>
      <c r="K39" s="14">
        <f>'REITORIA_SEMS(+BU)'!K39+REITORIA_MUSEU!K39+CAV!K39+CCT!K39+CEAD!K39+CEART!K39+CEAVI!K39+CEFID!K39+CEO!K39+CEPLAN!K39+CERES!K39+CESFI!K39+CESMO!K39+ESAG!K39+FAED!K39</f>
        <v>212</v>
      </c>
      <c r="L39" s="13">
        <f>'REITORIA_SEMS(+BU)'!K39-'REITORIA_SEMS(+BU)'!S39+REITORIA_MUSEU!K39-REITORIA_MUSEU!S39+CAV!K39-CAV!S39+CCT!K39-CCT!S39+CEAD!K39-CEAD!S39+CEART!K39-CEART!S39+CEAVI!K39-CEAVI!S39+CEFID!K39-CEFID!S39+CEO!K39-CEO!S39+CEPLAN!K39-CEPLAN!S39+CERES!K39-CERES!S39+CESFI!K39-CESFI!S39+CESMO!K39-CESMO!S39+ESAG!K39-ESAG!S39+FAED!K39-FAED!S39</f>
        <v>165</v>
      </c>
      <c r="M39" s="136">
        <f>'REITORIA_SEMS(+BU)'!L39+REITORIA_MUSEU!L39+CAV!L39+CCT!L39+CEAD!L39+CEART!L39+CEAVI!L39+CEFID!L39+CEO!L39+CEPLAN!L39+CERES!L39+CESFI!L39+CESMO!L39+ESAG!L39+FAED!L39</f>
        <v>165</v>
      </c>
      <c r="N39" s="133">
        <f t="shared" si="0"/>
        <v>52.5</v>
      </c>
      <c r="O39" s="134">
        <f>'REITORIA_SEMS(+BU)'!P39+'REITORIA_SEMS(+BU)'!Q39+REITORIA_MUSEU!P39+REITORIA_MUSEU!Q39+CAV!P39+CAV!Q39+CCT!P39+CCT!Q39+CEAD!P39+CEAD!Q39+CEART!P39+CEART!Q39+CEAVI!P39+CEAVI!Q39+CEFID!P39+CEFID!Q39+CEO!P39+CEO!Q39+CEPLAN!P39+CEPLAN!Q39+CERES!P39+CERES!Q39+CESFI!P39+CESFI!Q39+CESMO!P39+CESMO!Q39+ESAG!P39+ESAG!Q39+FAED!P39+FAED!Q39</f>
        <v>0</v>
      </c>
      <c r="P39" s="15">
        <f t="shared" si="1"/>
        <v>47</v>
      </c>
      <c r="Q39" s="16">
        <f t="shared" si="2"/>
        <v>228112</v>
      </c>
      <c r="R39" s="16">
        <f t="shared" si="3"/>
        <v>0</v>
      </c>
      <c r="S39" s="16">
        <f t="shared" si="4"/>
        <v>177540</v>
      </c>
    </row>
    <row r="40" spans="1:19" ht="35.15" customHeight="1" x14ac:dyDescent="0.35">
      <c r="A40" s="199"/>
      <c r="B40" s="37">
        <v>37</v>
      </c>
      <c r="C40" s="196"/>
      <c r="D40" s="34" t="s">
        <v>156</v>
      </c>
      <c r="E40" s="41" t="s">
        <v>8</v>
      </c>
      <c r="F40" s="43" t="s">
        <v>28</v>
      </c>
      <c r="G40" s="37" t="s">
        <v>29</v>
      </c>
      <c r="H40" s="37" t="s">
        <v>34</v>
      </c>
      <c r="I40" s="37" t="s">
        <v>9</v>
      </c>
      <c r="J40" s="36">
        <v>75</v>
      </c>
      <c r="K40" s="14">
        <f>'REITORIA_SEMS(+BU)'!K40+REITORIA_MUSEU!K40+CAV!K40+CCT!K40+CEAD!K40+CEART!K40+CEAVI!K40+CEFID!K40+CEO!K40+CEPLAN!K40+CERES!K40+CESFI!K40+CESMO!K40+ESAG!K40+FAED!K40</f>
        <v>826</v>
      </c>
      <c r="L40" s="13">
        <f>'REITORIA_SEMS(+BU)'!K40-'REITORIA_SEMS(+BU)'!S40+REITORIA_MUSEU!K40-REITORIA_MUSEU!S40+CAV!K40-CAV!S40+CCT!K40-CCT!S40+CEAD!K40-CEAD!S40+CEART!K40-CEART!S40+CEAVI!K40-CEAVI!S40+CEFID!K40-CEFID!S40+CEO!K40-CEO!S40+CEPLAN!K40-CEPLAN!S40+CERES!K40-CERES!S40+CESFI!K40-CESFI!S40+CESMO!K40-CESMO!S40+ESAG!K40-ESAG!S40+FAED!K40-FAED!S40</f>
        <v>273</v>
      </c>
      <c r="M40" s="136">
        <f>'REITORIA_SEMS(+BU)'!L40+REITORIA_MUSEU!L40+CAV!L40+CCT!L40+CEAD!L40+CEART!L40+CEAVI!L40+CEFID!L40+CEO!L40+CEPLAN!L40+CERES!L40+CESFI!L40+CESMO!L40+ESAG!L40+FAED!L40</f>
        <v>273</v>
      </c>
      <c r="N40" s="133">
        <f t="shared" si="0"/>
        <v>206</v>
      </c>
      <c r="O40" s="134">
        <f>'REITORIA_SEMS(+BU)'!P40+'REITORIA_SEMS(+BU)'!Q40+REITORIA_MUSEU!P40+REITORIA_MUSEU!Q40+CAV!P40+CAV!Q40+CCT!P40+CCT!Q40+CEAD!P40+CEAD!Q40+CEART!P40+CEART!Q40+CEAVI!P40+CEAVI!Q40+CEFID!P40+CEFID!Q40+CEO!P40+CEO!Q40+CEPLAN!P40+CEPLAN!Q40+CERES!P40+CERES!Q40+CESFI!P40+CESFI!Q40+CESMO!P40+CESMO!Q40+ESAG!P40+ESAG!Q40+FAED!P40+FAED!Q40</f>
        <v>0</v>
      </c>
      <c r="P40" s="15">
        <f t="shared" si="1"/>
        <v>553</v>
      </c>
      <c r="Q40" s="16">
        <f t="shared" si="2"/>
        <v>61950</v>
      </c>
      <c r="R40" s="16">
        <f t="shared" si="3"/>
        <v>0</v>
      </c>
      <c r="S40" s="16">
        <f t="shared" si="4"/>
        <v>20475</v>
      </c>
    </row>
    <row r="41" spans="1:19" ht="35.15" customHeight="1" x14ac:dyDescent="0.35">
      <c r="A41" s="199"/>
      <c r="B41" s="37">
        <v>38</v>
      </c>
      <c r="C41" s="196"/>
      <c r="D41" s="34" t="s">
        <v>11</v>
      </c>
      <c r="E41" s="41" t="s">
        <v>8</v>
      </c>
      <c r="F41" s="43" t="s">
        <v>28</v>
      </c>
      <c r="G41" s="37" t="s">
        <v>29</v>
      </c>
      <c r="H41" s="37" t="s">
        <v>8</v>
      </c>
      <c r="I41" s="37" t="s">
        <v>9</v>
      </c>
      <c r="J41" s="36">
        <v>1400</v>
      </c>
      <c r="K41" s="14">
        <f>'REITORIA_SEMS(+BU)'!K41+REITORIA_MUSEU!K41+CAV!K41+CCT!K41+CEAD!K41+CEART!K41+CEAVI!K41+CEFID!K41+CEO!K41+CEPLAN!K41+CERES!K41+CESFI!K41+CESMO!K41+ESAG!K41+FAED!K41</f>
        <v>70</v>
      </c>
      <c r="L41" s="13">
        <f>'REITORIA_SEMS(+BU)'!K41-'REITORIA_SEMS(+BU)'!S41+REITORIA_MUSEU!K41-REITORIA_MUSEU!S41+CAV!K41-CAV!S41+CCT!K41-CCT!S41+CEAD!K41-CEAD!S41+CEART!K41-CEART!S41+CEAVI!K41-CEAVI!S41+CEFID!K41-CEFID!S41+CEO!K41-CEO!S41+CEPLAN!K41-CEPLAN!S41+CERES!K41-CERES!S41+CESFI!K41-CESFI!S41+CESMO!K41-CESMO!S41+ESAG!K41-ESAG!S41+FAED!K41-FAED!S41</f>
        <v>33</v>
      </c>
      <c r="M41" s="136">
        <f>'REITORIA_SEMS(+BU)'!L41+REITORIA_MUSEU!L41+CAV!L41+CCT!L41+CEAD!L41+CEART!L41+CEAVI!L41+CEFID!L41+CEO!L41+CEPLAN!L41+CERES!L41+CESFI!L41+CESMO!L41+ESAG!L41+FAED!L41</f>
        <v>33</v>
      </c>
      <c r="N41" s="133">
        <f t="shared" si="0"/>
        <v>17</v>
      </c>
      <c r="O41" s="134">
        <f>'REITORIA_SEMS(+BU)'!P41+'REITORIA_SEMS(+BU)'!Q41+REITORIA_MUSEU!P41+REITORIA_MUSEU!Q41+CAV!P41+CAV!Q41+CCT!P41+CCT!Q41+CEAD!P41+CEAD!Q41+CEART!P41+CEART!Q41+CEAVI!P41+CEAVI!Q41+CEFID!P41+CEFID!Q41+CEO!P41+CEO!Q41+CEPLAN!P41+CEPLAN!Q41+CERES!P41+CERES!Q41+CESFI!P41+CESFI!Q41+CESMO!P41+CESMO!Q41+ESAG!P41+ESAG!Q41+FAED!P41+FAED!Q41</f>
        <v>0</v>
      </c>
      <c r="P41" s="15">
        <f t="shared" si="1"/>
        <v>37</v>
      </c>
      <c r="Q41" s="16">
        <f t="shared" si="2"/>
        <v>98000</v>
      </c>
      <c r="R41" s="16">
        <f t="shared" si="3"/>
        <v>0</v>
      </c>
      <c r="S41" s="16">
        <f t="shared" si="4"/>
        <v>46200</v>
      </c>
    </row>
    <row r="42" spans="1:19" ht="35.15" customHeight="1" x14ac:dyDescent="0.35">
      <c r="A42" s="199"/>
      <c r="B42" s="37">
        <v>39</v>
      </c>
      <c r="C42" s="196"/>
      <c r="D42" s="34" t="s">
        <v>12</v>
      </c>
      <c r="E42" s="41" t="s">
        <v>8</v>
      </c>
      <c r="F42" s="43" t="s">
        <v>28</v>
      </c>
      <c r="G42" s="37" t="s">
        <v>29</v>
      </c>
      <c r="H42" s="37" t="s">
        <v>34</v>
      </c>
      <c r="I42" s="37" t="s">
        <v>9</v>
      </c>
      <c r="J42" s="36">
        <v>75.5</v>
      </c>
      <c r="K42" s="14">
        <f>'REITORIA_SEMS(+BU)'!K42+REITORIA_MUSEU!K42+CAV!K42+CCT!K42+CEAD!K42+CEART!K42+CEAVI!K42+CEFID!K42+CEO!K42+CEPLAN!K42+CERES!K42+CESFI!K42+CESMO!K42+ESAG!K42+FAED!K42</f>
        <v>936</v>
      </c>
      <c r="L42" s="13">
        <f>'REITORIA_SEMS(+BU)'!K42-'REITORIA_SEMS(+BU)'!S42+REITORIA_MUSEU!K42-REITORIA_MUSEU!S42+CAV!K42-CAV!S42+CCT!K42-CCT!S42+CEAD!K42-CEAD!S42+CEART!K42-CEART!S42+CEAVI!K42-CEAVI!S42+CEFID!K42-CEFID!S42+CEO!K42-CEO!S42+CEPLAN!K42-CEPLAN!S42+CERES!K42-CERES!S42+CESFI!K42-CESFI!S42+CESMO!K42-CESMO!S42+ESAG!K42-ESAG!S42+FAED!K42-FAED!S42</f>
        <v>244</v>
      </c>
      <c r="M42" s="136">
        <f>'REITORIA_SEMS(+BU)'!L42+REITORIA_MUSEU!L42+CAV!L42+CCT!L42+CEAD!L42+CEART!L42+CEAVI!L42+CEFID!L42+CEO!L42+CEPLAN!L42+CERES!L42+CESFI!L42+CESMO!L42+ESAG!L42+FAED!L42</f>
        <v>244</v>
      </c>
      <c r="N42" s="133">
        <f t="shared" si="0"/>
        <v>233.5</v>
      </c>
      <c r="O42" s="134">
        <f>'REITORIA_SEMS(+BU)'!P42+'REITORIA_SEMS(+BU)'!Q42+REITORIA_MUSEU!P42+REITORIA_MUSEU!Q42+CAV!P42+CAV!Q42+CCT!P42+CCT!Q42+CEAD!P42+CEAD!Q42+CEART!P42+CEART!Q42+CEAVI!P42+CEAVI!Q42+CEFID!P42+CEFID!Q42+CEO!P42+CEO!Q42+CEPLAN!P42+CEPLAN!Q42+CERES!P42+CERES!Q42+CESFI!P42+CESFI!Q42+CESMO!P42+CESMO!Q42+ESAG!P42+ESAG!Q42+FAED!P42+FAED!Q42</f>
        <v>0</v>
      </c>
      <c r="P42" s="15">
        <f t="shared" si="1"/>
        <v>692</v>
      </c>
      <c r="Q42" s="16">
        <f t="shared" si="2"/>
        <v>70668</v>
      </c>
      <c r="R42" s="16">
        <f t="shared" si="3"/>
        <v>0</v>
      </c>
      <c r="S42" s="16">
        <f t="shared" si="4"/>
        <v>18422</v>
      </c>
    </row>
    <row r="43" spans="1:19" ht="35.15" customHeight="1" x14ac:dyDescent="0.35">
      <c r="A43" s="199"/>
      <c r="B43" s="37">
        <v>40</v>
      </c>
      <c r="C43" s="196"/>
      <c r="D43" s="34" t="s">
        <v>10</v>
      </c>
      <c r="E43" s="41" t="s">
        <v>8</v>
      </c>
      <c r="F43" s="43" t="s">
        <v>28</v>
      </c>
      <c r="G43" s="37" t="s">
        <v>29</v>
      </c>
      <c r="H43" s="37" t="s">
        <v>8</v>
      </c>
      <c r="I43" s="37" t="s">
        <v>9</v>
      </c>
      <c r="J43" s="36">
        <v>1600</v>
      </c>
      <c r="K43" s="14">
        <f>'REITORIA_SEMS(+BU)'!K43+REITORIA_MUSEU!K43+CAV!K43+CCT!K43+CEAD!K43+CEART!K43+CEAVI!K43+CEFID!K43+CEO!K43+CEPLAN!K43+CERES!K43+CESFI!K43+CESMO!K43+ESAG!K43+FAED!K43</f>
        <v>118</v>
      </c>
      <c r="L43" s="13">
        <f>'REITORIA_SEMS(+BU)'!K43-'REITORIA_SEMS(+BU)'!S43+REITORIA_MUSEU!K43-REITORIA_MUSEU!S43+CAV!K43-CAV!S43+CCT!K43-CCT!S43+CEAD!K43-CEAD!S43+CEART!K43-CEART!S43+CEAVI!K43-CEAVI!S43+CEFID!K43-CEFID!S43+CEO!K43-CEO!S43+CEPLAN!K43-CEPLAN!S43+CERES!K43-CERES!S43+CESFI!K43-CESFI!S43+CESMO!K43-CESMO!S43+ESAG!K43-ESAG!S43+FAED!K43-FAED!S43</f>
        <v>42</v>
      </c>
      <c r="M43" s="136">
        <f>'REITORIA_SEMS(+BU)'!L43+REITORIA_MUSEU!L43+CAV!L43+CCT!L43+CEAD!L43+CEART!L43+CEAVI!L43+CEFID!L43+CEO!L43+CEPLAN!L43+CERES!L43+CESFI!L43+CESMO!L43+ESAG!L43+FAED!L43</f>
        <v>42</v>
      </c>
      <c r="N43" s="133">
        <f t="shared" si="0"/>
        <v>29</v>
      </c>
      <c r="O43" s="134">
        <f>'REITORIA_SEMS(+BU)'!P43+'REITORIA_SEMS(+BU)'!Q43+REITORIA_MUSEU!P43+REITORIA_MUSEU!Q43+CAV!P43+CAV!Q43+CCT!P43+CCT!Q43+CEAD!P43+CEAD!Q43+CEART!P43+CEART!Q43+CEAVI!P43+CEAVI!Q43+CEFID!P43+CEFID!Q43+CEO!P43+CEO!Q43+CEPLAN!P43+CEPLAN!Q43+CERES!P43+CERES!Q43+CESFI!P43+CESFI!Q43+CESMO!P43+CESMO!Q43+ESAG!P43+ESAG!Q43+FAED!P43+FAED!Q43</f>
        <v>0</v>
      </c>
      <c r="P43" s="15">
        <f t="shared" si="1"/>
        <v>76</v>
      </c>
      <c r="Q43" s="16">
        <f t="shared" si="2"/>
        <v>188800</v>
      </c>
      <c r="R43" s="16">
        <f t="shared" si="3"/>
        <v>0</v>
      </c>
      <c r="S43" s="16">
        <f t="shared" si="4"/>
        <v>67200</v>
      </c>
    </row>
    <row r="44" spans="1:19" ht="35.15" customHeight="1" x14ac:dyDescent="0.35">
      <c r="A44" s="199"/>
      <c r="B44" s="37">
        <v>41</v>
      </c>
      <c r="C44" s="196"/>
      <c r="D44" s="34" t="s">
        <v>13</v>
      </c>
      <c r="E44" s="41" t="s">
        <v>8</v>
      </c>
      <c r="F44" s="43" t="s">
        <v>28</v>
      </c>
      <c r="G44" s="37" t="s">
        <v>29</v>
      </c>
      <c r="H44" s="37" t="s">
        <v>34</v>
      </c>
      <c r="I44" s="37" t="s">
        <v>9</v>
      </c>
      <c r="J44" s="36">
        <v>75</v>
      </c>
      <c r="K44" s="14">
        <f>'REITORIA_SEMS(+BU)'!K44+REITORIA_MUSEU!K44+CAV!K44+CCT!K44+CEAD!K44+CEART!K44+CEAVI!K44+CEFID!K44+CEO!K44+CEPLAN!K44+CERES!K44+CESFI!K44+CESMO!K44+ESAG!K44+FAED!K44</f>
        <v>682</v>
      </c>
      <c r="L44" s="13">
        <f>'REITORIA_SEMS(+BU)'!K44-'REITORIA_SEMS(+BU)'!S44+REITORIA_MUSEU!K44-REITORIA_MUSEU!S44+CAV!K44-CAV!S44+CCT!K44-CCT!S44+CEAD!K44-CEAD!S44+CEART!K44-CEART!S44+CEAVI!K44-CEAVI!S44+CEFID!K44-CEFID!S44+CEO!K44-CEO!S44+CEPLAN!K44-CEPLAN!S44+CERES!K44-CERES!S44+CESFI!K44-CESFI!S44+CESMO!K44-CESMO!S44+ESAG!K44-ESAG!S44+FAED!K44-FAED!S44</f>
        <v>147</v>
      </c>
      <c r="M44" s="136">
        <f>'REITORIA_SEMS(+BU)'!L44+REITORIA_MUSEU!L44+CAV!L44+CCT!L44+CEAD!L44+CEART!L44+CEAVI!L44+CEFID!L44+CEO!L44+CEPLAN!L44+CERES!L44+CESFI!L44+CESMO!L44+ESAG!L44+FAED!L44</f>
        <v>147</v>
      </c>
      <c r="N44" s="133">
        <f t="shared" si="0"/>
        <v>170</v>
      </c>
      <c r="O44" s="134">
        <f>'REITORIA_SEMS(+BU)'!P44+'REITORIA_SEMS(+BU)'!Q44+REITORIA_MUSEU!P44+REITORIA_MUSEU!Q44+CAV!P44+CAV!Q44+CCT!P44+CCT!Q44+CEAD!P44+CEAD!Q44+CEART!P44+CEART!Q44+CEAVI!P44+CEAVI!Q44+CEFID!P44+CEFID!Q44+CEO!P44+CEO!Q44+CEPLAN!P44+CEPLAN!Q44+CERES!P44+CERES!Q44+CESFI!P44+CESFI!Q44+CESMO!P44+CESMO!Q44+ESAG!P44+ESAG!Q44+FAED!P44+FAED!Q44</f>
        <v>0</v>
      </c>
      <c r="P44" s="15">
        <f t="shared" si="1"/>
        <v>535</v>
      </c>
      <c r="Q44" s="16">
        <f t="shared" si="2"/>
        <v>51150</v>
      </c>
      <c r="R44" s="16">
        <f t="shared" si="3"/>
        <v>0</v>
      </c>
      <c r="S44" s="16">
        <f t="shared" si="4"/>
        <v>11025</v>
      </c>
    </row>
    <row r="45" spans="1:19" ht="35.15" customHeight="1" x14ac:dyDescent="0.35">
      <c r="A45" s="199"/>
      <c r="B45" s="84">
        <v>42</v>
      </c>
      <c r="C45" s="196"/>
      <c r="D45" s="85" t="s">
        <v>157</v>
      </c>
      <c r="E45" s="114" t="s">
        <v>8</v>
      </c>
      <c r="F45" s="115" t="s">
        <v>28</v>
      </c>
      <c r="G45" s="84" t="s">
        <v>29</v>
      </c>
      <c r="H45" s="84" t="s">
        <v>8</v>
      </c>
      <c r="I45" s="84" t="s">
        <v>9</v>
      </c>
      <c r="J45" s="86">
        <v>350</v>
      </c>
      <c r="K45" s="14">
        <f>'REITORIA_SEMS(+BU)'!K45+REITORIA_MUSEU!K45+CAV!K45+CCT!K45+CEAD!K45+CEART!K45+CEAVI!K45+CEFID!K45+CEO!K45+CEPLAN!K45+CERES!K45+CESFI!K45+CESMO!K45+ESAG!K45+FAED!K45</f>
        <v>231</v>
      </c>
      <c r="L45" s="13">
        <f>'REITORIA_SEMS(+BU)'!K45-'REITORIA_SEMS(+BU)'!S45+REITORIA_MUSEU!K45-REITORIA_MUSEU!S45+CAV!K45-CAV!S45+CCT!K45-CCT!S45+CEAD!K45-CEAD!S45+CEART!K45-CEART!S45+CEAVI!K45-CEAVI!S45+CEFID!K45-CEFID!S45+CEO!K45-CEO!S45+CEPLAN!K45-CEPLAN!S45+CERES!K45-CERES!S45+CESFI!K45-CESFI!S45+CESMO!K45-CESMO!S45+ESAG!K45-ESAG!S45+FAED!K45-FAED!S45</f>
        <v>166</v>
      </c>
      <c r="M45" s="136">
        <f>'REITORIA_SEMS(+BU)'!L45+REITORIA_MUSEU!L45+CAV!L45+CCT!L45+CEAD!L45+CEART!L45+CEAVI!L45+CEFID!L45+CEO!L45+CEPLAN!L45+CERES!L45+CESFI!L45+CESMO!L45+ESAG!L45+FAED!L45</f>
        <v>166</v>
      </c>
      <c r="N45" s="133">
        <f t="shared" si="0"/>
        <v>57.25</v>
      </c>
      <c r="O45" s="134">
        <f>'REITORIA_SEMS(+BU)'!P45+'REITORIA_SEMS(+BU)'!Q45+REITORIA_MUSEU!P45+REITORIA_MUSEU!Q45+CAV!P45+CAV!Q45+CCT!P45+CCT!Q45+CEAD!P45+CEAD!Q45+CEART!P45+CEART!Q45+CEAVI!P45+CEAVI!Q45+CEFID!P45+CEFID!Q45+CEO!P45+CEO!Q45+CEPLAN!P45+CEPLAN!Q45+CERES!P45+CERES!Q45+CESFI!P45+CESFI!Q45+CESMO!P45+CESMO!Q45+ESAG!P45+ESAG!Q45+FAED!P45+FAED!Q45</f>
        <v>0</v>
      </c>
      <c r="P45" s="15">
        <f t="shared" si="1"/>
        <v>65</v>
      </c>
      <c r="Q45" s="16">
        <f t="shared" si="2"/>
        <v>80850</v>
      </c>
      <c r="R45" s="16">
        <f t="shared" si="3"/>
        <v>0</v>
      </c>
      <c r="S45" s="16">
        <f t="shared" si="4"/>
        <v>58100</v>
      </c>
    </row>
    <row r="46" spans="1:19" ht="35.15" customHeight="1" x14ac:dyDescent="0.35">
      <c r="A46" s="199"/>
      <c r="B46" s="37">
        <v>43</v>
      </c>
      <c r="C46" s="196"/>
      <c r="D46" s="34" t="s">
        <v>30</v>
      </c>
      <c r="E46" s="41" t="s">
        <v>8</v>
      </c>
      <c r="F46" s="43" t="s">
        <v>28</v>
      </c>
      <c r="G46" s="37" t="s">
        <v>29</v>
      </c>
      <c r="H46" s="37" t="s">
        <v>8</v>
      </c>
      <c r="I46" s="37" t="s">
        <v>9</v>
      </c>
      <c r="J46" s="36">
        <v>100.25</v>
      </c>
      <c r="K46" s="14">
        <f>'REITORIA_SEMS(+BU)'!K46+REITORIA_MUSEU!K46+CAV!K46+CCT!K46+CEAD!K46+CEART!K46+CEAVI!K46+CEFID!K46+CEO!K46+CEPLAN!K46+CERES!K46+CESFI!K46+CESMO!K46+ESAG!K46+FAED!K46</f>
        <v>65</v>
      </c>
      <c r="L46" s="13">
        <f>'REITORIA_SEMS(+BU)'!K46-'REITORIA_SEMS(+BU)'!S46+REITORIA_MUSEU!K46-REITORIA_MUSEU!S46+CAV!K46-CAV!S46+CCT!K46-CCT!S46+CEAD!K46-CEAD!S46+CEART!K46-CEART!S46+CEAVI!K46-CEAVI!S46+CEFID!K46-CEFID!S46+CEO!K46-CEO!S46+CEPLAN!K46-CEPLAN!S46+CERES!K46-CERES!S46+CESFI!K46-CESFI!S46+CESMO!K46-CESMO!S46+ESAG!K46-ESAG!S46+FAED!K46-FAED!S46</f>
        <v>18</v>
      </c>
      <c r="M46" s="136">
        <f>'REITORIA_SEMS(+BU)'!L46+REITORIA_MUSEU!L46+CAV!L46+CCT!L46+CEAD!L46+CEART!L46+CEAVI!L46+CEFID!L46+CEO!L46+CEPLAN!L46+CERES!L46+CESFI!L46+CESMO!L46+ESAG!L46+FAED!L46</f>
        <v>18</v>
      </c>
      <c r="N46" s="133">
        <f t="shared" si="0"/>
        <v>15.75</v>
      </c>
      <c r="O46" s="134">
        <f>'REITORIA_SEMS(+BU)'!P46+'REITORIA_SEMS(+BU)'!Q46+REITORIA_MUSEU!P46+REITORIA_MUSEU!Q46+CAV!P46+CAV!Q46+CCT!P46+CCT!Q46+CEAD!P46+CEAD!Q46+CEART!P46+CEART!Q46+CEAVI!P46+CEAVI!Q46+CEFID!P46+CEFID!Q46+CEO!P46+CEO!Q46+CEPLAN!P46+CEPLAN!Q46+CERES!P46+CERES!Q46+CESFI!P46+CESFI!Q46+CESMO!P46+CESMO!Q46+ESAG!P46+ESAG!Q46+FAED!P46+FAED!Q46</f>
        <v>0</v>
      </c>
      <c r="P46" s="15">
        <f t="shared" si="1"/>
        <v>47</v>
      </c>
      <c r="Q46" s="16">
        <f t="shared" ref="Q46:Q81" si="5">J46*K46</f>
        <v>6516.25</v>
      </c>
      <c r="R46" s="16">
        <f t="shared" si="3"/>
        <v>0</v>
      </c>
      <c r="S46" s="16">
        <f t="shared" ref="S46:S81" si="6">J46*L46</f>
        <v>1804.5</v>
      </c>
    </row>
    <row r="47" spans="1:19" ht="35.15" customHeight="1" x14ac:dyDescent="0.35">
      <c r="A47" s="199"/>
      <c r="B47" s="37">
        <v>44</v>
      </c>
      <c r="C47" s="196"/>
      <c r="D47" s="34" t="s">
        <v>158</v>
      </c>
      <c r="E47" s="41" t="s">
        <v>8</v>
      </c>
      <c r="F47" s="42" t="s">
        <v>28</v>
      </c>
      <c r="G47" s="37" t="s">
        <v>159</v>
      </c>
      <c r="H47" s="37" t="s">
        <v>8</v>
      </c>
      <c r="I47" s="37" t="s">
        <v>9</v>
      </c>
      <c r="J47" s="36">
        <v>1424</v>
      </c>
      <c r="K47" s="14">
        <f>'REITORIA_SEMS(+BU)'!K47+REITORIA_MUSEU!K47+CAV!K47+CCT!K47+CEAD!K47+CEART!K47+CEAVI!K47+CEFID!K47+CEO!K47+CEPLAN!K47+CERES!K47+CESFI!K47+CESMO!K47+ESAG!K47+FAED!K47</f>
        <v>15</v>
      </c>
      <c r="L47" s="13">
        <f>'REITORIA_SEMS(+BU)'!K47-'REITORIA_SEMS(+BU)'!S47+REITORIA_MUSEU!K47-REITORIA_MUSEU!S47+CAV!K47-CAV!S47+CCT!K47-CCT!S47+CEAD!K47-CEAD!S47+CEART!K47-CEART!S47+CEAVI!K47-CEAVI!S47+CEFID!K47-CEFID!S47+CEO!K47-CEO!S47+CEPLAN!K47-CEPLAN!S47+CERES!K47-CERES!S47+CESFI!K47-CESFI!S47+CESMO!K47-CESMO!S47+ESAG!K47-ESAG!S47+FAED!K47-FAED!S47</f>
        <v>0</v>
      </c>
      <c r="M47" s="136">
        <f>'REITORIA_SEMS(+BU)'!L47+REITORIA_MUSEU!L47+CAV!L47+CCT!L47+CEAD!L47+CEART!L47+CEAVI!L47+CEFID!L47+CEO!L47+CEPLAN!L47+CERES!L47+CESFI!L47+CESMO!L47+ESAG!L47+FAED!L47</f>
        <v>0</v>
      </c>
      <c r="N47" s="133">
        <f t="shared" si="0"/>
        <v>3.25</v>
      </c>
      <c r="O47" s="134">
        <f>'REITORIA_SEMS(+BU)'!P47+'REITORIA_SEMS(+BU)'!Q47+REITORIA_MUSEU!P47+REITORIA_MUSEU!Q47+CAV!P47+CAV!Q47+CCT!P47+CCT!Q47+CEAD!P47+CEAD!Q47+CEART!P47+CEART!Q47+CEAVI!P47+CEAVI!Q47+CEFID!P47+CEFID!Q47+CEO!P47+CEO!Q47+CEPLAN!P47+CEPLAN!Q47+CERES!P47+CERES!Q47+CESFI!P47+CESFI!Q47+CESMO!P47+CESMO!Q47+ESAG!P47+ESAG!Q47+FAED!P47+FAED!Q47</f>
        <v>0</v>
      </c>
      <c r="P47" s="15">
        <f t="shared" si="1"/>
        <v>15</v>
      </c>
      <c r="Q47" s="16">
        <f t="shared" si="5"/>
        <v>21360</v>
      </c>
      <c r="R47" s="16">
        <f t="shared" si="3"/>
        <v>0</v>
      </c>
      <c r="S47" s="16">
        <f t="shared" si="6"/>
        <v>0</v>
      </c>
    </row>
    <row r="48" spans="1:19" ht="35.15" customHeight="1" x14ac:dyDescent="0.35">
      <c r="A48" s="200"/>
      <c r="B48" s="37">
        <v>45</v>
      </c>
      <c r="C48" s="197"/>
      <c r="D48" s="34" t="s">
        <v>160</v>
      </c>
      <c r="E48" s="41" t="s">
        <v>8</v>
      </c>
      <c r="F48" s="43" t="s">
        <v>28</v>
      </c>
      <c r="G48" s="37" t="s">
        <v>29</v>
      </c>
      <c r="H48" s="37" t="s">
        <v>8</v>
      </c>
      <c r="I48" s="37" t="s">
        <v>9</v>
      </c>
      <c r="J48" s="36">
        <v>2503.0100000000002</v>
      </c>
      <c r="K48" s="14">
        <f>'REITORIA_SEMS(+BU)'!K48+REITORIA_MUSEU!K48+CAV!K48+CCT!K48+CEAD!K48+CEART!K48+CEAVI!K48+CEFID!K48+CEO!K48+CEPLAN!K48+CERES!K48+CESFI!K48+CESMO!K48+ESAG!K48+FAED!K48</f>
        <v>14</v>
      </c>
      <c r="L48" s="13">
        <f>'REITORIA_SEMS(+BU)'!K48-'REITORIA_SEMS(+BU)'!S48+REITORIA_MUSEU!K48-REITORIA_MUSEU!S48+CAV!K48-CAV!S48+CCT!K48-CCT!S48+CEAD!K48-CEAD!S48+CEART!K48-CEART!S48+CEAVI!K48-CEAVI!S48+CEFID!K48-CEFID!S48+CEO!K48-CEO!S48+CEPLAN!K48-CEPLAN!S48+CERES!K48-CERES!S48+CESFI!K48-CESFI!S48+CESMO!K48-CESMO!S48+ESAG!K48-ESAG!S48+FAED!K48-FAED!S48</f>
        <v>5</v>
      </c>
      <c r="M48" s="136">
        <f>'REITORIA_SEMS(+BU)'!L48+REITORIA_MUSEU!L48+CAV!L48+CCT!L48+CEAD!L48+CEART!L48+CEAVI!L48+CEFID!L48+CEO!L48+CEPLAN!L48+CERES!L48+CESFI!L48+CESMO!L48+ESAG!L48+FAED!L48</f>
        <v>4</v>
      </c>
      <c r="N48" s="133">
        <f t="shared" si="0"/>
        <v>3</v>
      </c>
      <c r="O48" s="134">
        <f>'REITORIA_SEMS(+BU)'!P48+'REITORIA_SEMS(+BU)'!Q48+REITORIA_MUSEU!P48+REITORIA_MUSEU!Q48+CAV!P48+CAV!Q48+CCT!P48+CCT!Q48+CEAD!P48+CEAD!Q48+CEART!P48+CEART!Q48+CEAVI!P48+CEAVI!Q48+CEFID!P48+CEFID!Q48+CEO!P48+CEO!Q48+CEPLAN!P48+CEPLAN!Q48+CERES!P48+CERES!Q48+CESFI!P48+CESFI!Q48+CESMO!P48+CESMO!Q48+ESAG!P48+ESAG!Q48+FAED!P48+FAED!Q48</f>
        <v>0</v>
      </c>
      <c r="P48" s="15">
        <f t="shared" si="1"/>
        <v>9</v>
      </c>
      <c r="Q48" s="16">
        <f t="shared" si="5"/>
        <v>35042.14</v>
      </c>
      <c r="R48" s="16">
        <f t="shared" si="3"/>
        <v>0</v>
      </c>
      <c r="S48" s="16">
        <f t="shared" si="6"/>
        <v>12515.050000000001</v>
      </c>
    </row>
    <row r="49" spans="1:19" ht="35.15" customHeight="1" x14ac:dyDescent="0.35">
      <c r="A49" s="208" t="s">
        <v>161</v>
      </c>
      <c r="B49" s="44">
        <v>46</v>
      </c>
      <c r="C49" s="205" t="s">
        <v>33</v>
      </c>
      <c r="D49" s="46" t="s">
        <v>27</v>
      </c>
      <c r="E49" s="48" t="s">
        <v>8</v>
      </c>
      <c r="F49" s="50" t="s">
        <v>28</v>
      </c>
      <c r="G49" s="44" t="s">
        <v>29</v>
      </c>
      <c r="H49" s="44" t="s">
        <v>8</v>
      </c>
      <c r="I49" s="44" t="s">
        <v>9</v>
      </c>
      <c r="J49" s="47">
        <v>80</v>
      </c>
      <c r="K49" s="14">
        <f>'REITORIA_SEMS(+BU)'!K49+REITORIA_MUSEU!K49+CAV!K49+CCT!K49+CEAD!K49+CEART!K49+CEAVI!K49+CEFID!K49+CEO!K49+CEPLAN!K49+CERES!K49+CESFI!K49+CESMO!K49+ESAG!K49+FAED!K49</f>
        <v>2</v>
      </c>
      <c r="L49" s="13">
        <f>'REITORIA_SEMS(+BU)'!K49-'REITORIA_SEMS(+BU)'!S49+REITORIA_MUSEU!K49-REITORIA_MUSEU!S49+CAV!K49-CAV!S49+CCT!K49-CCT!S49+CEAD!K49-CEAD!S49+CEART!K49-CEART!S49+CEAVI!K49-CEAVI!S49+CEFID!K49-CEFID!S49+CEO!K49-CEO!S49+CEPLAN!K49-CEPLAN!S49+CERES!K49-CERES!S49+CESFI!K49-CESFI!S49+CESMO!K49-CESMO!S49+ESAG!K49-ESAG!S49+FAED!K49-FAED!S49</f>
        <v>0</v>
      </c>
      <c r="M49" s="136">
        <f>'REITORIA_SEMS(+BU)'!L49+REITORIA_MUSEU!L49+CAV!L49+CCT!L49+CEAD!L49+CEART!L49+CEAVI!L49+CEFID!L49+CEO!L49+CEPLAN!L49+CERES!L49+CESFI!L49+CESMO!L49+ESAG!L49+FAED!L49</f>
        <v>0</v>
      </c>
      <c r="N49" s="133">
        <f t="shared" si="0"/>
        <v>0</v>
      </c>
      <c r="O49" s="134">
        <f>'REITORIA_SEMS(+BU)'!P49+'REITORIA_SEMS(+BU)'!Q49+REITORIA_MUSEU!P49+REITORIA_MUSEU!Q49+CAV!P49+CAV!Q49+CCT!P49+CCT!Q49+CEAD!P49+CEAD!Q49+CEART!P49+CEART!Q49+CEAVI!P49+CEAVI!Q49+CEFID!P49+CEFID!Q49+CEO!P49+CEO!Q49+CEPLAN!P49+CEPLAN!Q49+CERES!P49+CERES!Q49+CESFI!P49+CESFI!Q49+CESMO!P49+CESMO!Q49+ESAG!P49+ESAG!Q49+FAED!P49+FAED!Q49</f>
        <v>0</v>
      </c>
      <c r="P49" s="15">
        <f t="shared" si="1"/>
        <v>2</v>
      </c>
      <c r="Q49" s="16">
        <f t="shared" si="5"/>
        <v>160</v>
      </c>
      <c r="R49" s="16">
        <f t="shared" si="3"/>
        <v>0</v>
      </c>
      <c r="S49" s="16">
        <f t="shared" si="6"/>
        <v>0</v>
      </c>
    </row>
    <row r="50" spans="1:19" ht="35.15" customHeight="1" x14ac:dyDescent="0.35">
      <c r="A50" s="209"/>
      <c r="B50" s="44">
        <v>47</v>
      </c>
      <c r="C50" s="206"/>
      <c r="D50" s="46" t="s">
        <v>7</v>
      </c>
      <c r="E50" s="48" t="s">
        <v>8</v>
      </c>
      <c r="F50" s="50" t="s">
        <v>28</v>
      </c>
      <c r="G50" s="44" t="s">
        <v>29</v>
      </c>
      <c r="H50" s="44" t="s">
        <v>8</v>
      </c>
      <c r="I50" s="44" t="s">
        <v>9</v>
      </c>
      <c r="J50" s="47">
        <v>550</v>
      </c>
      <c r="K50" s="14">
        <f>'REITORIA_SEMS(+BU)'!K50+REITORIA_MUSEU!K50+CAV!K50+CCT!K50+CEAD!K50+CEART!K50+CEAVI!K50+CEFID!K50+CEO!K50+CEPLAN!K50+CERES!K50+CESFI!K50+CESMO!K50+ESAG!K50+FAED!K50</f>
        <v>65</v>
      </c>
      <c r="L50" s="13">
        <f>'REITORIA_SEMS(+BU)'!K50-'REITORIA_SEMS(+BU)'!S50+REITORIA_MUSEU!K50-REITORIA_MUSEU!S50+CAV!K50-CAV!S50+CCT!K50-CCT!S50+CEAD!K50-CEAD!S50+CEART!K50-CEART!S50+CEAVI!K50-CEAVI!S50+CEFID!K50-CEFID!S50+CEO!K50-CEO!S50+CEPLAN!K50-CEPLAN!S50+CERES!K50-CERES!S50+CESFI!K50-CESFI!S50+CESMO!K50-CESMO!S50+ESAG!K50-ESAG!S50+FAED!K50-FAED!S50</f>
        <v>49</v>
      </c>
      <c r="M50" s="136">
        <f>'REITORIA_SEMS(+BU)'!L50+REITORIA_MUSEU!L50+CAV!L50+CCT!L50+CEAD!L50+CEART!L50+CEAVI!L50+CEFID!L50+CEO!L50+CEPLAN!L50+CERES!L50+CESFI!L50+CESMO!L50+ESAG!L50+FAED!L50</f>
        <v>49</v>
      </c>
      <c r="N50" s="133">
        <f t="shared" si="0"/>
        <v>15.75</v>
      </c>
      <c r="O50" s="134">
        <f>'REITORIA_SEMS(+BU)'!P50+'REITORIA_SEMS(+BU)'!Q50+REITORIA_MUSEU!P50+REITORIA_MUSEU!Q50+CAV!P50+CAV!Q50+CCT!P50+CCT!Q50+CEAD!P50+CEAD!Q50+CEART!P50+CEART!Q50+CEAVI!P50+CEAVI!Q50+CEFID!P50+CEFID!Q50+CEO!P50+CEO!Q50+CEPLAN!P50+CEPLAN!Q50+CERES!P50+CERES!Q50+CESFI!P50+CESFI!Q50+CESMO!P50+CESMO!Q50+ESAG!P50+ESAG!Q50+FAED!P50+FAED!Q50</f>
        <v>0</v>
      </c>
      <c r="P50" s="15">
        <f t="shared" si="1"/>
        <v>16</v>
      </c>
      <c r="Q50" s="16">
        <f t="shared" si="5"/>
        <v>35750</v>
      </c>
      <c r="R50" s="16">
        <f t="shared" si="3"/>
        <v>0</v>
      </c>
      <c r="S50" s="16">
        <f t="shared" si="6"/>
        <v>26950</v>
      </c>
    </row>
    <row r="51" spans="1:19" ht="35.15" customHeight="1" x14ac:dyDescent="0.35">
      <c r="A51" s="209"/>
      <c r="B51" s="44">
        <v>48</v>
      </c>
      <c r="C51" s="206"/>
      <c r="D51" s="46" t="s">
        <v>10</v>
      </c>
      <c r="E51" s="48" t="s">
        <v>8</v>
      </c>
      <c r="F51" s="50" t="s">
        <v>28</v>
      </c>
      <c r="G51" s="44" t="s">
        <v>29</v>
      </c>
      <c r="H51" s="44" t="s">
        <v>8</v>
      </c>
      <c r="I51" s="44" t="s">
        <v>9</v>
      </c>
      <c r="J51" s="47">
        <v>850</v>
      </c>
      <c r="K51" s="14">
        <f>'REITORIA_SEMS(+BU)'!K51+REITORIA_MUSEU!K51+CAV!K51+CCT!K51+CEAD!K51+CEART!K51+CEAVI!K51+CEFID!K51+CEO!K51+CEPLAN!K51+CERES!K51+CESFI!K51+CESMO!K51+ESAG!K51+FAED!K51</f>
        <v>30</v>
      </c>
      <c r="L51" s="13">
        <f>'REITORIA_SEMS(+BU)'!K51-'REITORIA_SEMS(+BU)'!S51+REITORIA_MUSEU!K51-REITORIA_MUSEU!S51+CAV!K51-CAV!S51+CCT!K51-CCT!S51+CEAD!K51-CEAD!S51+CEART!K51-CEART!S51+CEAVI!K51-CEAVI!S51+CEFID!K51-CEFID!S51+CEO!K51-CEO!S51+CEPLAN!K51-CEPLAN!S51+CERES!K51-CERES!S51+CESFI!K51-CESFI!S51+CESMO!K51-CESMO!S51+ESAG!K51-ESAG!S51+FAED!K51-FAED!S51</f>
        <v>2</v>
      </c>
      <c r="M51" s="136">
        <f>'REITORIA_SEMS(+BU)'!L51+REITORIA_MUSEU!L51+CAV!L51+CCT!L51+CEAD!L51+CEART!L51+CEAVI!L51+CEFID!L51+CEO!L51+CEPLAN!L51+CERES!L51+CESFI!L51+CESMO!L51+ESAG!L51+FAED!L51</f>
        <v>2</v>
      </c>
      <c r="N51" s="133">
        <f t="shared" si="0"/>
        <v>7</v>
      </c>
      <c r="O51" s="134">
        <f>'REITORIA_SEMS(+BU)'!P51+'REITORIA_SEMS(+BU)'!Q51+REITORIA_MUSEU!P51+REITORIA_MUSEU!Q51+CAV!P51+CAV!Q51+CCT!P51+CCT!Q51+CEAD!P51+CEAD!Q51+CEART!P51+CEART!Q51+CEAVI!P51+CEAVI!Q51+CEFID!P51+CEFID!Q51+CEO!P51+CEO!Q51+CEPLAN!P51+CEPLAN!Q51+CERES!P51+CERES!Q51+CESFI!P51+CESFI!Q51+CESMO!P51+CESMO!Q51+ESAG!P51+ESAG!Q51+FAED!P51+FAED!Q51</f>
        <v>0</v>
      </c>
      <c r="P51" s="15">
        <f t="shared" si="1"/>
        <v>28</v>
      </c>
      <c r="Q51" s="16">
        <f t="shared" si="5"/>
        <v>25500</v>
      </c>
      <c r="R51" s="16">
        <f t="shared" si="3"/>
        <v>0</v>
      </c>
      <c r="S51" s="16">
        <f t="shared" si="6"/>
        <v>1700</v>
      </c>
    </row>
    <row r="52" spans="1:19" ht="35.15" customHeight="1" x14ac:dyDescent="0.35">
      <c r="A52" s="209"/>
      <c r="B52" s="44">
        <v>49</v>
      </c>
      <c r="C52" s="206"/>
      <c r="D52" s="46" t="s">
        <v>11</v>
      </c>
      <c r="E52" s="48" t="s">
        <v>8</v>
      </c>
      <c r="F52" s="50" t="s">
        <v>28</v>
      </c>
      <c r="G52" s="44" t="s">
        <v>29</v>
      </c>
      <c r="H52" s="44" t="s">
        <v>8</v>
      </c>
      <c r="I52" s="44" t="s">
        <v>9</v>
      </c>
      <c r="J52" s="47">
        <v>800</v>
      </c>
      <c r="K52" s="14">
        <f>'REITORIA_SEMS(+BU)'!K52+REITORIA_MUSEU!K52+CAV!K52+CCT!K52+CEAD!K52+CEART!K52+CEAVI!K52+CEFID!K52+CEO!K52+CEPLAN!K52+CERES!K52+CESFI!K52+CESMO!K52+ESAG!K52+FAED!K52</f>
        <v>15</v>
      </c>
      <c r="L52" s="13">
        <f>'REITORIA_SEMS(+BU)'!K52-'REITORIA_SEMS(+BU)'!S52+REITORIA_MUSEU!K52-REITORIA_MUSEU!S52+CAV!K52-CAV!S52+CCT!K52-CCT!S52+CEAD!K52-CEAD!S52+CEART!K52-CEART!S52+CEAVI!K52-CEAVI!S52+CEFID!K52-CEFID!S52+CEO!K52-CEO!S52+CEPLAN!K52-CEPLAN!S52+CERES!K52-CERES!S52+CESFI!K52-CESFI!S52+CESMO!K52-CESMO!S52+ESAG!K52-ESAG!S52+FAED!K52-FAED!S52</f>
        <v>5</v>
      </c>
      <c r="M52" s="136">
        <f>'REITORIA_SEMS(+BU)'!L52+REITORIA_MUSEU!L52+CAV!L52+CCT!L52+CEAD!L52+CEART!L52+CEAVI!L52+CEFID!L52+CEO!L52+CEPLAN!L52+CERES!L52+CESFI!L52+CESMO!L52+ESAG!L52+FAED!L52</f>
        <v>5</v>
      </c>
      <c r="N52" s="133">
        <f t="shared" si="0"/>
        <v>3.25</v>
      </c>
      <c r="O52" s="134">
        <f>'REITORIA_SEMS(+BU)'!P52+'REITORIA_SEMS(+BU)'!Q52+REITORIA_MUSEU!P52+REITORIA_MUSEU!Q52+CAV!P52+CAV!Q52+CCT!P52+CCT!Q52+CEAD!P52+CEAD!Q52+CEART!P52+CEART!Q52+CEAVI!P52+CEAVI!Q52+CEFID!P52+CEFID!Q52+CEO!P52+CEO!Q52+CEPLAN!P52+CEPLAN!Q52+CERES!P52+CERES!Q52+CESFI!P52+CESFI!Q52+CESMO!P52+CESMO!Q52+ESAG!P52+ESAG!Q52+FAED!P52+FAED!Q52</f>
        <v>0</v>
      </c>
      <c r="P52" s="15">
        <f t="shared" si="1"/>
        <v>10</v>
      </c>
      <c r="Q52" s="16">
        <f t="shared" si="5"/>
        <v>12000</v>
      </c>
      <c r="R52" s="16">
        <f t="shared" si="3"/>
        <v>0</v>
      </c>
      <c r="S52" s="16">
        <f t="shared" si="6"/>
        <v>4000</v>
      </c>
    </row>
    <row r="53" spans="1:19" ht="35.15" customHeight="1" x14ac:dyDescent="0.35">
      <c r="A53" s="209"/>
      <c r="B53" s="44">
        <v>50</v>
      </c>
      <c r="C53" s="206"/>
      <c r="D53" s="46" t="s">
        <v>12</v>
      </c>
      <c r="E53" s="48" t="s">
        <v>8</v>
      </c>
      <c r="F53" s="50" t="s">
        <v>28</v>
      </c>
      <c r="G53" s="44" t="s">
        <v>29</v>
      </c>
      <c r="H53" s="44" t="s">
        <v>34</v>
      </c>
      <c r="I53" s="44" t="s">
        <v>9</v>
      </c>
      <c r="J53" s="47">
        <v>50</v>
      </c>
      <c r="K53" s="14">
        <f>'REITORIA_SEMS(+BU)'!K53+REITORIA_MUSEU!K53+CAV!K53+CCT!K53+CEAD!K53+CEART!K53+CEAVI!K53+CEFID!K53+CEO!K53+CEPLAN!K53+CERES!K53+CESFI!K53+CESMO!K53+ESAG!K53+FAED!K53</f>
        <v>30</v>
      </c>
      <c r="L53" s="13">
        <f>'REITORIA_SEMS(+BU)'!K53-'REITORIA_SEMS(+BU)'!S53+REITORIA_MUSEU!K53-REITORIA_MUSEU!S53+CAV!K53-CAV!S53+CCT!K53-CCT!S53+CEAD!K53-CEAD!S53+CEART!K53-CEART!S53+CEAVI!K53-CEAVI!S53+CEFID!K53-CEFID!S53+CEO!K53-CEO!S53+CEPLAN!K53-CEPLAN!S53+CERES!K53-CERES!S53+CESFI!K53-CESFI!S53+CESMO!K53-CESMO!S53+ESAG!K53-ESAG!S53+FAED!K53-FAED!S53</f>
        <v>13</v>
      </c>
      <c r="M53" s="136">
        <f>'REITORIA_SEMS(+BU)'!L53+REITORIA_MUSEU!L53+CAV!L53+CCT!L53+CEAD!L53+CEART!L53+CEAVI!L53+CEFID!L53+CEO!L53+CEPLAN!L53+CERES!L53+CESFI!L53+CESMO!L53+ESAG!L53+FAED!L53</f>
        <v>13</v>
      </c>
      <c r="N53" s="133">
        <f t="shared" si="0"/>
        <v>7</v>
      </c>
      <c r="O53" s="134">
        <f>'REITORIA_SEMS(+BU)'!P53+'REITORIA_SEMS(+BU)'!Q53+REITORIA_MUSEU!P53+REITORIA_MUSEU!Q53+CAV!P53+CAV!Q53+CCT!P53+CCT!Q53+CEAD!P53+CEAD!Q53+CEART!P53+CEART!Q53+CEAVI!P53+CEAVI!Q53+CEFID!P53+CEFID!Q53+CEO!P53+CEO!Q53+CEPLAN!P53+CEPLAN!Q53+CERES!P53+CERES!Q53+CESFI!P53+CESFI!Q53+CESMO!P53+CESMO!Q53+ESAG!P53+ESAG!Q53+FAED!P53+FAED!Q53</f>
        <v>0</v>
      </c>
      <c r="P53" s="15">
        <f t="shared" si="1"/>
        <v>17</v>
      </c>
      <c r="Q53" s="16">
        <f t="shared" si="5"/>
        <v>1500</v>
      </c>
      <c r="R53" s="16">
        <f t="shared" si="3"/>
        <v>0</v>
      </c>
      <c r="S53" s="16">
        <f t="shared" si="6"/>
        <v>650</v>
      </c>
    </row>
    <row r="54" spans="1:19" ht="35.15" customHeight="1" x14ac:dyDescent="0.35">
      <c r="A54" s="209"/>
      <c r="B54" s="44">
        <v>51</v>
      </c>
      <c r="C54" s="206"/>
      <c r="D54" s="46" t="s">
        <v>156</v>
      </c>
      <c r="E54" s="48" t="s">
        <v>8</v>
      </c>
      <c r="F54" s="50" t="s">
        <v>28</v>
      </c>
      <c r="G54" s="44" t="s">
        <v>29</v>
      </c>
      <c r="H54" s="44" t="s">
        <v>34</v>
      </c>
      <c r="I54" s="44" t="s">
        <v>9</v>
      </c>
      <c r="J54" s="47">
        <v>50</v>
      </c>
      <c r="K54" s="14">
        <f>'REITORIA_SEMS(+BU)'!K54+REITORIA_MUSEU!K54+CAV!K54+CCT!K54+CEAD!K54+CEART!K54+CEAVI!K54+CEFID!K54+CEO!K54+CEPLAN!K54+CERES!K54+CESFI!K54+CESMO!K54+ESAG!K54+FAED!K54</f>
        <v>30</v>
      </c>
      <c r="L54" s="13">
        <f>'REITORIA_SEMS(+BU)'!K54-'REITORIA_SEMS(+BU)'!S54+REITORIA_MUSEU!K54-REITORIA_MUSEU!S54+CAV!K54-CAV!S54+CCT!K54-CCT!S54+CEAD!K54-CEAD!S54+CEART!K54-CEART!S54+CEAVI!K54-CEAVI!S54+CEFID!K54-CEFID!S54+CEO!K54-CEO!S54+CEPLAN!K54-CEPLAN!S54+CERES!K54-CERES!S54+CESFI!K54-CESFI!S54+CESMO!K54-CESMO!S54+ESAG!K54-ESAG!S54+FAED!K54-FAED!S54</f>
        <v>0</v>
      </c>
      <c r="M54" s="136">
        <f>'REITORIA_SEMS(+BU)'!L54+REITORIA_MUSEU!L54+CAV!L54+CCT!L54+CEAD!L54+CEART!L54+CEAVI!L54+CEFID!L54+CEO!L54+CEPLAN!L54+CERES!L54+CESFI!L54+CESMO!L54+ESAG!L54+FAED!L54</f>
        <v>0</v>
      </c>
      <c r="N54" s="133">
        <f t="shared" si="0"/>
        <v>7</v>
      </c>
      <c r="O54" s="134">
        <f>'REITORIA_SEMS(+BU)'!P54+'REITORIA_SEMS(+BU)'!Q54+REITORIA_MUSEU!P54+REITORIA_MUSEU!Q54+CAV!P54+CAV!Q54+CCT!P54+CCT!Q54+CEAD!P54+CEAD!Q54+CEART!P54+CEART!Q54+CEAVI!P54+CEAVI!Q54+CEFID!P54+CEFID!Q54+CEO!P54+CEO!Q54+CEPLAN!P54+CEPLAN!Q54+CERES!P54+CERES!Q54+CESFI!P54+CESFI!Q54+CESMO!P54+CESMO!Q54+ESAG!P54+ESAG!Q54+FAED!P54+FAED!Q54</f>
        <v>0</v>
      </c>
      <c r="P54" s="15">
        <f t="shared" si="1"/>
        <v>30</v>
      </c>
      <c r="Q54" s="16">
        <f t="shared" si="5"/>
        <v>1500</v>
      </c>
      <c r="R54" s="16">
        <f t="shared" si="3"/>
        <v>0</v>
      </c>
      <c r="S54" s="16">
        <f t="shared" si="6"/>
        <v>0</v>
      </c>
    </row>
    <row r="55" spans="1:19" ht="35.15" customHeight="1" x14ac:dyDescent="0.35">
      <c r="A55" s="209"/>
      <c r="B55" s="44">
        <v>52</v>
      </c>
      <c r="C55" s="206"/>
      <c r="D55" s="46" t="s">
        <v>13</v>
      </c>
      <c r="E55" s="48" t="s">
        <v>8</v>
      </c>
      <c r="F55" s="50" t="s">
        <v>28</v>
      </c>
      <c r="G55" s="44" t="s">
        <v>29</v>
      </c>
      <c r="H55" s="44" t="s">
        <v>34</v>
      </c>
      <c r="I55" s="44" t="s">
        <v>9</v>
      </c>
      <c r="J55" s="47">
        <v>50</v>
      </c>
      <c r="K55" s="14">
        <f>'REITORIA_SEMS(+BU)'!K55+REITORIA_MUSEU!K55+CAV!K55+CCT!K55+CEAD!K55+CEART!K55+CEAVI!K55+CEFID!K55+CEO!K55+CEPLAN!K55+CERES!K55+CESFI!K55+CESMO!K55+ESAG!K55+FAED!K55</f>
        <v>30</v>
      </c>
      <c r="L55" s="13">
        <f>'REITORIA_SEMS(+BU)'!K55-'REITORIA_SEMS(+BU)'!S55+REITORIA_MUSEU!K55-REITORIA_MUSEU!S55+CAV!K55-CAV!S55+CCT!K55-CCT!S55+CEAD!K55-CEAD!S55+CEART!K55-CEART!S55+CEAVI!K55-CEAVI!S55+CEFID!K55-CEFID!S55+CEO!K55-CEO!S55+CEPLAN!K55-CEPLAN!S55+CERES!K55-CERES!S55+CESFI!K55-CESFI!S55+CESMO!K55-CESMO!S55+ESAG!K55-ESAG!S55+FAED!K55-FAED!S55</f>
        <v>0</v>
      </c>
      <c r="M55" s="136">
        <f>'REITORIA_SEMS(+BU)'!L55+REITORIA_MUSEU!L55+CAV!L55+CCT!L55+CEAD!L55+CEART!L55+CEAVI!L55+CEFID!L55+CEO!L55+CEPLAN!L55+CERES!L55+CESFI!L55+CESMO!L55+ESAG!L55+FAED!L55</f>
        <v>0</v>
      </c>
      <c r="N55" s="133">
        <f t="shared" si="0"/>
        <v>7</v>
      </c>
      <c r="O55" s="134">
        <f>'REITORIA_SEMS(+BU)'!P55+'REITORIA_SEMS(+BU)'!Q55+REITORIA_MUSEU!P55+REITORIA_MUSEU!Q55+CAV!P55+CAV!Q55+CCT!P55+CCT!Q55+CEAD!P55+CEAD!Q55+CEART!P55+CEART!Q55+CEAVI!P55+CEAVI!Q55+CEFID!P55+CEFID!Q55+CEO!P55+CEO!Q55+CEPLAN!P55+CEPLAN!Q55+CERES!P55+CERES!Q55+CESFI!P55+CESFI!Q55+CESMO!P55+CESMO!Q55+ESAG!P55+ESAG!Q55+FAED!P55+FAED!Q55</f>
        <v>0</v>
      </c>
      <c r="P55" s="15">
        <f t="shared" si="1"/>
        <v>30</v>
      </c>
      <c r="Q55" s="16">
        <f t="shared" si="5"/>
        <v>1500</v>
      </c>
      <c r="R55" s="16">
        <f t="shared" si="3"/>
        <v>0</v>
      </c>
      <c r="S55" s="16">
        <f t="shared" si="6"/>
        <v>0</v>
      </c>
    </row>
    <row r="56" spans="1:19" ht="35.15" customHeight="1" x14ac:dyDescent="0.35">
      <c r="A56" s="209"/>
      <c r="B56" s="44">
        <v>53</v>
      </c>
      <c r="C56" s="206"/>
      <c r="D56" s="46" t="s">
        <v>157</v>
      </c>
      <c r="E56" s="48" t="s">
        <v>8</v>
      </c>
      <c r="F56" s="50" t="s">
        <v>28</v>
      </c>
      <c r="G56" s="44" t="s">
        <v>29</v>
      </c>
      <c r="H56" s="44" t="s">
        <v>8</v>
      </c>
      <c r="I56" s="44" t="s">
        <v>9</v>
      </c>
      <c r="J56" s="47">
        <v>50</v>
      </c>
      <c r="K56" s="14">
        <f>'REITORIA_SEMS(+BU)'!K56+REITORIA_MUSEU!K56+CAV!K56+CCT!K56+CEAD!K56+CEART!K56+CEAVI!K56+CEFID!K56+CEO!K56+CEPLAN!K56+CERES!K56+CESFI!K56+CESMO!K56+ESAG!K56+FAED!K56</f>
        <v>35</v>
      </c>
      <c r="L56" s="13">
        <f>'REITORIA_SEMS(+BU)'!K56-'REITORIA_SEMS(+BU)'!S56+REITORIA_MUSEU!K56-REITORIA_MUSEU!S56+CAV!K56-CAV!S56+CCT!K56-CCT!S56+CEAD!K56-CEAD!S56+CEART!K56-CEART!S56+CEAVI!K56-CEAVI!S56+CEFID!K56-CEFID!S56+CEO!K56-CEO!S56+CEPLAN!K56-CEPLAN!S56+CERES!K56-CERES!S56+CESFI!K56-CESFI!S56+CESMO!K56-CESMO!S56+ESAG!K56-ESAG!S56+FAED!K56-FAED!S56</f>
        <v>10</v>
      </c>
      <c r="M56" s="136">
        <f>'REITORIA_SEMS(+BU)'!L56+REITORIA_MUSEU!L56+CAV!L56+CCT!L56+CEAD!L56+CEART!L56+CEAVI!L56+CEFID!L56+CEO!L56+CEPLAN!L56+CERES!L56+CESFI!L56+CESMO!L56+ESAG!L56+FAED!L56</f>
        <v>10</v>
      </c>
      <c r="N56" s="133">
        <f t="shared" si="0"/>
        <v>8.25</v>
      </c>
      <c r="O56" s="134">
        <f>'REITORIA_SEMS(+BU)'!P56+'REITORIA_SEMS(+BU)'!Q56+REITORIA_MUSEU!P56+REITORIA_MUSEU!Q56+CAV!P56+CAV!Q56+CCT!P56+CCT!Q56+CEAD!P56+CEAD!Q56+CEART!P56+CEART!Q56+CEAVI!P56+CEAVI!Q56+CEFID!P56+CEFID!Q56+CEO!P56+CEO!Q56+CEPLAN!P56+CEPLAN!Q56+CERES!P56+CERES!Q56+CESFI!P56+CESFI!Q56+CESMO!P56+CESMO!Q56+ESAG!P56+ESAG!Q56+FAED!P56+FAED!Q56</f>
        <v>0</v>
      </c>
      <c r="P56" s="15">
        <f t="shared" si="1"/>
        <v>25</v>
      </c>
      <c r="Q56" s="16">
        <f t="shared" si="5"/>
        <v>1750</v>
      </c>
      <c r="R56" s="16">
        <f t="shared" si="3"/>
        <v>0</v>
      </c>
      <c r="S56" s="16">
        <f t="shared" si="6"/>
        <v>500</v>
      </c>
    </row>
    <row r="57" spans="1:19" ht="35.15" customHeight="1" x14ac:dyDescent="0.35">
      <c r="A57" s="209"/>
      <c r="B57" s="44">
        <v>54</v>
      </c>
      <c r="C57" s="206"/>
      <c r="D57" s="46" t="s">
        <v>30</v>
      </c>
      <c r="E57" s="48" t="s">
        <v>8</v>
      </c>
      <c r="F57" s="50" t="s">
        <v>28</v>
      </c>
      <c r="G57" s="44" t="s">
        <v>29</v>
      </c>
      <c r="H57" s="44" t="s">
        <v>8</v>
      </c>
      <c r="I57" s="44" t="s">
        <v>9</v>
      </c>
      <c r="J57" s="47">
        <v>80</v>
      </c>
      <c r="K57" s="14">
        <f>'REITORIA_SEMS(+BU)'!K57+REITORIA_MUSEU!K57+CAV!K57+CCT!K57+CEAD!K57+CEART!K57+CEAVI!K57+CEFID!K57+CEO!K57+CEPLAN!K57+CERES!K57+CESFI!K57+CESMO!K57+ESAG!K57+FAED!K57</f>
        <v>5</v>
      </c>
      <c r="L57" s="13">
        <f>'REITORIA_SEMS(+BU)'!K57-'REITORIA_SEMS(+BU)'!S57+REITORIA_MUSEU!K57-REITORIA_MUSEU!S57+CAV!K57-CAV!S57+CCT!K57-CCT!S57+CEAD!K57-CEAD!S57+CEART!K57-CEART!S57+CEAVI!K57-CEAVI!S57+CEFID!K57-CEFID!S57+CEO!K57-CEO!S57+CEPLAN!K57-CEPLAN!S57+CERES!K57-CERES!S57+CESFI!K57-CESFI!S57+CESMO!K57-CESMO!S57+ESAG!K57-ESAG!S57+FAED!K57-FAED!S57</f>
        <v>0</v>
      </c>
      <c r="M57" s="136">
        <f>'REITORIA_SEMS(+BU)'!L57+REITORIA_MUSEU!L57+CAV!L57+CCT!L57+CEAD!L57+CEART!L57+CEAVI!L57+CEFID!L57+CEO!L57+CEPLAN!L57+CERES!L57+CESFI!L57+CESMO!L57+ESAG!L57+FAED!L57</f>
        <v>0</v>
      </c>
      <c r="N57" s="133">
        <f t="shared" si="0"/>
        <v>0.75</v>
      </c>
      <c r="O57" s="134">
        <f>'REITORIA_SEMS(+BU)'!P57+'REITORIA_SEMS(+BU)'!Q57+REITORIA_MUSEU!P57+REITORIA_MUSEU!Q57+CAV!P57+CAV!Q57+CCT!P57+CCT!Q57+CEAD!P57+CEAD!Q57+CEART!P57+CEART!Q57+CEAVI!P57+CEAVI!Q57+CEFID!P57+CEFID!Q57+CEO!P57+CEO!Q57+CEPLAN!P57+CEPLAN!Q57+CERES!P57+CERES!Q57+CESFI!P57+CESFI!Q57+CESMO!P57+CESMO!Q57+ESAG!P57+ESAG!Q57+FAED!P57+FAED!Q57</f>
        <v>0</v>
      </c>
      <c r="P57" s="15">
        <f t="shared" si="1"/>
        <v>5</v>
      </c>
      <c r="Q57" s="16">
        <f t="shared" si="5"/>
        <v>400</v>
      </c>
      <c r="R57" s="16">
        <f t="shared" si="3"/>
        <v>0</v>
      </c>
      <c r="S57" s="16">
        <f t="shared" si="6"/>
        <v>0</v>
      </c>
    </row>
    <row r="58" spans="1:19" ht="35.15" customHeight="1" x14ac:dyDescent="0.35">
      <c r="A58" s="209"/>
      <c r="B58" s="44">
        <v>55</v>
      </c>
      <c r="C58" s="206"/>
      <c r="D58" s="46" t="s">
        <v>162</v>
      </c>
      <c r="E58" s="48" t="s">
        <v>8</v>
      </c>
      <c r="F58" s="50" t="s">
        <v>28</v>
      </c>
      <c r="G58" s="44" t="s">
        <v>159</v>
      </c>
      <c r="H58" s="44" t="s">
        <v>8</v>
      </c>
      <c r="I58" s="44" t="s">
        <v>9</v>
      </c>
      <c r="J58" s="47">
        <v>1114</v>
      </c>
      <c r="K58" s="14">
        <f>'REITORIA_SEMS(+BU)'!K58+REITORIA_MUSEU!K58+CAV!K58+CCT!K58+CEAD!K58+CEART!K58+CEAVI!K58+CEFID!K58+CEO!K58+CEPLAN!K58+CERES!K58+CESFI!K58+CESMO!K58+ESAG!K58+FAED!K58</f>
        <v>10</v>
      </c>
      <c r="L58" s="13">
        <f>'REITORIA_SEMS(+BU)'!K58-'REITORIA_SEMS(+BU)'!S58+REITORIA_MUSEU!K58-REITORIA_MUSEU!S58+CAV!K58-CAV!S58+CCT!K58-CCT!S58+CEAD!K58-CEAD!S58+CEART!K58-CEART!S58+CEAVI!K58-CEAVI!S58+CEFID!K58-CEFID!S58+CEO!K58-CEO!S58+CEPLAN!K58-CEPLAN!S58+CERES!K58-CERES!S58+CESFI!K58-CESFI!S58+CESMO!K58-CESMO!S58+ESAG!K58-ESAG!S58+FAED!K58-FAED!S58</f>
        <v>1</v>
      </c>
      <c r="M58" s="136">
        <f>'REITORIA_SEMS(+BU)'!L58+REITORIA_MUSEU!L58+CAV!L58+CCT!L58+CEAD!L58+CEART!L58+CEAVI!L58+CEFID!L58+CEO!L58+CEPLAN!L58+CERES!L58+CESFI!L58+CESMO!L58+ESAG!L58+FAED!L58</f>
        <v>1</v>
      </c>
      <c r="N58" s="133">
        <f t="shared" si="0"/>
        <v>2</v>
      </c>
      <c r="O58" s="134">
        <f>'REITORIA_SEMS(+BU)'!P58+'REITORIA_SEMS(+BU)'!Q58+REITORIA_MUSEU!P58+REITORIA_MUSEU!Q58+CAV!P58+CAV!Q58+CCT!P58+CCT!Q58+CEAD!P58+CEAD!Q58+CEART!P58+CEART!Q58+CEAVI!P58+CEAVI!Q58+CEFID!P58+CEFID!Q58+CEO!P58+CEO!Q58+CEPLAN!P58+CEPLAN!Q58+CERES!P58+CERES!Q58+CESFI!P58+CESFI!Q58+CESMO!P58+CESMO!Q58+ESAG!P58+ESAG!Q58+FAED!P58+FAED!Q58</f>
        <v>0</v>
      </c>
      <c r="P58" s="15">
        <f t="shared" si="1"/>
        <v>9</v>
      </c>
      <c r="Q58" s="16">
        <f t="shared" si="5"/>
        <v>11140</v>
      </c>
      <c r="R58" s="16">
        <f t="shared" si="3"/>
        <v>0</v>
      </c>
      <c r="S58" s="16">
        <f t="shared" si="6"/>
        <v>1114</v>
      </c>
    </row>
    <row r="59" spans="1:19" ht="35.15" customHeight="1" x14ac:dyDescent="0.35">
      <c r="A59" s="210"/>
      <c r="B59" s="44">
        <v>56</v>
      </c>
      <c r="C59" s="207"/>
      <c r="D59" s="46" t="s">
        <v>160</v>
      </c>
      <c r="E59" s="48" t="s">
        <v>8</v>
      </c>
      <c r="F59" s="50" t="s">
        <v>28</v>
      </c>
      <c r="G59" s="44" t="s">
        <v>29</v>
      </c>
      <c r="H59" s="44" t="s">
        <v>8</v>
      </c>
      <c r="I59" s="44" t="s">
        <v>9</v>
      </c>
      <c r="J59" s="47">
        <v>2000</v>
      </c>
      <c r="K59" s="14">
        <f>'REITORIA_SEMS(+BU)'!K59+REITORIA_MUSEU!K59+CAV!K59+CCT!K59+CEAD!K59+CEART!K59+CEAVI!K59+CEFID!K59+CEO!K59+CEPLAN!K59+CERES!K59+CESFI!K59+CESMO!K59+ESAG!K59+FAED!K59</f>
        <v>10</v>
      </c>
      <c r="L59" s="13">
        <f>'REITORIA_SEMS(+BU)'!K59-'REITORIA_SEMS(+BU)'!S59+REITORIA_MUSEU!K59-REITORIA_MUSEU!S59+CAV!K59-CAV!S59+CCT!K59-CCT!S59+CEAD!K59-CEAD!S59+CEART!K59-CEART!S59+CEAVI!K59-CEAVI!S59+CEFID!K59-CEFID!S59+CEO!K59-CEO!S59+CEPLAN!K59-CEPLAN!S59+CERES!K59-CERES!S59+CESFI!K59-CESFI!S59+CESMO!K59-CESMO!S59+ESAG!K59-ESAG!S59+FAED!K59-FAED!S59</f>
        <v>0</v>
      </c>
      <c r="M59" s="136">
        <f>'REITORIA_SEMS(+BU)'!L59+REITORIA_MUSEU!L59+CAV!L59+CCT!L59+CEAD!L59+CEART!L59+CEAVI!L59+CEFID!L59+CEO!L59+CEPLAN!L59+CERES!L59+CESFI!L59+CESMO!L59+ESAG!L59+FAED!L59</f>
        <v>0</v>
      </c>
      <c r="N59" s="133">
        <f t="shared" si="0"/>
        <v>2</v>
      </c>
      <c r="O59" s="134">
        <f>'REITORIA_SEMS(+BU)'!P59+'REITORIA_SEMS(+BU)'!Q59+REITORIA_MUSEU!P59+REITORIA_MUSEU!Q59+CAV!P59+CAV!Q59+CCT!P59+CCT!Q59+CEAD!P59+CEAD!Q59+CEART!P59+CEART!Q59+CEAVI!P59+CEAVI!Q59+CEFID!P59+CEFID!Q59+CEO!P59+CEO!Q59+CEPLAN!P59+CEPLAN!Q59+CERES!P59+CERES!Q59+CESFI!P59+CESFI!Q59+CESMO!P59+CESMO!Q59+ESAG!P59+ESAG!Q59+FAED!P59+FAED!Q59</f>
        <v>0</v>
      </c>
      <c r="P59" s="15">
        <f t="shared" si="1"/>
        <v>10</v>
      </c>
      <c r="Q59" s="16">
        <f t="shared" si="5"/>
        <v>20000</v>
      </c>
      <c r="R59" s="16">
        <f t="shared" si="3"/>
        <v>0</v>
      </c>
      <c r="S59" s="16">
        <f t="shared" si="6"/>
        <v>0</v>
      </c>
    </row>
    <row r="60" spans="1:19" ht="35.15" customHeight="1" x14ac:dyDescent="0.35">
      <c r="A60" s="198" t="s">
        <v>163</v>
      </c>
      <c r="B60" s="37">
        <v>57</v>
      </c>
      <c r="C60" s="195" t="s">
        <v>33</v>
      </c>
      <c r="D60" s="34" t="s">
        <v>27</v>
      </c>
      <c r="E60" s="41" t="s">
        <v>8</v>
      </c>
      <c r="F60" s="43" t="s">
        <v>28</v>
      </c>
      <c r="G60" s="37" t="s">
        <v>29</v>
      </c>
      <c r="H60" s="37" t="s">
        <v>8</v>
      </c>
      <c r="I60" s="37" t="s">
        <v>9</v>
      </c>
      <c r="J60" s="36">
        <v>250.5</v>
      </c>
      <c r="K60" s="14">
        <f>'REITORIA_SEMS(+BU)'!K60+REITORIA_MUSEU!K60+CAV!K60+CCT!K60+CEAD!K60+CEART!K60+CEAVI!K60+CEFID!K60+CEO!K60+CEPLAN!K60+CERES!K60+CESFI!K60+CESMO!K60+ESAG!K60+FAED!K60</f>
        <v>2</v>
      </c>
      <c r="L60" s="13">
        <f>'REITORIA_SEMS(+BU)'!K60-'REITORIA_SEMS(+BU)'!S60+REITORIA_MUSEU!K60-REITORIA_MUSEU!S60+CAV!K60-CAV!S60+CCT!K60-CCT!S60+CEAD!K60-CEAD!S60+CEART!K60-CEART!S60+CEAVI!K60-CEAVI!S60+CEFID!K60-CEFID!S60+CEO!K60-CEO!S60+CEPLAN!K60-CEPLAN!S60+CERES!K60-CERES!S60+CESFI!K60-CESFI!S60+CESMO!K60-CESMO!S60+ESAG!K60-ESAG!S60+FAED!K60-FAED!S60</f>
        <v>2</v>
      </c>
      <c r="M60" s="136">
        <f>'REITORIA_SEMS(+BU)'!L60+REITORIA_MUSEU!L60+CAV!L60+CCT!L60+CEAD!L60+CEART!L60+CEAVI!L60+CEFID!L60+CEO!L60+CEPLAN!L60+CERES!L60+CESFI!L60+CESMO!L60+ESAG!L60+FAED!L60</f>
        <v>2</v>
      </c>
      <c r="N60" s="133">
        <f t="shared" si="0"/>
        <v>0</v>
      </c>
      <c r="O60" s="134">
        <f>'REITORIA_SEMS(+BU)'!P60+'REITORIA_SEMS(+BU)'!Q60+REITORIA_MUSEU!P60+REITORIA_MUSEU!Q60+CAV!P60+CAV!Q60+CCT!P60+CCT!Q60+CEAD!P60+CEAD!Q60+CEART!P60+CEART!Q60+CEAVI!P60+CEAVI!Q60+CEFID!P60+CEFID!Q60+CEO!P60+CEO!Q60+CEPLAN!P60+CEPLAN!Q60+CERES!P60+CERES!Q60+CESFI!P60+CESFI!Q60+CESMO!P60+CESMO!Q60+ESAG!P60+ESAG!Q60+FAED!P60+FAED!Q60</f>
        <v>0</v>
      </c>
      <c r="P60" s="15">
        <f t="shared" si="1"/>
        <v>0</v>
      </c>
      <c r="Q60" s="16">
        <f t="shared" si="5"/>
        <v>501</v>
      </c>
      <c r="R60" s="16">
        <f t="shared" si="3"/>
        <v>0</v>
      </c>
      <c r="S60" s="16">
        <f t="shared" si="6"/>
        <v>501</v>
      </c>
    </row>
    <row r="61" spans="1:19" ht="35.15" customHeight="1" x14ac:dyDescent="0.35">
      <c r="A61" s="199"/>
      <c r="B61" s="37">
        <v>58</v>
      </c>
      <c r="C61" s="196"/>
      <c r="D61" s="34" t="s">
        <v>7</v>
      </c>
      <c r="E61" s="41" t="s">
        <v>8</v>
      </c>
      <c r="F61" s="43" t="s">
        <v>28</v>
      </c>
      <c r="G61" s="37" t="s">
        <v>29</v>
      </c>
      <c r="H61" s="37" t="s">
        <v>8</v>
      </c>
      <c r="I61" s="37" t="s">
        <v>9</v>
      </c>
      <c r="J61" s="36">
        <v>1000</v>
      </c>
      <c r="K61" s="14">
        <f>'REITORIA_SEMS(+BU)'!K61+REITORIA_MUSEU!K61+CAV!K61+CCT!K61+CEAD!K61+CEART!K61+CEAVI!K61+CEFID!K61+CEO!K61+CEPLAN!K61+CERES!K61+CESFI!K61+CESMO!K61+ESAG!K61+FAED!K61</f>
        <v>48</v>
      </c>
      <c r="L61" s="13">
        <f>'REITORIA_SEMS(+BU)'!K61-'REITORIA_SEMS(+BU)'!S61+REITORIA_MUSEU!K61-REITORIA_MUSEU!S61+CAV!K61-CAV!S61+CCT!K61-CCT!S61+CEAD!K61-CEAD!S61+CEART!K61-CEART!S61+CEAVI!K61-CEAVI!S61+CEFID!K61-CEFID!S61+CEO!K61-CEO!S61+CEPLAN!K61-CEPLAN!S61+CERES!K61-CERES!S61+CESFI!K61-CESFI!S61+CESMO!K61-CESMO!S61+ESAG!K61-ESAG!S61+FAED!K61-FAED!S61</f>
        <v>38</v>
      </c>
      <c r="M61" s="136">
        <f>'REITORIA_SEMS(+BU)'!L61+REITORIA_MUSEU!L61+CAV!L61+CCT!L61+CEAD!L61+CEART!L61+CEAVI!L61+CEFID!L61+CEO!L61+CEPLAN!L61+CERES!L61+CESFI!L61+CESMO!L61+ESAG!L61+FAED!L61</f>
        <v>38</v>
      </c>
      <c r="N61" s="133">
        <f t="shared" si="0"/>
        <v>11.5</v>
      </c>
      <c r="O61" s="134">
        <f>'REITORIA_SEMS(+BU)'!P61+'REITORIA_SEMS(+BU)'!Q61+REITORIA_MUSEU!P61+REITORIA_MUSEU!Q61+CAV!P61+CAV!Q61+CCT!P61+CCT!Q61+CEAD!P61+CEAD!Q61+CEART!P61+CEART!Q61+CEAVI!P61+CEAVI!Q61+CEFID!P61+CEFID!Q61+CEO!P61+CEO!Q61+CEPLAN!P61+CEPLAN!Q61+CERES!P61+CERES!Q61+CESFI!P61+CESFI!Q61+CESMO!P61+CESMO!Q61+ESAG!P61+ESAG!Q61+FAED!P61+FAED!Q61</f>
        <v>0</v>
      </c>
      <c r="P61" s="15">
        <f t="shared" si="1"/>
        <v>10</v>
      </c>
      <c r="Q61" s="16">
        <f t="shared" si="5"/>
        <v>48000</v>
      </c>
      <c r="R61" s="16">
        <f t="shared" si="3"/>
        <v>0</v>
      </c>
      <c r="S61" s="16">
        <f t="shared" si="6"/>
        <v>38000</v>
      </c>
    </row>
    <row r="62" spans="1:19" ht="35.15" customHeight="1" x14ac:dyDescent="0.35">
      <c r="A62" s="199"/>
      <c r="B62" s="37">
        <v>59</v>
      </c>
      <c r="C62" s="196"/>
      <c r="D62" s="34" t="s">
        <v>10</v>
      </c>
      <c r="E62" s="41" t="s">
        <v>8</v>
      </c>
      <c r="F62" s="43" t="s">
        <v>28</v>
      </c>
      <c r="G62" s="37" t="s">
        <v>29</v>
      </c>
      <c r="H62" s="37" t="s">
        <v>8</v>
      </c>
      <c r="I62" s="37" t="s">
        <v>9</v>
      </c>
      <c r="J62" s="36">
        <v>1500</v>
      </c>
      <c r="K62" s="14">
        <f>'REITORIA_SEMS(+BU)'!K62+REITORIA_MUSEU!K62+CAV!K62+CCT!K62+CEAD!K62+CEART!K62+CEAVI!K62+CEFID!K62+CEO!K62+CEPLAN!K62+CERES!K62+CESFI!K62+CESMO!K62+ESAG!K62+FAED!K62</f>
        <v>8</v>
      </c>
      <c r="L62" s="13">
        <f>'REITORIA_SEMS(+BU)'!K62-'REITORIA_SEMS(+BU)'!S62+REITORIA_MUSEU!K62-REITORIA_MUSEU!S62+CAV!K62-CAV!S62+CCT!K62-CCT!S62+CEAD!K62-CEAD!S62+CEART!K62-CEART!S62+CEAVI!K62-CEAVI!S62+CEFID!K62-CEFID!S62+CEO!K62-CEO!S62+CEPLAN!K62-CEPLAN!S62+CERES!K62-CERES!S62+CESFI!K62-CESFI!S62+CESMO!K62-CESMO!S62+ESAG!K62-ESAG!S62+FAED!K62-FAED!S62</f>
        <v>8</v>
      </c>
      <c r="M62" s="136">
        <f>'REITORIA_SEMS(+BU)'!L62+REITORIA_MUSEU!L62+CAV!L62+CCT!L62+CEAD!L62+CEART!L62+CEAVI!L62+CEFID!L62+CEO!L62+CEPLAN!L62+CERES!L62+CESFI!L62+CESMO!L62+ESAG!L62+FAED!L62</f>
        <v>8</v>
      </c>
      <c r="N62" s="133">
        <f t="shared" si="0"/>
        <v>1.5</v>
      </c>
      <c r="O62" s="134">
        <f>'REITORIA_SEMS(+BU)'!P62+'REITORIA_SEMS(+BU)'!Q62+REITORIA_MUSEU!P62+REITORIA_MUSEU!Q62+CAV!P62+CAV!Q62+CCT!P62+CCT!Q62+CEAD!P62+CEAD!Q62+CEART!P62+CEART!Q62+CEAVI!P62+CEAVI!Q62+CEFID!P62+CEFID!Q62+CEO!P62+CEO!Q62+CEPLAN!P62+CEPLAN!Q62+CERES!P62+CERES!Q62+CESFI!P62+CESFI!Q62+CESMO!P62+CESMO!Q62+ESAG!P62+ESAG!Q62+FAED!P62+FAED!Q62</f>
        <v>0</v>
      </c>
      <c r="P62" s="15">
        <f t="shared" si="1"/>
        <v>0</v>
      </c>
      <c r="Q62" s="16">
        <f t="shared" si="5"/>
        <v>12000</v>
      </c>
      <c r="R62" s="16">
        <f t="shared" si="3"/>
        <v>0</v>
      </c>
      <c r="S62" s="16">
        <f t="shared" si="6"/>
        <v>12000</v>
      </c>
    </row>
    <row r="63" spans="1:19" ht="35.15" customHeight="1" x14ac:dyDescent="0.35">
      <c r="A63" s="199"/>
      <c r="B63" s="37">
        <v>60</v>
      </c>
      <c r="C63" s="196"/>
      <c r="D63" s="34" t="s">
        <v>11</v>
      </c>
      <c r="E63" s="41" t="s">
        <v>8</v>
      </c>
      <c r="F63" s="43" t="s">
        <v>28</v>
      </c>
      <c r="G63" s="37" t="s">
        <v>29</v>
      </c>
      <c r="H63" s="37" t="s">
        <v>8</v>
      </c>
      <c r="I63" s="37" t="s">
        <v>9</v>
      </c>
      <c r="J63" s="36">
        <v>1731</v>
      </c>
      <c r="K63" s="14">
        <f>'REITORIA_SEMS(+BU)'!K63+REITORIA_MUSEU!K63+CAV!K63+CCT!K63+CEAD!K63+CEART!K63+CEAVI!K63+CEFID!K63+CEO!K63+CEPLAN!K63+CERES!K63+CESFI!K63+CESMO!K63+ESAG!K63+FAED!K63</f>
        <v>4</v>
      </c>
      <c r="L63" s="13">
        <f>'REITORIA_SEMS(+BU)'!K63-'REITORIA_SEMS(+BU)'!S63+REITORIA_MUSEU!K63-REITORIA_MUSEU!S63+CAV!K63-CAV!S63+CCT!K63-CCT!S63+CEAD!K63-CEAD!S63+CEART!K63-CEART!S63+CEAVI!K63-CEAVI!S63+CEFID!K63-CEFID!S63+CEO!K63-CEO!S63+CEPLAN!K63-CEPLAN!S63+CERES!K63-CERES!S63+CESFI!K63-CESFI!S63+CESMO!K63-CESMO!S63+ESAG!K63-ESAG!S63+FAED!K63-FAED!S63</f>
        <v>4</v>
      </c>
      <c r="M63" s="136">
        <f>'REITORIA_SEMS(+BU)'!L63+REITORIA_MUSEU!L63+CAV!L63+CCT!L63+CEAD!L63+CEART!L63+CEAVI!L63+CEFID!L63+CEO!L63+CEPLAN!L63+CERES!L63+CESFI!L63+CESMO!L63+ESAG!L63+FAED!L63</f>
        <v>4</v>
      </c>
      <c r="N63" s="133">
        <f t="shared" si="0"/>
        <v>0.5</v>
      </c>
      <c r="O63" s="134">
        <f>'REITORIA_SEMS(+BU)'!P63+'REITORIA_SEMS(+BU)'!Q63+REITORIA_MUSEU!P63+REITORIA_MUSEU!Q63+CAV!P63+CAV!Q63+CCT!P63+CCT!Q63+CEAD!P63+CEAD!Q63+CEART!P63+CEART!Q63+CEAVI!P63+CEAVI!Q63+CEFID!P63+CEFID!Q63+CEO!P63+CEO!Q63+CEPLAN!P63+CEPLAN!Q63+CERES!P63+CERES!Q63+CESFI!P63+CESFI!Q63+CESMO!P63+CESMO!Q63+ESAG!P63+ESAG!Q63+FAED!P63+FAED!Q63</f>
        <v>0</v>
      </c>
      <c r="P63" s="15">
        <f t="shared" si="1"/>
        <v>0</v>
      </c>
      <c r="Q63" s="16">
        <f t="shared" si="5"/>
        <v>6924</v>
      </c>
      <c r="R63" s="16">
        <f t="shared" si="3"/>
        <v>0</v>
      </c>
      <c r="S63" s="16">
        <f t="shared" si="6"/>
        <v>6924</v>
      </c>
    </row>
    <row r="64" spans="1:19" ht="35.15" customHeight="1" x14ac:dyDescent="0.35">
      <c r="A64" s="199"/>
      <c r="B64" s="37">
        <v>61</v>
      </c>
      <c r="C64" s="196"/>
      <c r="D64" s="34" t="s">
        <v>12</v>
      </c>
      <c r="E64" s="41" t="s">
        <v>8</v>
      </c>
      <c r="F64" s="43" t="s">
        <v>28</v>
      </c>
      <c r="G64" s="37" t="s">
        <v>29</v>
      </c>
      <c r="H64" s="37" t="s">
        <v>34</v>
      </c>
      <c r="I64" s="37" t="s">
        <v>9</v>
      </c>
      <c r="J64" s="36">
        <v>160</v>
      </c>
      <c r="K64" s="14">
        <f>'REITORIA_SEMS(+BU)'!K64+REITORIA_MUSEU!K64+CAV!K64+CCT!K64+CEAD!K64+CEART!K64+CEAVI!K64+CEFID!K64+CEO!K64+CEPLAN!K64+CERES!K64+CESFI!K64+CESMO!K64+ESAG!K64+FAED!K64</f>
        <v>250</v>
      </c>
      <c r="L64" s="13">
        <f>'REITORIA_SEMS(+BU)'!K64-'REITORIA_SEMS(+BU)'!S64+REITORIA_MUSEU!K64-REITORIA_MUSEU!S64+CAV!K64-CAV!S64+CCT!K64-CCT!S64+CEAD!K64-CEAD!S64+CEART!K64-CEART!S64+CEAVI!K64-CEAVI!S64+CEFID!K64-CEFID!S64+CEO!K64-CEO!S64+CEPLAN!K64-CEPLAN!S64+CERES!K64-CERES!S64+CESFI!K64-CESFI!S64+CESMO!K64-CESMO!S64+ESAG!K64-ESAG!S64+FAED!K64-FAED!S64</f>
        <v>156</v>
      </c>
      <c r="M64" s="136">
        <f>'REITORIA_SEMS(+BU)'!L64+REITORIA_MUSEU!L64+CAV!L64+CCT!L64+CEAD!L64+CEART!L64+CEAVI!L64+CEFID!L64+CEO!L64+CEPLAN!L64+CERES!L64+CESFI!L64+CESMO!L64+ESAG!L64+FAED!L64</f>
        <v>156</v>
      </c>
      <c r="N64" s="133">
        <f t="shared" si="0"/>
        <v>62</v>
      </c>
      <c r="O64" s="134">
        <f>'REITORIA_SEMS(+BU)'!P64+'REITORIA_SEMS(+BU)'!Q64+REITORIA_MUSEU!P64+REITORIA_MUSEU!Q64+CAV!P64+CAV!Q64+CCT!P64+CCT!Q64+CEAD!P64+CEAD!Q64+CEART!P64+CEART!Q64+CEAVI!P64+CEAVI!Q64+CEFID!P64+CEFID!Q64+CEO!P64+CEO!Q64+CEPLAN!P64+CEPLAN!Q64+CERES!P64+CERES!Q64+CESFI!P64+CESFI!Q64+CESMO!P64+CESMO!Q64+ESAG!P64+ESAG!Q64+FAED!P64+FAED!Q64</f>
        <v>0</v>
      </c>
      <c r="P64" s="15">
        <f t="shared" si="1"/>
        <v>94</v>
      </c>
      <c r="Q64" s="16">
        <f t="shared" si="5"/>
        <v>40000</v>
      </c>
      <c r="R64" s="16">
        <f t="shared" si="3"/>
        <v>0</v>
      </c>
      <c r="S64" s="16">
        <f t="shared" si="6"/>
        <v>24960</v>
      </c>
    </row>
    <row r="65" spans="1:19" ht="35.15" customHeight="1" x14ac:dyDescent="0.35">
      <c r="A65" s="199"/>
      <c r="B65" s="37">
        <v>62</v>
      </c>
      <c r="C65" s="196"/>
      <c r="D65" s="34" t="s">
        <v>156</v>
      </c>
      <c r="E65" s="41" t="s">
        <v>8</v>
      </c>
      <c r="F65" s="43" t="s">
        <v>28</v>
      </c>
      <c r="G65" s="37" t="s">
        <v>29</v>
      </c>
      <c r="H65" s="37" t="s">
        <v>34</v>
      </c>
      <c r="I65" s="37" t="s">
        <v>9</v>
      </c>
      <c r="J65" s="36">
        <v>135</v>
      </c>
      <c r="K65" s="14">
        <f>'REITORIA_SEMS(+BU)'!K65+REITORIA_MUSEU!K65+CAV!K65+CCT!K65+CEAD!K65+CEART!K65+CEAVI!K65+CEFID!K65+CEO!K65+CEPLAN!K65+CERES!K65+CESFI!K65+CESMO!K65+ESAG!K65+FAED!K65</f>
        <v>70</v>
      </c>
      <c r="L65" s="13">
        <f>'REITORIA_SEMS(+BU)'!K65-'REITORIA_SEMS(+BU)'!S65+REITORIA_MUSEU!K65-REITORIA_MUSEU!S65+CAV!K65-CAV!S65+CCT!K65-CCT!S65+CEAD!K65-CEAD!S65+CEART!K65-CEART!S65+CEAVI!K65-CEAVI!S65+CEFID!K65-CEFID!S65+CEO!K65-CEO!S65+CEPLAN!K65-CEPLAN!S65+CERES!K65-CERES!S65+CESFI!K65-CESFI!S65+CESMO!K65-CESMO!S65+ESAG!K65-ESAG!S65+FAED!K65-FAED!S65</f>
        <v>70</v>
      </c>
      <c r="M65" s="136">
        <f>'REITORIA_SEMS(+BU)'!L65+REITORIA_MUSEU!L65+CAV!L65+CCT!L65+CEAD!L65+CEART!L65+CEAVI!L65+CEFID!L65+CEO!L65+CEPLAN!L65+CERES!L65+CESFI!L65+CESMO!L65+ESAG!L65+FAED!L65</f>
        <v>70</v>
      </c>
      <c r="N65" s="133">
        <f t="shared" si="0"/>
        <v>17</v>
      </c>
      <c r="O65" s="134">
        <f>'REITORIA_SEMS(+BU)'!P65+'REITORIA_SEMS(+BU)'!Q65+REITORIA_MUSEU!P65+REITORIA_MUSEU!Q65+CAV!P65+CAV!Q65+CCT!P65+CCT!Q65+CEAD!P65+CEAD!Q65+CEART!P65+CEART!Q65+CEAVI!P65+CEAVI!Q65+CEFID!P65+CEFID!Q65+CEO!P65+CEO!Q65+CEPLAN!P65+CEPLAN!Q65+CERES!P65+CERES!Q65+CESFI!P65+CESFI!Q65+CESMO!P65+CESMO!Q65+ESAG!P65+ESAG!Q65+FAED!P65+FAED!Q65</f>
        <v>0</v>
      </c>
      <c r="P65" s="15">
        <f t="shared" si="1"/>
        <v>0</v>
      </c>
      <c r="Q65" s="16">
        <f t="shared" si="5"/>
        <v>9450</v>
      </c>
      <c r="R65" s="16">
        <f t="shared" si="3"/>
        <v>0</v>
      </c>
      <c r="S65" s="16">
        <f t="shared" si="6"/>
        <v>9450</v>
      </c>
    </row>
    <row r="66" spans="1:19" ht="35.15" customHeight="1" x14ac:dyDescent="0.35">
      <c r="A66" s="199"/>
      <c r="B66" s="37">
        <v>63</v>
      </c>
      <c r="C66" s="196"/>
      <c r="D66" s="34" t="s">
        <v>13</v>
      </c>
      <c r="E66" s="41" t="s">
        <v>8</v>
      </c>
      <c r="F66" s="43" t="s">
        <v>28</v>
      </c>
      <c r="G66" s="37" t="s">
        <v>29</v>
      </c>
      <c r="H66" s="37" t="s">
        <v>34</v>
      </c>
      <c r="I66" s="37" t="s">
        <v>9</v>
      </c>
      <c r="J66" s="36">
        <v>135</v>
      </c>
      <c r="K66" s="14">
        <f>'REITORIA_SEMS(+BU)'!K66+REITORIA_MUSEU!K66+CAV!K66+CCT!K66+CEAD!K66+CEART!K66+CEAVI!K66+CEFID!K66+CEO!K66+CEPLAN!K66+CERES!K66+CESFI!K66+CESMO!K66+ESAG!K66+FAED!K66</f>
        <v>20</v>
      </c>
      <c r="L66" s="13">
        <f>'REITORIA_SEMS(+BU)'!K66-'REITORIA_SEMS(+BU)'!S66+REITORIA_MUSEU!K66-REITORIA_MUSEU!S66+CAV!K66-CAV!S66+CCT!K66-CCT!S66+CEAD!K66-CEAD!S66+CEART!K66-CEART!S66+CEAVI!K66-CEAVI!S66+CEFID!K66-CEFID!S66+CEO!K66-CEO!S66+CEPLAN!K66-CEPLAN!S66+CERES!K66-CERES!S66+CESFI!K66-CESFI!S66+CESMO!K66-CESMO!S66+ESAG!K66-ESAG!S66+FAED!K66-FAED!S66</f>
        <v>20</v>
      </c>
      <c r="M66" s="136">
        <f>'REITORIA_SEMS(+BU)'!L66+REITORIA_MUSEU!L66+CAV!L66+CCT!L66+CEAD!L66+CEART!L66+CEAVI!L66+CEFID!L66+CEO!L66+CEPLAN!L66+CERES!L66+CESFI!L66+CESMO!L66+ESAG!L66+FAED!L66</f>
        <v>20</v>
      </c>
      <c r="N66" s="133">
        <f t="shared" si="0"/>
        <v>4.5</v>
      </c>
      <c r="O66" s="134">
        <f>'REITORIA_SEMS(+BU)'!P66+'REITORIA_SEMS(+BU)'!Q66+REITORIA_MUSEU!P66+REITORIA_MUSEU!Q66+CAV!P66+CAV!Q66+CCT!P66+CCT!Q66+CEAD!P66+CEAD!Q66+CEART!P66+CEART!Q66+CEAVI!P66+CEAVI!Q66+CEFID!P66+CEFID!Q66+CEO!P66+CEO!Q66+CEPLAN!P66+CEPLAN!Q66+CERES!P66+CERES!Q66+CESFI!P66+CESFI!Q66+CESMO!P66+CESMO!Q66+ESAG!P66+ESAG!Q66+FAED!P66+FAED!Q66</f>
        <v>0</v>
      </c>
      <c r="P66" s="15">
        <f t="shared" si="1"/>
        <v>0</v>
      </c>
      <c r="Q66" s="16">
        <f t="shared" si="5"/>
        <v>2700</v>
      </c>
      <c r="R66" s="16">
        <f t="shared" si="3"/>
        <v>0</v>
      </c>
      <c r="S66" s="16">
        <f t="shared" si="6"/>
        <v>2700</v>
      </c>
    </row>
    <row r="67" spans="1:19" ht="35.15" customHeight="1" x14ac:dyDescent="0.35">
      <c r="A67" s="199"/>
      <c r="B67" s="37">
        <v>64</v>
      </c>
      <c r="C67" s="196"/>
      <c r="D67" s="34" t="s">
        <v>157</v>
      </c>
      <c r="E67" s="41" t="s">
        <v>8</v>
      </c>
      <c r="F67" s="43" t="s">
        <v>28</v>
      </c>
      <c r="G67" s="37" t="s">
        <v>29</v>
      </c>
      <c r="H67" s="37" t="s">
        <v>8</v>
      </c>
      <c r="I67" s="37" t="s">
        <v>9</v>
      </c>
      <c r="J67" s="36">
        <v>365</v>
      </c>
      <c r="K67" s="14">
        <f>'REITORIA_SEMS(+BU)'!K67+REITORIA_MUSEU!K67+CAV!K67+CCT!K67+CEAD!K67+CEART!K67+CEAVI!K67+CEFID!K67+CEO!K67+CEPLAN!K67+CERES!K67+CESFI!K67+CESMO!K67+ESAG!K67+FAED!K67</f>
        <v>25</v>
      </c>
      <c r="L67" s="13">
        <f>'REITORIA_SEMS(+BU)'!K67-'REITORIA_SEMS(+BU)'!S67+REITORIA_MUSEU!K67-REITORIA_MUSEU!S67+CAV!K67-CAV!S67+CCT!K67-CCT!S67+CEAD!K67-CEAD!S67+CEART!K67-CEART!S67+CEAVI!K67-CEAVI!S67+CEFID!K67-CEFID!S67+CEO!K67-CEO!S67+CEPLAN!K67-CEPLAN!S67+CERES!K67-CERES!S67+CESFI!K67-CESFI!S67+CESMO!K67-CESMO!S67+ESAG!K67-ESAG!S67+FAED!K67-FAED!S67</f>
        <v>15</v>
      </c>
      <c r="M67" s="136">
        <f>'REITORIA_SEMS(+BU)'!L67+REITORIA_MUSEU!L67+CAV!L67+CCT!L67+CEAD!L67+CEART!L67+CEAVI!L67+CEFID!L67+CEO!L67+CEPLAN!L67+CERES!L67+CESFI!L67+CESMO!L67+ESAG!L67+FAED!L67</f>
        <v>15</v>
      </c>
      <c r="N67" s="133">
        <f t="shared" si="0"/>
        <v>5.75</v>
      </c>
      <c r="O67" s="134">
        <f>'REITORIA_SEMS(+BU)'!P67+'REITORIA_SEMS(+BU)'!Q67+REITORIA_MUSEU!P67+REITORIA_MUSEU!Q67+CAV!P67+CAV!Q67+CCT!P67+CCT!Q67+CEAD!P67+CEAD!Q67+CEART!P67+CEART!Q67+CEAVI!P67+CEAVI!Q67+CEFID!P67+CEFID!Q67+CEO!P67+CEO!Q67+CEPLAN!P67+CEPLAN!Q67+CERES!P67+CERES!Q67+CESFI!P67+CESFI!Q67+CESMO!P67+CESMO!Q67+ESAG!P67+ESAG!Q67+FAED!P67+FAED!Q67</f>
        <v>0</v>
      </c>
      <c r="P67" s="15">
        <f t="shared" si="1"/>
        <v>10</v>
      </c>
      <c r="Q67" s="16">
        <f t="shared" si="5"/>
        <v>9125</v>
      </c>
      <c r="R67" s="16">
        <f t="shared" si="3"/>
        <v>0</v>
      </c>
      <c r="S67" s="16">
        <f t="shared" si="6"/>
        <v>5475</v>
      </c>
    </row>
    <row r="68" spans="1:19" ht="35.15" customHeight="1" x14ac:dyDescent="0.35">
      <c r="A68" s="200"/>
      <c r="B68" s="37">
        <v>65</v>
      </c>
      <c r="C68" s="197"/>
      <c r="D68" s="34" t="s">
        <v>30</v>
      </c>
      <c r="E68" s="41" t="s">
        <v>8</v>
      </c>
      <c r="F68" s="43" t="s">
        <v>28</v>
      </c>
      <c r="G68" s="37" t="s">
        <v>29</v>
      </c>
      <c r="H68" s="37" t="s">
        <v>8</v>
      </c>
      <c r="I68" s="37" t="s">
        <v>9</v>
      </c>
      <c r="J68" s="36">
        <v>100</v>
      </c>
      <c r="K68" s="14">
        <f>'REITORIA_SEMS(+BU)'!K68+REITORIA_MUSEU!K68+CAV!K68+CCT!K68+CEAD!K68+CEART!K68+CEAVI!K68+CEFID!K68+CEO!K68+CEPLAN!K68+CERES!K68+CESFI!K68+CESMO!K68+ESAG!K68+FAED!K68</f>
        <v>13</v>
      </c>
      <c r="L68" s="13">
        <f>'REITORIA_SEMS(+BU)'!K68-'REITORIA_SEMS(+BU)'!S68+REITORIA_MUSEU!K68-REITORIA_MUSEU!S68+CAV!K68-CAV!S68+CCT!K68-CCT!S68+CEAD!K68-CEAD!S68+CEART!K68-CEART!S68+CEAVI!K68-CEAVI!S68+CEFID!K68-CEFID!S68+CEO!K68-CEO!S68+CEPLAN!K68-CEPLAN!S68+CERES!K68-CERES!S68+CESFI!K68-CESFI!S68+CESMO!K68-CESMO!S68+ESAG!K68-ESAG!S68+FAED!K68-FAED!S68</f>
        <v>0</v>
      </c>
      <c r="M68" s="136">
        <f>'REITORIA_SEMS(+BU)'!L68+REITORIA_MUSEU!L68+CAV!L68+CCT!L68+CEAD!L68+CEART!L68+CEAVI!L68+CEFID!L68+CEO!L68+CEPLAN!L68+CERES!L68+CESFI!L68+CESMO!L68+ESAG!L68+FAED!L68</f>
        <v>0</v>
      </c>
      <c r="N68" s="133">
        <f t="shared" si="0"/>
        <v>2.75</v>
      </c>
      <c r="O68" s="134">
        <f>'REITORIA_SEMS(+BU)'!P68+'REITORIA_SEMS(+BU)'!Q68+REITORIA_MUSEU!P68+REITORIA_MUSEU!Q68+CAV!P68+CAV!Q68+CCT!P68+CCT!Q68+CEAD!P68+CEAD!Q68+CEART!P68+CEART!Q68+CEAVI!P68+CEAVI!Q68+CEFID!P68+CEFID!Q68+CEO!P68+CEO!Q68+CEPLAN!P68+CEPLAN!Q68+CERES!P68+CERES!Q68+CESFI!P68+CESFI!Q68+CESMO!P68+CESMO!Q68+ESAG!P68+ESAG!Q68+FAED!P68+FAED!Q68</f>
        <v>0</v>
      </c>
      <c r="P68" s="15">
        <f t="shared" si="1"/>
        <v>13</v>
      </c>
      <c r="Q68" s="16">
        <f t="shared" si="5"/>
        <v>1300</v>
      </c>
      <c r="R68" s="16">
        <f t="shared" si="3"/>
        <v>0</v>
      </c>
      <c r="S68" s="16">
        <f t="shared" si="6"/>
        <v>0</v>
      </c>
    </row>
    <row r="69" spans="1:19" ht="35.15" customHeight="1" x14ac:dyDescent="0.35">
      <c r="A69" s="208" t="s">
        <v>164</v>
      </c>
      <c r="B69" s="44">
        <v>66</v>
      </c>
      <c r="C69" s="205" t="s">
        <v>92</v>
      </c>
      <c r="D69" s="46" t="s">
        <v>27</v>
      </c>
      <c r="E69" s="48" t="s">
        <v>8</v>
      </c>
      <c r="F69" s="50" t="s">
        <v>28</v>
      </c>
      <c r="G69" s="44" t="s">
        <v>29</v>
      </c>
      <c r="H69" s="44" t="s">
        <v>8</v>
      </c>
      <c r="I69" s="44" t="s">
        <v>9</v>
      </c>
      <c r="J69" s="47">
        <v>140</v>
      </c>
      <c r="K69" s="14">
        <f>'REITORIA_SEMS(+BU)'!K69+REITORIA_MUSEU!K69+CAV!K69+CCT!K69+CEAD!K69+CEART!K69+CEAVI!K69+CEFID!K69+CEO!K69+CEPLAN!K69+CERES!K69+CESFI!K69+CESMO!K69+ESAG!K69+FAED!K69</f>
        <v>1</v>
      </c>
      <c r="L69" s="13">
        <f>'REITORIA_SEMS(+BU)'!K69-'REITORIA_SEMS(+BU)'!S69+REITORIA_MUSEU!K69-REITORIA_MUSEU!S69+CAV!K69-CAV!S69+CCT!K69-CCT!S69+CEAD!K69-CEAD!S69+CEART!K69-CEART!S69+CEAVI!K69-CEAVI!S69+CEFID!K69-CEFID!S69+CEO!K69-CEO!S69+CEPLAN!K69-CEPLAN!S69+CERES!K69-CERES!S69+CESFI!K69-CESFI!S69+CESMO!K69-CESMO!S69+ESAG!K69-ESAG!S69+FAED!K69-FAED!S69</f>
        <v>0</v>
      </c>
      <c r="M69" s="136">
        <f>'REITORIA_SEMS(+BU)'!L69+REITORIA_MUSEU!L69+CAV!L69+CCT!L69+CEAD!L69+CEART!L69+CEAVI!L69+CEFID!L69+CEO!L69+CEPLAN!L69+CERES!L69+CESFI!L69+CESMO!L69+ESAG!L69+FAED!L69</f>
        <v>0</v>
      </c>
      <c r="N69" s="133">
        <f t="shared" ref="N69:N81" si="7">K69*0.25-0.5-O69</f>
        <v>-0.25</v>
      </c>
      <c r="O69" s="134">
        <f>'REITORIA_SEMS(+BU)'!P69+'REITORIA_SEMS(+BU)'!Q69+REITORIA_MUSEU!P69+REITORIA_MUSEU!Q69+CAV!P69+CAV!Q69+CCT!P69+CCT!Q69+CEAD!P69+CEAD!Q69+CEART!P69+CEART!Q69+CEAVI!P69+CEAVI!Q69+CEFID!P69+CEFID!Q69+CEO!P69+CEO!Q69+CEPLAN!P69+CEPLAN!Q69+CERES!P69+CERES!Q69+CESFI!P69+CESFI!Q69+CESMO!P69+CESMO!Q69+ESAG!P69+ESAG!Q69+FAED!P69+FAED!Q69</f>
        <v>0</v>
      </c>
      <c r="P69" s="15">
        <f t="shared" ref="P69:P81" si="8">K69-L69+O69</f>
        <v>1</v>
      </c>
      <c r="Q69" s="16">
        <f t="shared" si="5"/>
        <v>140</v>
      </c>
      <c r="R69" s="16">
        <f t="shared" ref="R69:R81" si="9">J69*O69</f>
        <v>0</v>
      </c>
      <c r="S69" s="16">
        <f t="shared" si="6"/>
        <v>0</v>
      </c>
    </row>
    <row r="70" spans="1:19" ht="35.15" customHeight="1" x14ac:dyDescent="0.35">
      <c r="A70" s="209"/>
      <c r="B70" s="44">
        <v>67</v>
      </c>
      <c r="C70" s="206"/>
      <c r="D70" s="46" t="s">
        <v>7</v>
      </c>
      <c r="E70" s="48" t="s">
        <v>8</v>
      </c>
      <c r="F70" s="50" t="s">
        <v>28</v>
      </c>
      <c r="G70" s="44" t="s">
        <v>29</v>
      </c>
      <c r="H70" s="44" t="s">
        <v>8</v>
      </c>
      <c r="I70" s="44" t="s">
        <v>9</v>
      </c>
      <c r="J70" s="47">
        <v>530</v>
      </c>
      <c r="K70" s="14">
        <f>'REITORIA_SEMS(+BU)'!K70+REITORIA_MUSEU!K70+CAV!K70+CCT!K70+CEAD!K70+CEART!K70+CEAVI!K70+CEFID!K70+CEO!K70+CEPLAN!K70+CERES!K70+CESFI!K70+CESMO!K70+ESAG!K70+FAED!K70</f>
        <v>40</v>
      </c>
      <c r="L70" s="13">
        <f>'REITORIA_SEMS(+BU)'!K70-'REITORIA_SEMS(+BU)'!S70+REITORIA_MUSEU!K70-REITORIA_MUSEU!S70+CAV!K70-CAV!S70+CCT!K70-CCT!S70+CEAD!K70-CEAD!S70+CEART!K70-CEART!S70+CEAVI!K70-CEAVI!S70+CEFID!K70-CEFID!S70+CEO!K70-CEO!S70+CEPLAN!K70-CEPLAN!S70+CERES!K70-CERES!S70+CESFI!K70-CESFI!S70+CESMO!K70-CESMO!S70+ESAG!K70-ESAG!S70+FAED!K70-FAED!S70</f>
        <v>27</v>
      </c>
      <c r="M70" s="136">
        <f>'REITORIA_SEMS(+BU)'!L70+REITORIA_MUSEU!L70+CAV!L70+CCT!L70+CEAD!L70+CEART!L70+CEAVI!L70+CEFID!L70+CEO!L70+CEPLAN!L70+CERES!L70+CESFI!L70+CESMO!L70+ESAG!L70+FAED!L70</f>
        <v>27</v>
      </c>
      <c r="N70" s="133">
        <f t="shared" si="7"/>
        <v>9.5</v>
      </c>
      <c r="O70" s="134">
        <f>'REITORIA_SEMS(+BU)'!P70+'REITORIA_SEMS(+BU)'!Q70+REITORIA_MUSEU!P70+REITORIA_MUSEU!Q70+CAV!P70+CAV!Q70+CCT!P70+CCT!Q70+CEAD!P70+CEAD!Q70+CEART!P70+CEART!Q70+CEAVI!P70+CEAVI!Q70+CEFID!P70+CEFID!Q70+CEO!P70+CEO!Q70+CEPLAN!P70+CEPLAN!Q70+CERES!P70+CERES!Q70+CESFI!P70+CESFI!Q70+CESMO!P70+CESMO!Q70+ESAG!P70+ESAG!Q70+FAED!P70+FAED!Q70</f>
        <v>0</v>
      </c>
      <c r="P70" s="15">
        <f t="shared" si="8"/>
        <v>13</v>
      </c>
      <c r="Q70" s="16">
        <f t="shared" si="5"/>
        <v>21200</v>
      </c>
      <c r="R70" s="16">
        <f t="shared" si="9"/>
        <v>0</v>
      </c>
      <c r="S70" s="16">
        <f t="shared" si="6"/>
        <v>14310</v>
      </c>
    </row>
    <row r="71" spans="1:19" ht="35.15" customHeight="1" x14ac:dyDescent="0.35">
      <c r="A71" s="209"/>
      <c r="B71" s="44">
        <v>68</v>
      </c>
      <c r="C71" s="206"/>
      <c r="D71" s="46" t="s">
        <v>10</v>
      </c>
      <c r="E71" s="48" t="s">
        <v>8</v>
      </c>
      <c r="F71" s="50" t="s">
        <v>28</v>
      </c>
      <c r="G71" s="44" t="s">
        <v>29</v>
      </c>
      <c r="H71" s="44" t="s">
        <v>8</v>
      </c>
      <c r="I71" s="44" t="s">
        <v>9</v>
      </c>
      <c r="J71" s="47">
        <v>660</v>
      </c>
      <c r="K71" s="14">
        <f>'REITORIA_SEMS(+BU)'!K71+REITORIA_MUSEU!K71+CAV!K71+CCT!K71+CEAD!K71+CEART!K71+CEAVI!K71+CEFID!K71+CEO!K71+CEPLAN!K71+CERES!K71+CESFI!K71+CESMO!K71+ESAG!K71+FAED!K71</f>
        <v>18</v>
      </c>
      <c r="L71" s="13">
        <f>'REITORIA_SEMS(+BU)'!K71-'REITORIA_SEMS(+BU)'!S71+REITORIA_MUSEU!K71-REITORIA_MUSEU!S71+CAV!K71-CAV!S71+CCT!K71-CCT!S71+CEAD!K71-CEAD!S71+CEART!K71-CEART!S71+CEAVI!K71-CEAVI!S71+CEFID!K71-CEFID!S71+CEO!K71-CEO!S71+CEPLAN!K71-CEPLAN!S71+CERES!K71-CERES!S71+CESFI!K71-CESFI!S71+CESMO!K71-CESMO!S71+ESAG!K71-ESAG!S71+FAED!K71-FAED!S71</f>
        <v>11</v>
      </c>
      <c r="M71" s="136">
        <f>'REITORIA_SEMS(+BU)'!L71+REITORIA_MUSEU!L71+CAV!L71+CCT!L71+CEAD!L71+CEART!L71+CEAVI!L71+CEFID!L71+CEO!L71+CEPLAN!L71+CERES!L71+CESFI!L71+CESMO!L71+ESAG!L71+FAED!L71</f>
        <v>11</v>
      </c>
      <c r="N71" s="133">
        <f t="shared" si="7"/>
        <v>4</v>
      </c>
      <c r="O71" s="134">
        <f>'REITORIA_SEMS(+BU)'!P71+'REITORIA_SEMS(+BU)'!Q71+REITORIA_MUSEU!P71+REITORIA_MUSEU!Q71+CAV!P71+CAV!Q71+CCT!P71+CCT!Q71+CEAD!P71+CEAD!Q71+CEART!P71+CEART!Q71+CEAVI!P71+CEAVI!Q71+CEFID!P71+CEFID!Q71+CEO!P71+CEO!Q71+CEPLAN!P71+CEPLAN!Q71+CERES!P71+CERES!Q71+CESFI!P71+CESFI!Q71+CESMO!P71+CESMO!Q71+ESAG!P71+ESAG!Q71+FAED!P71+FAED!Q71</f>
        <v>0</v>
      </c>
      <c r="P71" s="15">
        <f t="shared" si="8"/>
        <v>7</v>
      </c>
      <c r="Q71" s="16">
        <f t="shared" si="5"/>
        <v>11880</v>
      </c>
      <c r="R71" s="16">
        <f t="shared" si="9"/>
        <v>0</v>
      </c>
      <c r="S71" s="16">
        <f t="shared" si="6"/>
        <v>7260</v>
      </c>
    </row>
    <row r="72" spans="1:19" ht="35.15" customHeight="1" x14ac:dyDescent="0.35">
      <c r="A72" s="209"/>
      <c r="B72" s="44">
        <v>69</v>
      </c>
      <c r="C72" s="206"/>
      <c r="D72" s="46" t="s">
        <v>11</v>
      </c>
      <c r="E72" s="48" t="s">
        <v>8</v>
      </c>
      <c r="F72" s="50" t="s">
        <v>28</v>
      </c>
      <c r="G72" s="44" t="s">
        <v>29</v>
      </c>
      <c r="H72" s="44" t="s">
        <v>8</v>
      </c>
      <c r="I72" s="44" t="s">
        <v>9</v>
      </c>
      <c r="J72" s="47">
        <v>760</v>
      </c>
      <c r="K72" s="14">
        <f>'REITORIA_SEMS(+BU)'!K72+REITORIA_MUSEU!K72+CAV!K72+CCT!K72+CEAD!K72+CEART!K72+CEAVI!K72+CEFID!K72+CEO!K72+CEPLAN!K72+CERES!K72+CESFI!K72+CESMO!K72+ESAG!K72+FAED!K72</f>
        <v>3</v>
      </c>
      <c r="L72" s="13">
        <f>'REITORIA_SEMS(+BU)'!K72-'REITORIA_SEMS(+BU)'!S72+REITORIA_MUSEU!K72-REITORIA_MUSEU!S72+CAV!K72-CAV!S72+CCT!K72-CCT!S72+CEAD!K72-CEAD!S72+CEART!K72-CEART!S72+CEAVI!K72-CEAVI!S72+CEFID!K72-CEFID!S72+CEO!K72-CEO!S72+CEPLAN!K72-CEPLAN!S72+CERES!K72-CERES!S72+CESFI!K72-CESFI!S72+CESMO!K72-CESMO!S72+ESAG!K72-ESAG!S72+FAED!K72-FAED!S72</f>
        <v>3</v>
      </c>
      <c r="M72" s="136">
        <f>'REITORIA_SEMS(+BU)'!L72+REITORIA_MUSEU!L72+CAV!L72+CCT!L72+CEAD!L72+CEART!L72+CEAVI!L72+CEFID!L72+CEO!L72+CEPLAN!L72+CERES!L72+CESFI!L72+CESMO!L72+ESAG!L72+FAED!L72</f>
        <v>3</v>
      </c>
      <c r="N72" s="133">
        <f t="shared" si="7"/>
        <v>0.25</v>
      </c>
      <c r="O72" s="134">
        <f>'REITORIA_SEMS(+BU)'!P72+'REITORIA_SEMS(+BU)'!Q72+REITORIA_MUSEU!P72+REITORIA_MUSEU!Q72+CAV!P72+CAV!Q72+CCT!P72+CCT!Q72+CEAD!P72+CEAD!Q72+CEART!P72+CEART!Q72+CEAVI!P72+CEAVI!Q72+CEFID!P72+CEFID!Q72+CEO!P72+CEO!Q72+CEPLAN!P72+CEPLAN!Q72+CERES!P72+CERES!Q72+CESFI!P72+CESFI!Q72+CESMO!P72+CESMO!Q72+ESAG!P72+ESAG!Q72+FAED!P72+FAED!Q72</f>
        <v>0</v>
      </c>
      <c r="P72" s="15">
        <f t="shared" si="8"/>
        <v>0</v>
      </c>
      <c r="Q72" s="16">
        <f t="shared" si="5"/>
        <v>2280</v>
      </c>
      <c r="R72" s="16">
        <f t="shared" si="9"/>
        <v>0</v>
      </c>
      <c r="S72" s="16">
        <f t="shared" si="6"/>
        <v>2280</v>
      </c>
    </row>
    <row r="73" spans="1:19" ht="35.15" customHeight="1" x14ac:dyDescent="0.35">
      <c r="A73" s="209"/>
      <c r="B73" s="44">
        <v>70</v>
      </c>
      <c r="C73" s="206"/>
      <c r="D73" s="46" t="s">
        <v>12</v>
      </c>
      <c r="E73" s="48" t="s">
        <v>8</v>
      </c>
      <c r="F73" s="50" t="s">
        <v>28</v>
      </c>
      <c r="G73" s="44" t="s">
        <v>29</v>
      </c>
      <c r="H73" s="44" t="s">
        <v>34</v>
      </c>
      <c r="I73" s="44" t="s">
        <v>9</v>
      </c>
      <c r="J73" s="47">
        <v>70</v>
      </c>
      <c r="K73" s="14">
        <f>'REITORIA_SEMS(+BU)'!K73+REITORIA_MUSEU!K73+CAV!K73+CCT!K73+CEAD!K73+CEART!K73+CEAVI!K73+CEFID!K73+CEO!K73+CEPLAN!K73+CERES!K73+CESFI!K73+CESMO!K73+ESAG!K73+FAED!K73</f>
        <v>130</v>
      </c>
      <c r="L73" s="13">
        <f>'REITORIA_SEMS(+BU)'!K73-'REITORIA_SEMS(+BU)'!S73+REITORIA_MUSEU!K73-REITORIA_MUSEU!S73+CAV!K73-CAV!S73+CCT!K73-CCT!S73+CEAD!K73-CEAD!S73+CEART!K73-CEART!S73+CEAVI!K73-CEAVI!S73+CEFID!K73-CEFID!S73+CEO!K73-CEO!S73+CEPLAN!K73-CEPLAN!S73+CERES!K73-CERES!S73+CESFI!K73-CESFI!S73+CESMO!K73-CESMO!S73+ESAG!K73-ESAG!S73+FAED!K73-FAED!S73</f>
        <v>20</v>
      </c>
      <c r="M73" s="136">
        <f>'REITORIA_SEMS(+BU)'!L73+REITORIA_MUSEU!L73+CAV!L73+CCT!L73+CEAD!L73+CEART!L73+CEAVI!L73+CEFID!L73+CEO!L73+CEPLAN!L73+CERES!L73+CESFI!L73+CESMO!L73+ESAG!L73+FAED!L73</f>
        <v>20</v>
      </c>
      <c r="N73" s="133">
        <f t="shared" si="7"/>
        <v>32</v>
      </c>
      <c r="O73" s="134">
        <f>'REITORIA_SEMS(+BU)'!P73+'REITORIA_SEMS(+BU)'!Q73+REITORIA_MUSEU!P73+REITORIA_MUSEU!Q73+CAV!P73+CAV!Q73+CCT!P73+CCT!Q73+CEAD!P73+CEAD!Q73+CEART!P73+CEART!Q73+CEAVI!P73+CEAVI!Q73+CEFID!P73+CEFID!Q73+CEO!P73+CEO!Q73+CEPLAN!P73+CEPLAN!Q73+CERES!P73+CERES!Q73+CESFI!P73+CESFI!Q73+CESMO!P73+CESMO!Q73+ESAG!P73+ESAG!Q73+FAED!P73+FAED!Q73</f>
        <v>0</v>
      </c>
      <c r="P73" s="15">
        <f t="shared" si="8"/>
        <v>110</v>
      </c>
      <c r="Q73" s="16">
        <f t="shared" si="5"/>
        <v>9100</v>
      </c>
      <c r="R73" s="16">
        <f t="shared" si="9"/>
        <v>0</v>
      </c>
      <c r="S73" s="16">
        <f t="shared" si="6"/>
        <v>1400</v>
      </c>
    </row>
    <row r="74" spans="1:19" ht="35.15" customHeight="1" x14ac:dyDescent="0.35">
      <c r="A74" s="209"/>
      <c r="B74" s="44">
        <v>71</v>
      </c>
      <c r="C74" s="206"/>
      <c r="D74" s="46" t="s">
        <v>156</v>
      </c>
      <c r="E74" s="48" t="s">
        <v>8</v>
      </c>
      <c r="F74" s="50" t="s">
        <v>28</v>
      </c>
      <c r="G74" s="44" t="s">
        <v>29</v>
      </c>
      <c r="H74" s="44" t="s">
        <v>34</v>
      </c>
      <c r="I74" s="44" t="s">
        <v>9</v>
      </c>
      <c r="J74" s="47">
        <v>75</v>
      </c>
      <c r="K74" s="14">
        <f>'REITORIA_SEMS(+BU)'!K74+REITORIA_MUSEU!K74+CAV!K74+CCT!K74+CEAD!K74+CEART!K74+CEAVI!K74+CEFID!K74+CEO!K74+CEPLAN!K74+CERES!K74+CESFI!K74+CESMO!K74+ESAG!K74+FAED!K74</f>
        <v>40</v>
      </c>
      <c r="L74" s="13">
        <f>'REITORIA_SEMS(+BU)'!K74-'REITORIA_SEMS(+BU)'!S74+REITORIA_MUSEU!K74-REITORIA_MUSEU!S74+CAV!K74-CAV!S74+CCT!K74-CCT!S74+CEAD!K74-CEAD!S74+CEART!K74-CEART!S74+CEAVI!K74-CEAVI!S74+CEFID!K74-CEFID!S74+CEO!K74-CEO!S74+CEPLAN!K74-CEPLAN!S74+CERES!K74-CERES!S74+CESFI!K74-CESFI!S74+CESMO!K74-CESMO!S74+ESAG!K74-ESAG!S74+FAED!K74-FAED!S74</f>
        <v>0</v>
      </c>
      <c r="M74" s="136">
        <f>'REITORIA_SEMS(+BU)'!L74+REITORIA_MUSEU!L74+CAV!L74+CCT!L74+CEAD!L74+CEART!L74+CEAVI!L74+CEFID!L74+CEO!L74+CEPLAN!L74+CERES!L74+CESFI!L74+CESMO!L74+ESAG!L74+FAED!L74</f>
        <v>0</v>
      </c>
      <c r="N74" s="133">
        <f t="shared" si="7"/>
        <v>9.5</v>
      </c>
      <c r="O74" s="134">
        <f>'REITORIA_SEMS(+BU)'!P74+'REITORIA_SEMS(+BU)'!Q74+REITORIA_MUSEU!P74+REITORIA_MUSEU!Q74+CAV!P74+CAV!Q74+CCT!P74+CCT!Q74+CEAD!P74+CEAD!Q74+CEART!P74+CEART!Q74+CEAVI!P74+CEAVI!Q74+CEFID!P74+CEFID!Q74+CEO!P74+CEO!Q74+CEPLAN!P74+CEPLAN!Q74+CERES!P74+CERES!Q74+CESFI!P74+CESFI!Q74+CESMO!P74+CESMO!Q74+ESAG!P74+ESAG!Q74+FAED!P74+FAED!Q74</f>
        <v>0</v>
      </c>
      <c r="P74" s="15">
        <f t="shared" si="8"/>
        <v>40</v>
      </c>
      <c r="Q74" s="16">
        <f t="shared" si="5"/>
        <v>3000</v>
      </c>
      <c r="R74" s="16">
        <f t="shared" si="9"/>
        <v>0</v>
      </c>
      <c r="S74" s="16">
        <f t="shared" si="6"/>
        <v>0</v>
      </c>
    </row>
    <row r="75" spans="1:19" ht="35.15" customHeight="1" x14ac:dyDescent="0.35">
      <c r="A75" s="209"/>
      <c r="B75" s="44">
        <v>72</v>
      </c>
      <c r="C75" s="206"/>
      <c r="D75" s="46" t="s">
        <v>13</v>
      </c>
      <c r="E75" s="48" t="s">
        <v>8</v>
      </c>
      <c r="F75" s="50" t="s">
        <v>28</v>
      </c>
      <c r="G75" s="44" t="s">
        <v>29</v>
      </c>
      <c r="H75" s="44" t="s">
        <v>34</v>
      </c>
      <c r="I75" s="44" t="s">
        <v>9</v>
      </c>
      <c r="J75" s="47">
        <v>80</v>
      </c>
      <c r="K75" s="14">
        <f>'REITORIA_SEMS(+BU)'!K75+REITORIA_MUSEU!K75+CAV!K75+CCT!K75+CEAD!K75+CEART!K75+CEAVI!K75+CEFID!K75+CEO!K75+CEPLAN!K75+CERES!K75+CESFI!K75+CESMO!K75+ESAG!K75+FAED!K75</f>
        <v>5</v>
      </c>
      <c r="L75" s="13">
        <f>'REITORIA_SEMS(+BU)'!K75-'REITORIA_SEMS(+BU)'!S75+REITORIA_MUSEU!K75-REITORIA_MUSEU!S75+CAV!K75-CAV!S75+CCT!K75-CCT!S75+CEAD!K75-CEAD!S75+CEART!K75-CEART!S75+CEAVI!K75-CEAVI!S75+CEFID!K75-CEFID!S75+CEO!K75-CEO!S75+CEPLAN!K75-CEPLAN!S75+CERES!K75-CERES!S75+CESFI!K75-CESFI!S75+CESMO!K75-CESMO!S75+ESAG!K75-ESAG!S75+FAED!K75-FAED!S75</f>
        <v>0</v>
      </c>
      <c r="M75" s="136">
        <f>'REITORIA_SEMS(+BU)'!L75+REITORIA_MUSEU!L75+CAV!L75+CCT!L75+CEAD!L75+CEART!L75+CEAVI!L75+CEFID!L75+CEO!L75+CEPLAN!L75+CERES!L75+CESFI!L75+CESMO!L75+ESAG!L75+FAED!L75</f>
        <v>0</v>
      </c>
      <c r="N75" s="133">
        <f t="shared" si="7"/>
        <v>0.75</v>
      </c>
      <c r="O75" s="134">
        <f>'REITORIA_SEMS(+BU)'!P75+'REITORIA_SEMS(+BU)'!Q75+REITORIA_MUSEU!P75+REITORIA_MUSEU!Q75+CAV!P75+CAV!Q75+CCT!P75+CCT!Q75+CEAD!P75+CEAD!Q75+CEART!P75+CEART!Q75+CEAVI!P75+CEAVI!Q75+CEFID!P75+CEFID!Q75+CEO!P75+CEO!Q75+CEPLAN!P75+CEPLAN!Q75+CERES!P75+CERES!Q75+CESFI!P75+CESFI!Q75+CESMO!P75+CESMO!Q75+ESAG!P75+ESAG!Q75+FAED!P75+FAED!Q75</f>
        <v>0</v>
      </c>
      <c r="P75" s="15">
        <f t="shared" si="8"/>
        <v>5</v>
      </c>
      <c r="Q75" s="16">
        <f t="shared" si="5"/>
        <v>400</v>
      </c>
      <c r="R75" s="16">
        <f t="shared" si="9"/>
        <v>0</v>
      </c>
      <c r="S75" s="16">
        <f t="shared" si="6"/>
        <v>0</v>
      </c>
    </row>
    <row r="76" spans="1:19" ht="35.15" customHeight="1" x14ac:dyDescent="0.35">
      <c r="A76" s="209"/>
      <c r="B76" s="44">
        <v>73</v>
      </c>
      <c r="C76" s="206"/>
      <c r="D76" s="46" t="s">
        <v>157</v>
      </c>
      <c r="E76" s="48" t="s">
        <v>8</v>
      </c>
      <c r="F76" s="50" t="s">
        <v>28</v>
      </c>
      <c r="G76" s="44" t="s">
        <v>29</v>
      </c>
      <c r="H76" s="44" t="s">
        <v>8</v>
      </c>
      <c r="I76" s="44" t="s">
        <v>9</v>
      </c>
      <c r="J76" s="47">
        <v>150</v>
      </c>
      <c r="K76" s="14">
        <f>'REITORIA_SEMS(+BU)'!K76+REITORIA_MUSEU!K76+CAV!K76+CCT!K76+CEAD!K76+CEART!K76+CEAVI!K76+CEFID!K76+CEO!K76+CEPLAN!K76+CERES!K76+CESFI!K76+CESMO!K76+ESAG!K76+FAED!K76</f>
        <v>5</v>
      </c>
      <c r="L76" s="13">
        <f>'REITORIA_SEMS(+BU)'!K76-'REITORIA_SEMS(+BU)'!S76+REITORIA_MUSEU!K76-REITORIA_MUSEU!S76+CAV!K76-CAV!S76+CCT!K76-CCT!S76+CEAD!K76-CEAD!S76+CEART!K76-CEART!S76+CEAVI!K76-CEAVI!S76+CEFID!K76-CEFID!S76+CEO!K76-CEO!S76+CEPLAN!K76-CEPLAN!S76+CERES!K76-CERES!S76+CESFI!K76-CESFI!S76+CESMO!K76-CESMO!S76+ESAG!K76-ESAG!S76+FAED!K76-FAED!S76</f>
        <v>3</v>
      </c>
      <c r="M76" s="136">
        <f>'REITORIA_SEMS(+BU)'!L76+REITORIA_MUSEU!L76+CAV!L76+CCT!L76+CEAD!L76+CEART!L76+CEAVI!L76+CEFID!L76+CEO!L76+CEPLAN!L76+CERES!L76+CESFI!L76+CESMO!L76+ESAG!L76+FAED!L76</f>
        <v>3</v>
      </c>
      <c r="N76" s="133">
        <f t="shared" si="7"/>
        <v>0.75</v>
      </c>
      <c r="O76" s="134">
        <f>'REITORIA_SEMS(+BU)'!P76+'REITORIA_SEMS(+BU)'!Q76+REITORIA_MUSEU!P76+REITORIA_MUSEU!Q76+CAV!P76+CAV!Q76+CCT!P76+CCT!Q76+CEAD!P76+CEAD!Q76+CEART!P76+CEART!Q76+CEAVI!P76+CEAVI!Q76+CEFID!P76+CEFID!Q76+CEO!P76+CEO!Q76+CEPLAN!P76+CEPLAN!Q76+CERES!P76+CERES!Q76+CESFI!P76+CESFI!Q76+CESMO!P76+CESMO!Q76+ESAG!P76+ESAG!Q76+FAED!P76+FAED!Q76</f>
        <v>0</v>
      </c>
      <c r="P76" s="15">
        <f t="shared" si="8"/>
        <v>2</v>
      </c>
      <c r="Q76" s="16">
        <f t="shared" si="5"/>
        <v>750</v>
      </c>
      <c r="R76" s="16">
        <f t="shared" si="9"/>
        <v>0</v>
      </c>
      <c r="S76" s="16">
        <f t="shared" si="6"/>
        <v>450</v>
      </c>
    </row>
    <row r="77" spans="1:19" ht="35.15" customHeight="1" x14ac:dyDescent="0.35">
      <c r="A77" s="209"/>
      <c r="B77" s="44">
        <v>74</v>
      </c>
      <c r="C77" s="206"/>
      <c r="D77" s="46" t="s">
        <v>30</v>
      </c>
      <c r="E77" s="48" t="s">
        <v>8</v>
      </c>
      <c r="F77" s="50" t="s">
        <v>28</v>
      </c>
      <c r="G77" s="44" t="s">
        <v>29</v>
      </c>
      <c r="H77" s="44" t="s">
        <v>8</v>
      </c>
      <c r="I77" s="44" t="s">
        <v>9</v>
      </c>
      <c r="J77" s="47">
        <v>150</v>
      </c>
      <c r="K77" s="14">
        <f>'REITORIA_SEMS(+BU)'!K77+REITORIA_MUSEU!K77+CAV!K77+CCT!K77+CEAD!K77+CEART!K77+CEAVI!K77+CEFID!K77+CEO!K77+CEPLAN!K77+CERES!K77+CESFI!K77+CESMO!K77+ESAG!K77+FAED!K77</f>
        <v>25</v>
      </c>
      <c r="L77" s="13">
        <f>'REITORIA_SEMS(+BU)'!K77-'REITORIA_SEMS(+BU)'!S77+REITORIA_MUSEU!K77-REITORIA_MUSEU!S77+CAV!K77-CAV!S77+CCT!K77-CCT!S77+CEAD!K77-CEAD!S77+CEART!K77-CEART!S77+CEAVI!K77-CEAVI!S77+CEFID!K77-CEFID!S77+CEO!K77-CEO!S77+CEPLAN!K77-CEPLAN!S77+CERES!K77-CERES!S77+CESFI!K77-CESFI!S77+CESMO!K77-CESMO!S77+ESAG!K77-ESAG!S77+FAED!K77-FAED!S77</f>
        <v>0</v>
      </c>
      <c r="M77" s="136">
        <f>'REITORIA_SEMS(+BU)'!L77+REITORIA_MUSEU!L77+CAV!L77+CCT!L77+CEAD!L77+CEART!L77+CEAVI!L77+CEFID!L77+CEO!L77+CEPLAN!L77+CERES!L77+CESFI!L77+CESMO!L77+ESAG!L77+FAED!L77</f>
        <v>0</v>
      </c>
      <c r="N77" s="133">
        <f t="shared" si="7"/>
        <v>5.75</v>
      </c>
      <c r="O77" s="134">
        <f>'REITORIA_SEMS(+BU)'!P77+'REITORIA_SEMS(+BU)'!Q77+REITORIA_MUSEU!P77+REITORIA_MUSEU!Q77+CAV!P77+CAV!Q77+CCT!P77+CCT!Q77+CEAD!P77+CEAD!Q77+CEART!P77+CEART!Q77+CEAVI!P77+CEAVI!Q77+CEFID!P77+CEFID!Q77+CEO!P77+CEO!Q77+CEPLAN!P77+CEPLAN!Q77+CERES!P77+CERES!Q77+CESFI!P77+CESFI!Q77+CESMO!P77+CESMO!Q77+ESAG!P77+ESAG!Q77+FAED!P77+FAED!Q77</f>
        <v>0</v>
      </c>
      <c r="P77" s="15">
        <f t="shared" si="8"/>
        <v>25</v>
      </c>
      <c r="Q77" s="16">
        <f t="shared" si="5"/>
        <v>3750</v>
      </c>
      <c r="R77" s="16">
        <f t="shared" si="9"/>
        <v>0</v>
      </c>
      <c r="S77" s="16">
        <f t="shared" si="6"/>
        <v>0</v>
      </c>
    </row>
    <row r="78" spans="1:19" ht="35.15" customHeight="1" x14ac:dyDescent="0.35">
      <c r="A78" s="210"/>
      <c r="B78" s="44">
        <v>75</v>
      </c>
      <c r="C78" s="207"/>
      <c r="D78" s="46" t="s">
        <v>165</v>
      </c>
      <c r="E78" s="48" t="s">
        <v>8</v>
      </c>
      <c r="F78" s="50" t="s">
        <v>28</v>
      </c>
      <c r="G78" s="44" t="s">
        <v>29</v>
      </c>
      <c r="H78" s="44" t="s">
        <v>8</v>
      </c>
      <c r="I78" s="44" t="s">
        <v>9</v>
      </c>
      <c r="J78" s="47">
        <v>300</v>
      </c>
      <c r="K78" s="14">
        <f>'REITORIA_SEMS(+BU)'!K78+REITORIA_MUSEU!K78+CAV!K78+CCT!K78+CEAD!K78+CEART!K78+CEAVI!K78+CEFID!K78+CEO!K78+CEPLAN!K78+CERES!K78+CESFI!K78+CESMO!K78+ESAG!K78+FAED!K78</f>
        <v>6</v>
      </c>
      <c r="L78" s="13">
        <f>'REITORIA_SEMS(+BU)'!K78-'REITORIA_SEMS(+BU)'!S78+REITORIA_MUSEU!K78-REITORIA_MUSEU!S78+CAV!K78-CAV!S78+CCT!K78-CCT!S78+CEAD!K78-CEAD!S78+CEART!K78-CEART!S78+CEAVI!K78-CEAVI!S78+CEFID!K78-CEFID!S78+CEO!K78-CEO!S78+CEPLAN!K78-CEPLAN!S78+CERES!K78-CERES!S78+CESFI!K78-CESFI!S78+CESMO!K78-CESMO!S78+ESAG!K78-ESAG!S78+FAED!K78-FAED!S78</f>
        <v>6</v>
      </c>
      <c r="M78" s="136">
        <f>'REITORIA_SEMS(+BU)'!L78+REITORIA_MUSEU!L78+CAV!L78+CCT!L78+CEAD!L78+CEART!L78+CEAVI!L78+CEFID!L78+CEO!L78+CEPLAN!L78+CERES!L78+CESFI!L78+CESMO!L78+ESAG!L78+FAED!L78</f>
        <v>6</v>
      </c>
      <c r="N78" s="133">
        <f t="shared" si="7"/>
        <v>1</v>
      </c>
      <c r="O78" s="134">
        <f>'REITORIA_SEMS(+BU)'!P78+'REITORIA_SEMS(+BU)'!Q78+REITORIA_MUSEU!P78+REITORIA_MUSEU!Q78+CAV!P78+CAV!Q78+CCT!P78+CCT!Q78+CEAD!P78+CEAD!Q78+CEART!P78+CEART!Q78+CEAVI!P78+CEAVI!Q78+CEFID!P78+CEFID!Q78+CEO!P78+CEO!Q78+CEPLAN!P78+CEPLAN!Q78+CERES!P78+CERES!Q78+CESFI!P78+CESFI!Q78+CESMO!P78+CESMO!Q78+ESAG!P78+ESAG!Q78+FAED!P78+FAED!Q78</f>
        <v>0</v>
      </c>
      <c r="P78" s="15">
        <f t="shared" si="8"/>
        <v>0</v>
      </c>
      <c r="Q78" s="16">
        <f t="shared" si="5"/>
        <v>1800</v>
      </c>
      <c r="R78" s="16">
        <f t="shared" si="9"/>
        <v>0</v>
      </c>
      <c r="S78" s="16">
        <f t="shared" si="6"/>
        <v>1800</v>
      </c>
    </row>
    <row r="79" spans="1:19" ht="35.15" customHeight="1" x14ac:dyDescent="0.35">
      <c r="A79" s="198" t="s">
        <v>166</v>
      </c>
      <c r="B79" s="37">
        <v>76</v>
      </c>
      <c r="C79" s="195" t="s">
        <v>33</v>
      </c>
      <c r="D79" s="34" t="s">
        <v>7</v>
      </c>
      <c r="E79" s="41" t="s">
        <v>8</v>
      </c>
      <c r="F79" s="43" t="s">
        <v>28</v>
      </c>
      <c r="G79" s="37" t="s">
        <v>29</v>
      </c>
      <c r="H79" s="37" t="s">
        <v>8</v>
      </c>
      <c r="I79" s="37" t="s">
        <v>9</v>
      </c>
      <c r="J79" s="36">
        <v>1001</v>
      </c>
      <c r="K79" s="14">
        <f>'REITORIA_SEMS(+BU)'!K79+REITORIA_MUSEU!K79+CAV!K79+CCT!K79+CEAD!K79+CEART!K79+CEAVI!K79+CEFID!K79+CEO!K79+CEPLAN!K79+CERES!K79+CESFI!K79+CESMO!K79+ESAG!K79+FAED!K79</f>
        <v>10</v>
      </c>
      <c r="L79" s="13">
        <f>'REITORIA_SEMS(+BU)'!K79-'REITORIA_SEMS(+BU)'!S79+REITORIA_MUSEU!K79-REITORIA_MUSEU!S79+CAV!K79-CAV!S79+CCT!K79-CCT!S79+CEAD!K79-CEAD!S79+CEART!K79-CEART!S79+CEAVI!K79-CEAVI!S79+CEFID!K79-CEFID!S79+CEO!K79-CEO!S79+CEPLAN!K79-CEPLAN!S79+CERES!K79-CERES!S79+CESFI!K79-CESFI!S79+CESMO!K79-CESMO!S79+ESAG!K79-ESAG!S79+FAED!K79-FAED!S79</f>
        <v>0</v>
      </c>
      <c r="M79" s="136">
        <f>'REITORIA_SEMS(+BU)'!L79+REITORIA_MUSEU!L79+CAV!L79+CCT!L79+CEAD!L79+CEART!L79+CEAVI!L79+CEFID!L79+CEO!L79+CEPLAN!L79+CERES!L79+CESFI!L79+CESMO!L79+ESAG!L79+FAED!L79</f>
        <v>0</v>
      </c>
      <c r="N79" s="133">
        <f t="shared" si="7"/>
        <v>2</v>
      </c>
      <c r="O79" s="134">
        <f>'REITORIA_SEMS(+BU)'!P79+'REITORIA_SEMS(+BU)'!Q79+REITORIA_MUSEU!P79+REITORIA_MUSEU!Q79+CAV!P79+CAV!Q79+CCT!P79+CCT!Q79+CEAD!P79+CEAD!Q79+CEART!P79+CEART!Q79+CEAVI!P79+CEAVI!Q79+CEFID!P79+CEFID!Q79+CEO!P79+CEO!Q79+CEPLAN!P79+CEPLAN!Q79+CERES!P79+CERES!Q79+CESFI!P79+CESFI!Q79+CESMO!P79+CESMO!Q79+ESAG!P79+ESAG!Q79+FAED!P79+FAED!Q79</f>
        <v>0</v>
      </c>
      <c r="P79" s="15">
        <f t="shared" si="8"/>
        <v>10</v>
      </c>
      <c r="Q79" s="16">
        <f t="shared" si="5"/>
        <v>10010</v>
      </c>
      <c r="R79" s="16">
        <f t="shared" si="9"/>
        <v>0</v>
      </c>
      <c r="S79" s="16">
        <f t="shared" si="6"/>
        <v>0</v>
      </c>
    </row>
    <row r="80" spans="1:19" ht="35.15" customHeight="1" x14ac:dyDescent="0.35">
      <c r="A80" s="199"/>
      <c r="B80" s="37">
        <v>77</v>
      </c>
      <c r="C80" s="196"/>
      <c r="D80" s="34" t="s">
        <v>12</v>
      </c>
      <c r="E80" s="41" t="s">
        <v>8</v>
      </c>
      <c r="F80" s="43" t="s">
        <v>28</v>
      </c>
      <c r="G80" s="37" t="s">
        <v>29</v>
      </c>
      <c r="H80" s="37" t="s">
        <v>34</v>
      </c>
      <c r="I80" s="37" t="s">
        <v>9</v>
      </c>
      <c r="J80" s="36">
        <v>130</v>
      </c>
      <c r="K80" s="14">
        <f>'REITORIA_SEMS(+BU)'!K80+REITORIA_MUSEU!K80+CAV!K80+CCT!K80+CEAD!K80+CEART!K80+CEAVI!K80+CEFID!K80+CEO!K80+CEPLAN!K80+CERES!K80+CESFI!K80+CESMO!K80+ESAG!K80+FAED!K80</f>
        <v>10</v>
      </c>
      <c r="L80" s="13">
        <f>'REITORIA_SEMS(+BU)'!K80-'REITORIA_SEMS(+BU)'!S80+REITORIA_MUSEU!K80-REITORIA_MUSEU!S80+CAV!K80-CAV!S80+CCT!K80-CCT!S80+CEAD!K80-CEAD!S80+CEART!K80-CEART!S80+CEAVI!K80-CEAVI!S80+CEFID!K80-CEFID!S80+CEO!K80-CEO!S80+CEPLAN!K80-CEPLAN!S80+CERES!K80-CERES!S80+CESFI!K80-CESFI!S80+CESMO!K80-CESMO!S80+ESAG!K80-ESAG!S80+FAED!K80-FAED!S80</f>
        <v>0</v>
      </c>
      <c r="M80" s="136">
        <f>'REITORIA_SEMS(+BU)'!L80+REITORIA_MUSEU!L80+CAV!L80+CCT!L80+CEAD!L80+CEART!L80+CEAVI!L80+CEFID!L80+CEO!L80+CEPLAN!L80+CERES!L80+CESFI!L80+CESMO!L80+ESAG!L80+FAED!L80</f>
        <v>0</v>
      </c>
      <c r="N80" s="133">
        <f t="shared" si="7"/>
        <v>2</v>
      </c>
      <c r="O80" s="134">
        <f>'REITORIA_SEMS(+BU)'!P80+'REITORIA_SEMS(+BU)'!Q80+REITORIA_MUSEU!P80+REITORIA_MUSEU!Q80+CAV!P80+CAV!Q80+CCT!P80+CCT!Q80+CEAD!P80+CEAD!Q80+CEART!P80+CEART!Q80+CEAVI!P80+CEAVI!Q80+CEFID!P80+CEFID!Q80+CEO!P80+CEO!Q80+CEPLAN!P80+CEPLAN!Q80+CERES!P80+CERES!Q80+CESFI!P80+CESFI!Q80+CESMO!P80+CESMO!Q80+ESAG!P80+ESAG!Q80+FAED!P80+FAED!Q80</f>
        <v>0</v>
      </c>
      <c r="P80" s="15">
        <f t="shared" si="8"/>
        <v>10</v>
      </c>
      <c r="Q80" s="16">
        <f t="shared" si="5"/>
        <v>1300</v>
      </c>
      <c r="R80" s="16">
        <f t="shared" si="9"/>
        <v>0</v>
      </c>
      <c r="S80" s="16">
        <f t="shared" si="6"/>
        <v>0</v>
      </c>
    </row>
    <row r="81" spans="1:19" ht="35.15" customHeight="1" x14ac:dyDescent="0.35">
      <c r="A81" s="200"/>
      <c r="B81" s="37">
        <v>78</v>
      </c>
      <c r="C81" s="197"/>
      <c r="D81" s="34" t="s">
        <v>157</v>
      </c>
      <c r="E81" s="41" t="s">
        <v>8</v>
      </c>
      <c r="F81" s="43" t="s">
        <v>28</v>
      </c>
      <c r="G81" s="37" t="s">
        <v>29</v>
      </c>
      <c r="H81" s="37" t="s">
        <v>8</v>
      </c>
      <c r="I81" s="37" t="s">
        <v>9</v>
      </c>
      <c r="J81" s="36">
        <v>200</v>
      </c>
      <c r="K81" s="14">
        <f>'REITORIA_SEMS(+BU)'!K81+REITORIA_MUSEU!K81+CAV!K81+CCT!K81+CEAD!K81+CEART!K81+CEAVI!K81+CEFID!K81+CEO!K81+CEPLAN!K81+CERES!K81+CESFI!K81+CESMO!K81+ESAG!K81+FAED!K81</f>
        <v>5</v>
      </c>
      <c r="L81" s="13">
        <f>'REITORIA_SEMS(+BU)'!K81-'REITORIA_SEMS(+BU)'!S81+REITORIA_MUSEU!K81-REITORIA_MUSEU!S81+CAV!K81-CAV!S81+CCT!K81-CCT!S81+CEAD!K81-CEAD!S81+CEART!K81-CEART!S81+CEAVI!K81-CEAVI!S81+CEFID!K81-CEFID!S81+CEO!K81-CEO!S81+CEPLAN!K81-CEPLAN!S81+CERES!K81-CERES!S81+CESFI!K81-CESFI!S81+CESMO!K81-CESMO!S81+ESAG!K81-ESAG!S81+FAED!K81-FAED!S81</f>
        <v>0</v>
      </c>
      <c r="M81" s="136">
        <f>'REITORIA_SEMS(+BU)'!L81+REITORIA_MUSEU!L81+CAV!L81+CCT!L81+CEAD!L81+CEART!L81+CEAVI!L81+CEFID!L81+CEO!L81+CEPLAN!L81+CERES!L81+CESFI!L81+CESMO!L81+ESAG!L81+FAED!L81</f>
        <v>0</v>
      </c>
      <c r="N81" s="133">
        <f t="shared" si="7"/>
        <v>0.75</v>
      </c>
      <c r="O81" s="134">
        <f>'REITORIA_SEMS(+BU)'!P81+'REITORIA_SEMS(+BU)'!Q81+REITORIA_MUSEU!P81+REITORIA_MUSEU!Q81+CAV!P81+CAV!Q81+CCT!P81+CCT!Q81+CEAD!P81+CEAD!Q81+CEART!P81+CEART!Q81+CEAVI!P81+CEAVI!Q81+CEFID!P81+CEFID!Q81+CEO!P81+CEO!Q81+CEPLAN!P81+CEPLAN!Q81+CERES!P81+CERES!Q81+CESFI!P81+CESFI!Q81+CESMO!P81+CESMO!Q81+ESAG!P81+ESAG!Q81+FAED!P81+FAED!Q81</f>
        <v>0</v>
      </c>
      <c r="P81" s="15">
        <f t="shared" si="8"/>
        <v>5</v>
      </c>
      <c r="Q81" s="16">
        <f t="shared" si="5"/>
        <v>1000</v>
      </c>
      <c r="R81" s="16">
        <f t="shared" si="9"/>
        <v>0</v>
      </c>
      <c r="S81" s="16">
        <f t="shared" si="6"/>
        <v>0</v>
      </c>
    </row>
    <row r="82" spans="1:19" ht="35.15" customHeight="1" thickBot="1" x14ac:dyDescent="0.4">
      <c r="J82" s="51" t="s">
        <v>47</v>
      </c>
      <c r="K82" s="51">
        <f>SUM(K4:K81)</f>
        <v>5093</v>
      </c>
      <c r="L82" s="51"/>
      <c r="M82" s="51"/>
      <c r="N82" s="51"/>
      <c r="O82" s="51"/>
      <c r="P82" s="51"/>
      <c r="Q82" s="21">
        <f>SUM(Q4:Q81)</f>
        <v>5202152.1899999995</v>
      </c>
      <c r="R82" s="21">
        <f>SUM(R4:R81)</f>
        <v>0</v>
      </c>
      <c r="S82" s="21">
        <f>SUM(S4:S81)</f>
        <v>2959003.88</v>
      </c>
    </row>
    <row r="83" spans="1:19" ht="35.15" customHeight="1" thickTop="1" x14ac:dyDescent="0.35">
      <c r="K83" s="20"/>
      <c r="L83" s="20"/>
      <c r="M83" s="20"/>
      <c r="N83" s="20"/>
      <c r="O83" s="20"/>
      <c r="P83" s="20"/>
    </row>
    <row r="84" spans="1:19" ht="76.900000000000006" customHeight="1" x14ac:dyDescent="0.35">
      <c r="K84" s="233" t="str">
        <f>D1</f>
        <v xml:space="preserve">OBJETO: AQUISIÇÃO  DE  APARELHOS  DE  AR-CONDICIONADO,  EXAUSTORES,  BOMBAS  DE  DRENO, CORTINAS  DE  AR,  VENTILADORES,  CONTROLES  REMOTOS  DE  APARELHOS  DE  AR-CONDICIONADO  E CONTRATAÇÃO   DE   SERVIÇOS   DE   INSTALAÇÃO   E   DESINSTALAÇÃO   DE EQUIPAMENTOS,   COM FORNECIMENTO DE MATERIAIS PARA A UDESC </v>
      </c>
      <c r="L84" s="234"/>
      <c r="M84" s="234"/>
      <c r="N84" s="234"/>
      <c r="O84" s="234"/>
      <c r="P84" s="234"/>
      <c r="Q84" s="234"/>
      <c r="R84" s="234"/>
      <c r="S84" s="235"/>
    </row>
    <row r="85" spans="1:19" ht="15.5" x14ac:dyDescent="0.35">
      <c r="K85" s="236" t="str">
        <f>K1</f>
        <v>VIGÊNCIA DA ATA: 16/05/2024 a 16/05/2025</v>
      </c>
      <c r="L85" s="237"/>
      <c r="M85" s="237"/>
      <c r="N85" s="237"/>
      <c r="O85" s="237"/>
      <c r="P85" s="237"/>
      <c r="Q85" s="237"/>
      <c r="R85" s="237"/>
      <c r="S85" s="238"/>
    </row>
    <row r="86" spans="1:19" ht="15.5" x14ac:dyDescent="0.35">
      <c r="K86" s="239" t="s">
        <v>46</v>
      </c>
      <c r="L86" s="240"/>
      <c r="M86" s="240"/>
      <c r="N86" s="240"/>
      <c r="O86" s="240"/>
      <c r="P86" s="240"/>
      <c r="Q86" s="241"/>
      <c r="R86" s="121"/>
      <c r="S86" s="17">
        <f>Q82</f>
        <v>5202152.1899999995</v>
      </c>
    </row>
    <row r="87" spans="1:19" ht="15.5" x14ac:dyDescent="0.35">
      <c r="K87" s="242" t="s">
        <v>15</v>
      </c>
      <c r="L87" s="243"/>
      <c r="M87" s="243"/>
      <c r="N87" s="243"/>
      <c r="O87" s="243"/>
      <c r="P87" s="243"/>
      <c r="Q87" s="244"/>
      <c r="R87" s="124"/>
      <c r="S87" s="18">
        <f>S82</f>
        <v>2959003.88</v>
      </c>
    </row>
    <row r="88" spans="1:19" ht="15.5" x14ac:dyDescent="0.35">
      <c r="K88" s="122" t="s">
        <v>206</v>
      </c>
      <c r="L88" s="123"/>
      <c r="M88" s="123"/>
      <c r="N88" s="123"/>
      <c r="O88" s="123"/>
      <c r="P88" s="123"/>
      <c r="Q88" s="124"/>
      <c r="R88" s="124"/>
      <c r="S88" s="18">
        <f>R82</f>
        <v>0</v>
      </c>
    </row>
    <row r="89" spans="1:19" ht="15.5" x14ac:dyDescent="0.35">
      <c r="K89" s="242" t="s">
        <v>16</v>
      </c>
      <c r="L89" s="243"/>
      <c r="M89" s="243"/>
      <c r="N89" s="243"/>
      <c r="O89" s="243"/>
      <c r="P89" s="243"/>
      <c r="Q89" s="244"/>
      <c r="R89" s="124"/>
      <c r="S89" s="19"/>
    </row>
    <row r="90" spans="1:19" ht="15.5" x14ac:dyDescent="0.35">
      <c r="K90" s="230" t="s">
        <v>17</v>
      </c>
      <c r="L90" s="231"/>
      <c r="M90" s="231"/>
      <c r="N90" s="231"/>
      <c r="O90" s="231"/>
      <c r="P90" s="231"/>
      <c r="Q90" s="232"/>
      <c r="R90" s="120"/>
      <c r="S90" s="163">
        <f>S87/S86</f>
        <v>0.56880378964845324</v>
      </c>
    </row>
    <row r="91" spans="1:19" ht="15.5" x14ac:dyDescent="0.35">
      <c r="K91" s="262" t="s">
        <v>373</v>
      </c>
      <c r="L91" s="263"/>
      <c r="M91" s="263"/>
      <c r="N91" s="263"/>
      <c r="O91" s="263"/>
      <c r="P91" s="263"/>
      <c r="Q91" s="263"/>
      <c r="R91" s="263"/>
      <c r="S91" s="264"/>
    </row>
  </sheetData>
  <customSheetViews>
    <customSheetView guid="{621D8238-5429-498F-AC6E-560DC77BBC2F}" scale="80">
      <selection activeCell="K4" sqref="K4"/>
      <pageMargins left="0.511811024" right="0.511811024" top="0.78740157499999996" bottom="0.78740157499999996" header="0.31496062000000002" footer="0.31496062000000002"/>
      <pageSetup paperSize="9" scale="60" orientation="landscape" r:id="rId1"/>
    </customSheetView>
    <customSheetView guid="{4F310B60-E7C4-463C-82E5-32855552E117}" scale="80">
      <selection activeCell="K4" sqref="K4"/>
      <pageMargins left="0.511811024" right="0.511811024" top="0.78740157499999996" bottom="0.78740157499999996" header="0.31496062000000002" footer="0.31496062000000002"/>
      <pageSetup paperSize="9" scale="60" orientation="landscape" r:id="rId2"/>
    </customSheetView>
    <customSheetView guid="{29377F80-2479-4EEE-B758-5B51FB237957}" scale="80">
      <selection activeCell="K20" sqref="K20"/>
      <pageMargins left="0.511811024" right="0.511811024" top="0.78740157499999996" bottom="0.78740157499999996" header="0.31496062000000002" footer="0.31496062000000002"/>
      <pageSetup paperSize="9" scale="60" orientation="landscape" r:id="rId3"/>
    </customSheetView>
    <customSheetView guid="{B9C3DAFA-017A-49F7-AED8-93B14E732368}" scale="80">
      <selection activeCell="K4" sqref="K4"/>
      <pageMargins left="0.511811024" right="0.511811024" top="0.78740157499999996" bottom="0.78740157499999996" header="0.31496062000000002" footer="0.31496062000000002"/>
      <pageSetup paperSize="9" scale="60" orientation="landscape" r:id="rId4"/>
    </customSheetView>
  </customSheetViews>
  <mergeCells count="21">
    <mergeCell ref="C69:C78"/>
    <mergeCell ref="A79:A81"/>
    <mergeCell ref="C79:C81"/>
    <mergeCell ref="A1:C1"/>
    <mergeCell ref="D1:J1"/>
    <mergeCell ref="A60:A68"/>
    <mergeCell ref="C60:C68"/>
    <mergeCell ref="A69:A78"/>
    <mergeCell ref="K1:S1"/>
    <mergeCell ref="A2:S2"/>
    <mergeCell ref="A38:A48"/>
    <mergeCell ref="C38:C48"/>
    <mergeCell ref="A49:A59"/>
    <mergeCell ref="C49:C59"/>
    <mergeCell ref="K90:Q90"/>
    <mergeCell ref="K91:S91"/>
    <mergeCell ref="K84:S84"/>
    <mergeCell ref="K85:S85"/>
    <mergeCell ref="K86:Q86"/>
    <mergeCell ref="K87:Q87"/>
    <mergeCell ref="K89:Q89"/>
  </mergeCells>
  <conditionalFormatting sqref="P4:P81 P84:P1048576">
    <cfRule type="cellIs" dxfId="15" priority="3" operator="equal">
      <formula>"ATENÇÃO"</formula>
    </cfRule>
  </conditionalFormatting>
  <pageMargins left="0.511811024" right="0.511811024" top="0.78740157499999996" bottom="0.78740157499999996" header="0.31496062000000002" footer="0.31496062000000002"/>
  <pageSetup paperSize="9" scale="60" orientation="landscape" r:id="rId5"/>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8CF3C-A60E-4972-9FF5-D63C82CBE989}">
  <dimension ref="A1:R30"/>
  <sheetViews>
    <sheetView topLeftCell="A16" zoomScale="90" zoomScaleNormal="90" workbookViewId="0">
      <selection activeCell="O4" sqref="O4"/>
    </sheetView>
  </sheetViews>
  <sheetFormatPr defaultColWidth="9.7265625" defaultRowHeight="14.5" x14ac:dyDescent="0.35"/>
  <cols>
    <col min="1" max="1" width="7.26953125" style="2" customWidth="1"/>
    <col min="2" max="2" width="21.453125" style="2" customWidth="1"/>
    <col min="3" max="3" width="47.26953125" style="2" customWidth="1"/>
    <col min="4" max="4" width="12.54296875" style="67" customWidth="1"/>
    <col min="5" max="5" width="14" style="67" customWidth="1"/>
    <col min="6" max="6" width="13.54296875" style="67" customWidth="1"/>
    <col min="7" max="7" width="11.453125" style="68" customWidth="1"/>
    <col min="8" max="8" width="13.453125" style="68" customWidth="1"/>
    <col min="9" max="9" width="16.453125" style="5" customWidth="1"/>
    <col min="10" max="10" width="17.1796875" style="2" customWidth="1"/>
    <col min="11" max="11" width="15.1796875" style="2" customWidth="1"/>
    <col min="12" max="12" width="17" style="2" customWidth="1"/>
    <col min="13" max="13" width="15.1796875" style="2" customWidth="1"/>
    <col min="14" max="14" width="16.81640625" style="2" customWidth="1"/>
    <col min="15" max="15" width="14.81640625" style="2" customWidth="1"/>
    <col min="16" max="17" width="13.7265625" style="2" customWidth="1"/>
    <col min="18" max="18" width="14" style="2" customWidth="1"/>
    <col min="19" max="16384" width="9.7265625" style="2"/>
  </cols>
  <sheetData>
    <row r="1" spans="1:18" ht="43.5" customHeight="1" x14ac:dyDescent="0.35">
      <c r="A1" s="245" t="s">
        <v>322</v>
      </c>
      <c r="B1" s="246"/>
      <c r="C1" s="248" t="s">
        <v>48</v>
      </c>
      <c r="D1" s="249"/>
      <c r="E1" s="248" t="s">
        <v>189</v>
      </c>
      <c r="F1" s="249"/>
      <c r="G1" s="249"/>
      <c r="H1" s="249"/>
      <c r="I1" s="249"/>
      <c r="J1" s="250" t="s">
        <v>309</v>
      </c>
      <c r="K1" s="251" t="s">
        <v>320</v>
      </c>
      <c r="L1" s="250" t="s">
        <v>309</v>
      </c>
      <c r="M1" s="256" t="s">
        <v>190</v>
      </c>
      <c r="N1" s="250" t="s">
        <v>309</v>
      </c>
      <c r="O1" s="251" t="s">
        <v>320</v>
      </c>
      <c r="P1" s="247" t="s">
        <v>171</v>
      </c>
      <c r="Q1" s="247" t="s">
        <v>171</v>
      </c>
      <c r="R1" s="247" t="s">
        <v>171</v>
      </c>
    </row>
    <row r="2" spans="1:18" ht="28" customHeight="1" x14ac:dyDescent="0.35">
      <c r="A2" s="252" t="s">
        <v>307</v>
      </c>
      <c r="B2" s="252"/>
      <c r="C2" s="252"/>
      <c r="D2" s="252"/>
      <c r="E2" s="252"/>
      <c r="F2" s="252"/>
      <c r="G2" s="252"/>
      <c r="H2" s="252"/>
      <c r="I2" s="253"/>
      <c r="J2" s="250"/>
      <c r="K2" s="251"/>
      <c r="L2" s="250"/>
      <c r="M2" s="256"/>
      <c r="N2" s="250"/>
      <c r="O2" s="251"/>
      <c r="P2" s="247"/>
      <c r="Q2" s="247"/>
      <c r="R2" s="247"/>
    </row>
    <row r="3" spans="1:18" ht="63" customHeight="1" x14ac:dyDescent="0.35">
      <c r="A3" s="52" t="s">
        <v>56</v>
      </c>
      <c r="B3" s="52" t="s">
        <v>57</v>
      </c>
      <c r="C3" s="52" t="s">
        <v>172</v>
      </c>
      <c r="D3" s="52" t="s">
        <v>173</v>
      </c>
      <c r="E3" s="53" t="s">
        <v>174</v>
      </c>
      <c r="F3" s="54" t="s">
        <v>175</v>
      </c>
      <c r="G3" s="55" t="s">
        <v>176</v>
      </c>
      <c r="H3" s="56" t="s">
        <v>177</v>
      </c>
      <c r="I3" s="57" t="s">
        <v>178</v>
      </c>
      <c r="J3" s="58" t="s">
        <v>310</v>
      </c>
      <c r="K3" s="58" t="s">
        <v>311</v>
      </c>
      <c r="L3" s="58" t="s">
        <v>312</v>
      </c>
      <c r="M3" s="58" t="s">
        <v>313</v>
      </c>
      <c r="N3" s="58" t="s">
        <v>314</v>
      </c>
      <c r="O3" s="58" t="s">
        <v>323</v>
      </c>
      <c r="P3" s="23" t="s">
        <v>308</v>
      </c>
      <c r="Q3" s="23" t="s">
        <v>308</v>
      </c>
      <c r="R3" s="23" t="s">
        <v>308</v>
      </c>
    </row>
    <row r="4" spans="1:18" ht="63" customHeight="1" x14ac:dyDescent="0.35">
      <c r="A4" s="160">
        <v>1</v>
      </c>
      <c r="B4" s="59" t="s">
        <v>181</v>
      </c>
      <c r="C4" s="116" t="s">
        <v>64</v>
      </c>
      <c r="D4" s="116" t="s">
        <v>65</v>
      </c>
      <c r="E4" s="117">
        <v>28</v>
      </c>
      <c r="F4" s="63">
        <f t="shared" ref="F4:F9" si="0">E4*2</f>
        <v>56</v>
      </c>
      <c r="G4" s="64">
        <f>F4-(SUM(J4:R4))</f>
        <v>56</v>
      </c>
      <c r="H4" s="65">
        <v>1670</v>
      </c>
      <c r="I4" s="65">
        <f>H4*E4</f>
        <v>46760</v>
      </c>
      <c r="J4" s="118"/>
      <c r="K4" s="118"/>
      <c r="L4" s="118"/>
      <c r="M4" s="118"/>
      <c r="N4" s="66"/>
      <c r="O4" s="119"/>
      <c r="P4" s="119"/>
      <c r="Q4" s="119"/>
      <c r="R4" s="119"/>
    </row>
    <row r="5" spans="1:18" ht="62.25" customHeight="1" x14ac:dyDescent="0.35">
      <c r="A5" s="161">
        <v>3</v>
      </c>
      <c r="B5" s="59" t="s">
        <v>181</v>
      </c>
      <c r="C5" s="60" t="s">
        <v>70</v>
      </c>
      <c r="D5" s="59" t="s">
        <v>71</v>
      </c>
      <c r="E5" s="62">
        <v>28</v>
      </c>
      <c r="F5" s="63">
        <f t="shared" si="0"/>
        <v>56</v>
      </c>
      <c r="G5" s="64">
        <f>F5-(SUM(J5:R5))</f>
        <v>52</v>
      </c>
      <c r="H5" s="65">
        <v>1802</v>
      </c>
      <c r="I5" s="16">
        <f>E5*H5</f>
        <v>50456</v>
      </c>
      <c r="J5" s="66">
        <v>4</v>
      </c>
      <c r="K5" s="66"/>
      <c r="L5" s="66"/>
      <c r="M5" s="66"/>
      <c r="N5" s="66"/>
      <c r="O5" s="66"/>
      <c r="P5" s="66"/>
      <c r="Q5" s="66"/>
      <c r="R5" s="66"/>
    </row>
    <row r="6" spans="1:18" ht="58.5" customHeight="1" x14ac:dyDescent="0.35">
      <c r="A6" s="161">
        <v>12</v>
      </c>
      <c r="B6" s="59" t="s">
        <v>184</v>
      </c>
      <c r="C6" s="60" t="s">
        <v>90</v>
      </c>
      <c r="D6" s="59" t="s">
        <v>91</v>
      </c>
      <c r="E6" s="62">
        <v>29</v>
      </c>
      <c r="F6" s="63">
        <f t="shared" si="0"/>
        <v>58</v>
      </c>
      <c r="G6" s="64">
        <f>F6-(SUM(J6:R6))</f>
        <v>55</v>
      </c>
      <c r="H6" s="65">
        <v>3617.48</v>
      </c>
      <c r="I6" s="16">
        <f t="shared" ref="I6:I11" si="1">E6*H6</f>
        <v>104906.92</v>
      </c>
      <c r="J6" s="66"/>
      <c r="K6" s="66">
        <v>3</v>
      </c>
      <c r="L6" s="66"/>
      <c r="M6" s="66"/>
      <c r="N6" s="66"/>
      <c r="O6" s="66"/>
      <c r="P6" s="66"/>
      <c r="Q6" s="66"/>
      <c r="R6" s="66"/>
    </row>
    <row r="7" spans="1:18" ht="65.25" customHeight="1" x14ac:dyDescent="0.35">
      <c r="A7" s="161">
        <v>17</v>
      </c>
      <c r="B7" s="59" t="s">
        <v>181</v>
      </c>
      <c r="C7" s="60" t="s">
        <v>101</v>
      </c>
      <c r="D7" s="59" t="s">
        <v>102</v>
      </c>
      <c r="E7" s="62">
        <v>38</v>
      </c>
      <c r="F7" s="63">
        <f t="shared" si="0"/>
        <v>76</v>
      </c>
      <c r="G7" s="64">
        <f t="shared" ref="G7:G11" si="2">F7-(SUM(J7:R7))</f>
        <v>75</v>
      </c>
      <c r="H7" s="65">
        <v>7499</v>
      </c>
      <c r="I7" s="16">
        <f t="shared" si="1"/>
        <v>284962</v>
      </c>
      <c r="J7" s="66">
        <v>1</v>
      </c>
      <c r="K7" s="66"/>
      <c r="L7" s="66"/>
      <c r="M7" s="66"/>
      <c r="N7" s="66"/>
      <c r="O7" s="66"/>
      <c r="P7" s="66"/>
      <c r="Q7" s="66"/>
      <c r="R7" s="66"/>
    </row>
    <row r="8" spans="1:18" ht="75.75" customHeight="1" x14ac:dyDescent="0.35">
      <c r="A8" s="161">
        <v>18</v>
      </c>
      <c r="B8" s="59" t="s">
        <v>184</v>
      </c>
      <c r="C8" s="85" t="s">
        <v>105</v>
      </c>
      <c r="D8" s="59" t="s">
        <v>106</v>
      </c>
      <c r="E8" s="62">
        <v>48</v>
      </c>
      <c r="F8" s="63">
        <f t="shared" si="0"/>
        <v>96</v>
      </c>
      <c r="G8" s="64">
        <f t="shared" si="2"/>
        <v>89</v>
      </c>
      <c r="H8" s="65">
        <v>9553.2000000000007</v>
      </c>
      <c r="I8" s="16">
        <f>E8*H8</f>
        <v>458553.60000000003</v>
      </c>
      <c r="J8" s="66"/>
      <c r="K8" s="66"/>
      <c r="L8" s="66"/>
      <c r="M8" s="66">
        <v>7</v>
      </c>
      <c r="N8" s="66"/>
      <c r="O8" s="66"/>
      <c r="P8" s="66"/>
      <c r="Q8" s="66"/>
      <c r="R8" s="66"/>
    </row>
    <row r="9" spans="1:18" ht="75.75" customHeight="1" x14ac:dyDescent="0.35">
      <c r="A9" s="161">
        <v>19</v>
      </c>
      <c r="B9" s="35" t="s">
        <v>181</v>
      </c>
      <c r="C9" s="85" t="s">
        <v>108</v>
      </c>
      <c r="D9" s="59" t="s">
        <v>109</v>
      </c>
      <c r="E9" s="62">
        <v>23</v>
      </c>
      <c r="F9" s="63">
        <f t="shared" si="0"/>
        <v>46</v>
      </c>
      <c r="G9" s="64">
        <f t="shared" si="2"/>
        <v>44</v>
      </c>
      <c r="H9" s="65">
        <v>8608</v>
      </c>
      <c r="I9" s="16">
        <f>E9*H9</f>
        <v>197984</v>
      </c>
      <c r="J9" s="66"/>
      <c r="K9" s="66"/>
      <c r="L9" s="66"/>
      <c r="M9" s="66"/>
      <c r="N9" s="66"/>
      <c r="O9" s="66">
        <v>2</v>
      </c>
      <c r="P9" s="66"/>
      <c r="Q9" s="66"/>
      <c r="R9" s="66"/>
    </row>
    <row r="10" spans="1:18" ht="82.5" customHeight="1" x14ac:dyDescent="0.35">
      <c r="A10" s="158">
        <v>21</v>
      </c>
      <c r="B10" s="35" t="s">
        <v>181</v>
      </c>
      <c r="C10" s="159" t="s">
        <v>113</v>
      </c>
      <c r="D10" s="35" t="s">
        <v>114</v>
      </c>
      <c r="E10" s="62">
        <v>21</v>
      </c>
      <c r="F10" s="63">
        <f t="shared" ref="F10:F11" si="3">E10*2</f>
        <v>42</v>
      </c>
      <c r="G10" s="64">
        <f t="shared" si="2"/>
        <v>34</v>
      </c>
      <c r="H10" s="65">
        <v>10968</v>
      </c>
      <c r="I10" s="16">
        <f t="shared" si="1"/>
        <v>230328</v>
      </c>
      <c r="J10" s="66">
        <v>4</v>
      </c>
      <c r="K10" s="66"/>
      <c r="L10" s="66">
        <v>2</v>
      </c>
      <c r="M10" s="66"/>
      <c r="N10" s="66">
        <v>2</v>
      </c>
      <c r="O10" s="66"/>
      <c r="P10" s="66"/>
      <c r="Q10" s="66"/>
      <c r="R10" s="66"/>
    </row>
    <row r="11" spans="1:18" ht="71.25" customHeight="1" x14ac:dyDescent="0.35">
      <c r="A11" s="162">
        <v>42</v>
      </c>
      <c r="B11" s="59" t="s">
        <v>183</v>
      </c>
      <c r="C11" s="105" t="s">
        <v>157</v>
      </c>
      <c r="D11" s="106" t="s">
        <v>8</v>
      </c>
      <c r="E11" s="97">
        <v>231</v>
      </c>
      <c r="F11" s="63">
        <f t="shared" si="3"/>
        <v>462</v>
      </c>
      <c r="G11" s="64">
        <f t="shared" si="2"/>
        <v>460</v>
      </c>
      <c r="H11" s="98">
        <v>350</v>
      </c>
      <c r="I11" s="16">
        <f t="shared" si="1"/>
        <v>80850</v>
      </c>
      <c r="J11" s="99"/>
      <c r="K11" s="66">
        <v>2</v>
      </c>
      <c r="L11" s="66"/>
      <c r="M11" s="66"/>
      <c r="N11" s="66"/>
      <c r="O11" s="66"/>
      <c r="P11" s="66"/>
      <c r="Q11" s="66"/>
      <c r="R11" s="66"/>
    </row>
    <row r="12" spans="1:18" ht="18.399999999999999" customHeight="1" x14ac:dyDescent="0.35">
      <c r="A12" s="100"/>
      <c r="B12" s="100"/>
      <c r="C12" s="100"/>
      <c r="D12" s="100"/>
      <c r="E12" s="101"/>
      <c r="F12" s="63"/>
      <c r="G12" s="64"/>
      <c r="H12" s="65"/>
      <c r="I12" s="16"/>
      <c r="J12" s="100"/>
      <c r="K12" s="66"/>
      <c r="L12" s="66"/>
      <c r="M12" s="66"/>
      <c r="N12" s="66"/>
      <c r="O12" s="66"/>
      <c r="P12" s="66"/>
      <c r="Q12" s="66"/>
      <c r="R12" s="66"/>
    </row>
    <row r="13" spans="1:18" x14ac:dyDescent="0.35">
      <c r="H13" s="69">
        <f>SUM(H5:H11)</f>
        <v>42397.68</v>
      </c>
      <c r="I13" s="70">
        <f>SUM(I5:I11)</f>
        <v>1408040.52</v>
      </c>
      <c r="J13" s="102">
        <f>SUMPRODUCT($H$5:$H$11,J5:J11)</f>
        <v>58579</v>
      </c>
      <c r="K13" s="103">
        <f t="shared" ref="K13:R13" si="4">SUMPRODUCT($H$5:$H$12,K5:K12)</f>
        <v>11552.44</v>
      </c>
      <c r="L13" s="71">
        <f t="shared" si="4"/>
        <v>21936</v>
      </c>
      <c r="M13" s="71">
        <f t="shared" si="4"/>
        <v>66872.400000000009</v>
      </c>
      <c r="N13" s="71">
        <f t="shared" si="4"/>
        <v>21936</v>
      </c>
      <c r="O13" s="71">
        <f t="shared" si="4"/>
        <v>17216</v>
      </c>
      <c r="P13" s="71">
        <f t="shared" si="4"/>
        <v>0</v>
      </c>
      <c r="Q13" s="71">
        <f t="shared" si="4"/>
        <v>0</v>
      </c>
      <c r="R13" s="71">
        <f t="shared" si="4"/>
        <v>0</v>
      </c>
    </row>
    <row r="14" spans="1:18" x14ac:dyDescent="0.35">
      <c r="I14" s="72"/>
      <c r="J14" s="73"/>
      <c r="K14" s="73"/>
      <c r="L14" s="73"/>
      <c r="M14" s="73"/>
      <c r="N14" s="73"/>
      <c r="O14" s="73"/>
      <c r="P14" s="73"/>
      <c r="Q14" s="73"/>
      <c r="R14" s="73"/>
    </row>
    <row r="15" spans="1:18" x14ac:dyDescent="0.35">
      <c r="I15" s="72"/>
      <c r="J15" s="73"/>
      <c r="K15" s="73"/>
      <c r="L15" s="73"/>
      <c r="M15" s="73"/>
      <c r="N15" s="73"/>
      <c r="O15" s="73"/>
      <c r="P15" s="73"/>
      <c r="Q15" s="73"/>
      <c r="R15" s="73"/>
    </row>
    <row r="16" spans="1:18" x14ac:dyDescent="0.35">
      <c r="F16" s="257" t="str">
        <f>A1</f>
        <v>PE 0612/2024 SRP - (SGPE DE ORIGEM: 42405/2023)</v>
      </c>
      <c r="G16" s="257"/>
      <c r="H16" s="257"/>
      <c r="I16" s="257"/>
      <c r="J16" s="73"/>
      <c r="K16" s="73"/>
      <c r="L16" s="73"/>
      <c r="M16" s="73"/>
      <c r="N16" s="73"/>
      <c r="O16" s="73"/>
      <c r="P16" s="73"/>
      <c r="Q16" s="73"/>
      <c r="R16" s="73"/>
    </row>
    <row r="17" spans="4:18" x14ac:dyDescent="0.35">
      <c r="F17" s="257" t="str">
        <f>C1</f>
        <v xml:space="preserve">OBJETO: AQUISIÇÃO  DE  APARELHOS  DE  AR-CONDICIONADO,  EXAUSTORES,  BOMBAS  DE  DRENO, CORTINAS  DE  AR,  VENTILADORES,  CONTROLES  REMOTOS  DE  APARELHOS  DE  AR-CONDICIONADO  E CONTRATAÇÃO   DE   SERVIÇOS   DE   INSTALAÇÃO   E   DESINSTALAÇÃO   DE EQUIPAMENTOS,   COM FORNECIMENTO DE MATERIAIS PARA A UDESC </v>
      </c>
      <c r="G17" s="257"/>
      <c r="H17" s="257"/>
      <c r="I17" s="257"/>
      <c r="J17" s="73"/>
      <c r="K17" s="73"/>
      <c r="L17" s="73"/>
      <c r="M17" s="73"/>
      <c r="N17" s="73"/>
      <c r="O17" s="73"/>
      <c r="P17" s="73"/>
      <c r="Q17" s="73"/>
      <c r="R17" s="73"/>
    </row>
    <row r="18" spans="4:18" x14ac:dyDescent="0.35">
      <c r="F18" s="257" t="str">
        <f>E1</f>
        <v>VIGÊNCIA DA ATA: 16/05/2024 até 16/05/2025</v>
      </c>
      <c r="G18" s="257"/>
      <c r="H18" s="257"/>
      <c r="I18" s="257"/>
      <c r="J18" s="73"/>
      <c r="K18" s="73"/>
      <c r="L18" s="73"/>
      <c r="M18" s="73"/>
      <c r="N18" s="73"/>
      <c r="O18" s="73"/>
      <c r="P18" s="73"/>
      <c r="Q18" s="73"/>
      <c r="R18" s="73"/>
    </row>
    <row r="19" spans="4:18" x14ac:dyDescent="0.35">
      <c r="D19" s="2"/>
      <c r="F19" s="258" t="s">
        <v>46</v>
      </c>
      <c r="G19" s="259"/>
      <c r="H19" s="259"/>
      <c r="I19" s="74">
        <f>I13</f>
        <v>1408040.52</v>
      </c>
      <c r="J19" s="73"/>
      <c r="K19" s="73"/>
      <c r="L19" s="73"/>
      <c r="M19" s="73"/>
      <c r="N19" s="73"/>
      <c r="O19" s="73"/>
      <c r="P19" s="73"/>
      <c r="Q19" s="73"/>
      <c r="R19" s="73"/>
    </row>
    <row r="20" spans="4:18" x14ac:dyDescent="0.35">
      <c r="D20" s="2"/>
      <c r="F20" s="260" t="s">
        <v>179</v>
      </c>
      <c r="G20" s="261"/>
      <c r="H20" s="261"/>
      <c r="I20" s="75">
        <f>SUM(J13:R13)</f>
        <v>198091.84000000003</v>
      </c>
      <c r="J20" s="73"/>
      <c r="K20" s="73"/>
      <c r="L20" s="73"/>
      <c r="M20" s="73"/>
      <c r="N20" s="73"/>
      <c r="O20" s="73"/>
      <c r="P20" s="73"/>
      <c r="Q20" s="73"/>
      <c r="R20" s="73"/>
    </row>
    <row r="21" spans="4:18" x14ac:dyDescent="0.35">
      <c r="D21" s="2"/>
      <c r="F21" s="76" t="s">
        <v>180</v>
      </c>
      <c r="G21" s="77"/>
      <c r="H21" s="77"/>
      <c r="I21" s="78">
        <f>I20/I19</f>
        <v>0.1406861785483276</v>
      </c>
      <c r="J21" s="73"/>
      <c r="K21" s="73"/>
      <c r="L21" s="73"/>
      <c r="M21" s="73"/>
      <c r="N21" s="73"/>
      <c r="O21" s="73"/>
      <c r="P21" s="73"/>
      <c r="Q21" s="73"/>
      <c r="R21" s="73"/>
    </row>
    <row r="22" spans="4:18" x14ac:dyDescent="0.35">
      <c r="D22" s="2"/>
      <c r="F22" s="254" t="s">
        <v>321</v>
      </c>
      <c r="G22" s="255"/>
      <c r="H22" s="255"/>
      <c r="I22" s="255"/>
      <c r="J22" s="73"/>
      <c r="K22" s="73"/>
      <c r="L22" s="73"/>
      <c r="M22" s="73"/>
      <c r="N22" s="73"/>
      <c r="O22" s="73"/>
      <c r="P22" s="73"/>
      <c r="Q22" s="73"/>
      <c r="R22" s="73"/>
    </row>
    <row r="23" spans="4:18" x14ac:dyDescent="0.35">
      <c r="D23" s="2"/>
      <c r="J23" s="73"/>
      <c r="K23" s="73"/>
      <c r="L23" s="73"/>
      <c r="M23" s="73"/>
      <c r="N23" s="73"/>
      <c r="O23" s="73"/>
      <c r="P23" s="73"/>
      <c r="Q23" s="73"/>
      <c r="R23" s="73"/>
    </row>
    <row r="24" spans="4:18" x14ac:dyDescent="0.35">
      <c r="D24" s="2"/>
      <c r="J24" s="73"/>
      <c r="K24" s="73"/>
      <c r="L24" s="73"/>
      <c r="M24" s="73"/>
      <c r="N24" s="73"/>
      <c r="O24" s="73"/>
      <c r="P24" s="73"/>
      <c r="Q24" s="73"/>
      <c r="R24" s="73"/>
    </row>
    <row r="25" spans="4:18" x14ac:dyDescent="0.35">
      <c r="D25" s="2"/>
      <c r="J25" s="73"/>
      <c r="K25" s="73"/>
      <c r="L25" s="73"/>
      <c r="M25" s="73"/>
      <c r="N25" s="73"/>
      <c r="O25" s="73"/>
      <c r="P25" s="73"/>
      <c r="Q25" s="73"/>
      <c r="R25" s="73"/>
    </row>
    <row r="26" spans="4:18" x14ac:dyDescent="0.35">
      <c r="J26" s="73"/>
      <c r="K26" s="73"/>
      <c r="L26" s="73"/>
      <c r="M26" s="73"/>
      <c r="N26" s="73"/>
      <c r="O26" s="73"/>
      <c r="P26" s="73"/>
      <c r="Q26" s="73"/>
      <c r="R26" s="73"/>
    </row>
    <row r="27" spans="4:18" x14ac:dyDescent="0.35">
      <c r="J27" s="73"/>
      <c r="K27" s="73"/>
      <c r="L27" s="73"/>
      <c r="M27" s="73"/>
      <c r="N27" s="73"/>
      <c r="O27" s="73"/>
      <c r="P27" s="73"/>
      <c r="Q27" s="73"/>
      <c r="R27" s="73"/>
    </row>
    <row r="28" spans="4:18" x14ac:dyDescent="0.35">
      <c r="J28" s="73"/>
      <c r="K28" s="73"/>
      <c r="L28" s="73"/>
      <c r="M28" s="73"/>
      <c r="N28" s="73"/>
      <c r="O28" s="73"/>
      <c r="P28" s="73"/>
      <c r="Q28" s="73"/>
      <c r="R28" s="73"/>
    </row>
    <row r="29" spans="4:18" x14ac:dyDescent="0.35">
      <c r="J29" s="73"/>
      <c r="K29" s="73"/>
      <c r="L29" s="73"/>
      <c r="M29" s="73"/>
      <c r="N29" s="73"/>
      <c r="O29" s="73"/>
      <c r="P29" s="73"/>
      <c r="Q29" s="73"/>
      <c r="R29" s="73"/>
    </row>
    <row r="30" spans="4:18" x14ac:dyDescent="0.35">
      <c r="J30" s="79"/>
      <c r="K30" s="79"/>
      <c r="L30" s="79"/>
      <c r="M30" s="79"/>
      <c r="N30" s="79"/>
      <c r="O30" s="79"/>
      <c r="P30" s="79"/>
      <c r="Q30" s="79"/>
      <c r="R30" s="79"/>
    </row>
  </sheetData>
  <mergeCells count="19">
    <mergeCell ref="F22:I22"/>
    <mergeCell ref="M1:M2"/>
    <mergeCell ref="N1:N2"/>
    <mergeCell ref="O1:O2"/>
    <mergeCell ref="P1:P2"/>
    <mergeCell ref="F16:I16"/>
    <mergeCell ref="F17:I17"/>
    <mergeCell ref="F18:I18"/>
    <mergeCell ref="F19:H19"/>
    <mergeCell ref="F20:H20"/>
    <mergeCell ref="A1:B1"/>
    <mergeCell ref="Q1:Q2"/>
    <mergeCell ref="R1:R2"/>
    <mergeCell ref="E1:I1"/>
    <mergeCell ref="J1:J2"/>
    <mergeCell ref="K1:K2"/>
    <mergeCell ref="L1:L2"/>
    <mergeCell ref="C1:D1"/>
    <mergeCell ref="A2:I2"/>
  </mergeCells>
  <conditionalFormatting sqref="J10 K12:R12">
    <cfRule type="cellIs" dxfId="14" priority="4" operator="greaterThan">
      <formula>$E$10/2</formula>
    </cfRule>
  </conditionalFormatting>
  <conditionalFormatting sqref="J14">
    <cfRule type="cellIs" dxfId="13" priority="30" operator="greaterThan">
      <formula>#REF!/2</formula>
    </cfRule>
  </conditionalFormatting>
  <conditionalFormatting sqref="J15">
    <cfRule type="cellIs" dxfId="12" priority="29" operator="greaterThan">
      <formula>#REF!/2</formula>
    </cfRule>
  </conditionalFormatting>
  <conditionalFormatting sqref="J23:J26">
    <cfRule type="cellIs" dxfId="11" priority="25" operator="greaterThan">
      <formula>#REF!/2</formula>
    </cfRule>
  </conditionalFormatting>
  <conditionalFormatting sqref="J7:R11">
    <cfRule type="cellIs" dxfId="10" priority="6" operator="greaterThan">
      <formula>$E$7/2</formula>
    </cfRule>
  </conditionalFormatting>
  <conditionalFormatting sqref="J14:R29 J5:M5 O5:R5 J6:R11 K12:R12">
    <cfRule type="cellIs" dxfId="9" priority="31" operator="greaterThan">
      <formula>0</formula>
    </cfRule>
  </conditionalFormatting>
  <conditionalFormatting sqref="J14:R29">
    <cfRule type="cellIs" dxfId="8" priority="32" stopIfTrue="1" operator="greaterThan">
      <formula>0</formula>
    </cfRule>
    <cfRule type="cellIs" dxfId="7" priority="33" stopIfTrue="1" operator="greaterThan">
      <formula>0</formula>
    </cfRule>
    <cfRule type="cellIs" dxfId="6" priority="34" stopIfTrue="1" operator="greaterThan">
      <formula>0</formula>
    </cfRule>
  </conditionalFormatting>
  <conditionalFormatting sqref="J27:R29">
    <cfRule type="cellIs" dxfId="5" priority="21" operator="greaterThan">
      <formula>#REF!/2</formula>
    </cfRule>
  </conditionalFormatting>
  <conditionalFormatting sqref="K5:M5 O5:R5 J5:J6">
    <cfRule type="cellIs" dxfId="4" priority="8" operator="greaterThan">
      <formula>$E$5/2</formula>
    </cfRule>
  </conditionalFormatting>
  <conditionalFormatting sqref="K6:R6">
    <cfRule type="cellIs" dxfId="3" priority="7" operator="greaterThan">
      <formula>$E$5/2</formula>
    </cfRule>
  </conditionalFormatting>
  <conditionalFormatting sqref="K14:R15 J16:R22 K23:R26">
    <cfRule type="cellIs" dxfId="2" priority="27" operator="greaterThan">
      <formula>#REF!/2</formula>
    </cfRule>
  </conditionalFormatting>
  <conditionalFormatting sqref="N4:N5">
    <cfRule type="cellIs" dxfId="1" priority="1" operator="greaterThan">
      <formula>$E$5/2</formula>
    </cfRule>
    <cfRule type="cellIs" dxfId="0" priority="2" operator="greaterThan">
      <formula>0</formula>
    </cfRule>
  </conditionalFormatting>
  <pageMargins left="0.511811024" right="0.511811024" top="0.78740157499999996" bottom="0.78740157499999996" header="0.31496062000000002" footer="0.31496062000000002"/>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F5169-C347-4B35-BF77-5A9AC4478487}">
  <dimension ref="A1:AH101"/>
  <sheetViews>
    <sheetView topLeftCell="A46" zoomScale="80" zoomScaleNormal="80" workbookViewId="0">
      <selection activeCell="B45" sqref="B45"/>
    </sheetView>
  </sheetViews>
  <sheetFormatPr defaultColWidth="9.7265625" defaultRowHeight="30.25" customHeight="1" x14ac:dyDescent="0.35"/>
  <cols>
    <col min="1" max="1" width="8.453125" style="1" customWidth="1"/>
    <col min="2" max="2" width="7.54296875" style="1" customWidth="1"/>
    <col min="3" max="3" width="20.81640625" style="1" customWidth="1"/>
    <col min="4" max="4" width="25.54296875" style="3" customWidth="1"/>
    <col min="5" max="5" width="13.81640625" style="1" customWidth="1"/>
    <col min="6" max="6" width="11.81640625" style="1" hidden="1" customWidth="1"/>
    <col min="7" max="7" width="15" style="1" hidden="1" customWidth="1"/>
    <col min="8" max="8" width="8.26953125" style="1" customWidth="1"/>
    <col min="9" max="9" width="12.7265625" style="1" customWidth="1"/>
    <col min="10" max="10" width="12.1796875" style="3" customWidth="1"/>
    <col min="11" max="11" width="13.54296875" style="4" customWidth="1"/>
    <col min="12" max="12" width="14.54296875" style="4" customWidth="1"/>
    <col min="13" max="13" width="12.26953125" style="4" customWidth="1"/>
    <col min="14" max="14" width="12.453125" style="4" customWidth="1"/>
    <col min="15" max="15" width="12.1796875" style="4" customWidth="1"/>
    <col min="16" max="17" width="12.453125" style="4" customWidth="1"/>
    <col min="18" max="18" width="14" style="4" customWidth="1"/>
    <col min="19" max="19" width="13.26953125" style="12" customWidth="1"/>
    <col min="20" max="20" width="12.453125" style="5" customWidth="1"/>
    <col min="21" max="23" width="17.26953125" style="6" bestFit="1" customWidth="1"/>
    <col min="24" max="24" width="14.1796875" style="6" customWidth="1"/>
    <col min="25" max="25" width="15.1796875" style="6" customWidth="1"/>
    <col min="26" max="26" width="12.453125" style="6" customWidth="1"/>
    <col min="27" max="27" width="13.26953125" style="6" customWidth="1"/>
    <col min="28" max="28" width="12.7265625" style="6" customWidth="1"/>
    <col min="29" max="29" width="12" style="6" customWidth="1"/>
    <col min="30" max="30" width="12.7265625" style="6" customWidth="1"/>
    <col min="31" max="31" width="13.81640625" style="6" customWidth="1"/>
    <col min="32" max="32" width="13.453125" style="6" customWidth="1"/>
    <col min="33" max="33" width="12.453125" style="2" customWidth="1"/>
    <col min="34" max="34" width="13.7265625" style="2" customWidth="1"/>
    <col min="35" max="16384" width="9.7265625" style="2"/>
  </cols>
  <sheetData>
    <row r="1" spans="1:34" ht="54.4" customHeight="1" x14ac:dyDescent="0.35">
      <c r="A1" s="202" t="s">
        <v>52</v>
      </c>
      <c r="B1" s="203"/>
      <c r="C1" s="204"/>
      <c r="D1" s="211" t="s">
        <v>48</v>
      </c>
      <c r="E1" s="212"/>
      <c r="F1" s="212"/>
      <c r="G1" s="212"/>
      <c r="H1" s="212"/>
      <c r="I1" s="212"/>
      <c r="J1" s="213"/>
      <c r="K1" s="201" t="s">
        <v>49</v>
      </c>
      <c r="L1" s="201"/>
      <c r="M1" s="201"/>
      <c r="N1" s="201"/>
      <c r="O1" s="201"/>
      <c r="P1" s="201"/>
      <c r="Q1" s="201"/>
      <c r="R1" s="201"/>
      <c r="S1" s="201"/>
      <c r="T1" s="201"/>
      <c r="U1" s="219" t="s">
        <v>185</v>
      </c>
      <c r="V1" s="219" t="s">
        <v>186</v>
      </c>
      <c r="W1" s="219" t="s">
        <v>188</v>
      </c>
      <c r="X1" s="219" t="s">
        <v>195</v>
      </c>
      <c r="Y1" s="219" t="s">
        <v>203</v>
      </c>
      <c r="Z1" s="217" t="s">
        <v>51</v>
      </c>
      <c r="AA1" s="217" t="s">
        <v>51</v>
      </c>
      <c r="AB1" s="217" t="s">
        <v>51</v>
      </c>
      <c r="AC1" s="217" t="s">
        <v>51</v>
      </c>
      <c r="AD1" s="217" t="s">
        <v>51</v>
      </c>
      <c r="AE1" s="217" t="s">
        <v>51</v>
      </c>
      <c r="AF1" s="217" t="s">
        <v>51</v>
      </c>
      <c r="AG1" s="217" t="s">
        <v>51</v>
      </c>
      <c r="AH1" s="217" t="s">
        <v>51</v>
      </c>
    </row>
    <row r="2" spans="1:34" ht="25" customHeight="1" x14ac:dyDescent="0.35">
      <c r="A2" s="211" t="s">
        <v>167</v>
      </c>
      <c r="B2" s="212"/>
      <c r="C2" s="212"/>
      <c r="D2" s="212"/>
      <c r="E2" s="212"/>
      <c r="F2" s="212"/>
      <c r="G2" s="212"/>
      <c r="H2" s="212"/>
      <c r="I2" s="212"/>
      <c r="J2" s="213"/>
      <c r="K2" s="214" t="s">
        <v>62</v>
      </c>
      <c r="L2" s="215"/>
      <c r="M2" s="215"/>
      <c r="N2" s="215"/>
      <c r="O2" s="215"/>
      <c r="P2" s="215"/>
      <c r="Q2" s="215"/>
      <c r="R2" s="215"/>
      <c r="S2" s="215"/>
      <c r="T2" s="216"/>
      <c r="U2" s="220"/>
      <c r="V2" s="220"/>
      <c r="W2" s="220"/>
      <c r="X2" s="220"/>
      <c r="Y2" s="220"/>
      <c r="Z2" s="218"/>
      <c r="AA2" s="218"/>
      <c r="AB2" s="218"/>
      <c r="AC2" s="218"/>
      <c r="AD2" s="218"/>
      <c r="AE2" s="218"/>
      <c r="AF2" s="218"/>
      <c r="AG2" s="218"/>
      <c r="AH2" s="218"/>
    </row>
    <row r="3" spans="1:34" s="3" customFormat="1" ht="38.15" customHeight="1" x14ac:dyDescent="0.25">
      <c r="A3" s="7" t="s">
        <v>3</v>
      </c>
      <c r="B3" s="7" t="s">
        <v>56</v>
      </c>
      <c r="C3" s="7" t="s">
        <v>57</v>
      </c>
      <c r="D3" s="8" t="s">
        <v>58</v>
      </c>
      <c r="E3" s="8" t="s">
        <v>59</v>
      </c>
      <c r="F3" s="8" t="s">
        <v>18</v>
      </c>
      <c r="G3" s="8" t="s">
        <v>19</v>
      </c>
      <c r="H3" s="8" t="s">
        <v>60</v>
      </c>
      <c r="I3" s="8" t="s">
        <v>61</v>
      </c>
      <c r="J3" s="9" t="s">
        <v>50</v>
      </c>
      <c r="K3" s="10" t="s">
        <v>4</v>
      </c>
      <c r="L3" s="52" t="s">
        <v>207</v>
      </c>
      <c r="M3" s="52" t="s">
        <v>208</v>
      </c>
      <c r="N3" s="52" t="s">
        <v>209</v>
      </c>
      <c r="O3" s="52" t="s">
        <v>210</v>
      </c>
      <c r="P3" s="52" t="s">
        <v>211</v>
      </c>
      <c r="Q3" s="52" t="s">
        <v>213</v>
      </c>
      <c r="R3" s="52" t="s">
        <v>214</v>
      </c>
      <c r="S3" s="11" t="s">
        <v>0</v>
      </c>
      <c r="T3" s="7" t="s">
        <v>2</v>
      </c>
      <c r="U3" s="58">
        <v>45467</v>
      </c>
      <c r="V3" s="58">
        <v>45467</v>
      </c>
      <c r="W3" s="58">
        <v>45492</v>
      </c>
      <c r="X3" s="58">
        <v>45547</v>
      </c>
      <c r="Y3" s="58">
        <v>45579</v>
      </c>
      <c r="Z3" s="23" t="s">
        <v>1</v>
      </c>
      <c r="AA3" s="23" t="s">
        <v>1</v>
      </c>
      <c r="AB3" s="23" t="s">
        <v>1</v>
      </c>
      <c r="AC3" s="23" t="s">
        <v>1</v>
      </c>
      <c r="AD3" s="23" t="s">
        <v>1</v>
      </c>
      <c r="AE3" s="23" t="s">
        <v>1</v>
      </c>
      <c r="AF3" s="23" t="s">
        <v>1</v>
      </c>
      <c r="AG3" s="23" t="s">
        <v>1</v>
      </c>
      <c r="AH3" s="23" t="s">
        <v>1</v>
      </c>
    </row>
    <row r="4" spans="1:34" ht="30.25" customHeight="1" x14ac:dyDescent="0.35">
      <c r="A4" s="37">
        <v>1</v>
      </c>
      <c r="B4" s="37">
        <v>1</v>
      </c>
      <c r="C4" s="35" t="s">
        <v>63</v>
      </c>
      <c r="D4" s="34" t="s">
        <v>64</v>
      </c>
      <c r="E4" s="35" t="s">
        <v>65</v>
      </c>
      <c r="F4" s="35" t="s">
        <v>20</v>
      </c>
      <c r="G4" s="35" t="s">
        <v>66</v>
      </c>
      <c r="H4" s="35" t="s">
        <v>5</v>
      </c>
      <c r="I4" s="35" t="s">
        <v>6</v>
      </c>
      <c r="J4" s="36">
        <v>1670</v>
      </c>
      <c r="K4" s="27">
        <f>0</f>
        <v>0</v>
      </c>
      <c r="L4" s="127">
        <f>IF(SUM(U4:AL4)&gt;K4+N4,K4+N4,SUM(U4:AL4))</f>
        <v>0</v>
      </c>
      <c r="M4" s="127">
        <f>(SUM(U4:AL4))</f>
        <v>0</v>
      </c>
      <c r="N4" s="128"/>
      <c r="O4" s="129">
        <f>ROUND(IF(K4*0.25-0.5&lt;0,0,K4*0.25-0.5),0)-R4-P4</f>
        <v>0</v>
      </c>
      <c r="P4" s="128"/>
      <c r="Q4" s="128"/>
      <c r="R4" s="128"/>
      <c r="S4" s="26">
        <f>K4-SUM(U4:AH4)+N4</f>
        <v>0</v>
      </c>
      <c r="T4" s="25" t="str">
        <f>IF(S4&lt;0,"ATENÇÃO","OK")</f>
        <v>OK</v>
      </c>
      <c r="U4" s="22"/>
      <c r="V4" s="22"/>
      <c r="W4" s="22"/>
      <c r="X4" s="22"/>
      <c r="Y4" s="24"/>
      <c r="Z4" s="24"/>
      <c r="AA4" s="24"/>
      <c r="AB4" s="22"/>
      <c r="AC4" s="22"/>
      <c r="AD4" s="22"/>
      <c r="AE4" s="22"/>
      <c r="AF4" s="22"/>
      <c r="AG4" s="22"/>
      <c r="AH4" s="22"/>
    </row>
    <row r="5" spans="1:34" ht="30.25" customHeight="1" x14ac:dyDescent="0.35">
      <c r="A5" s="44">
        <v>2</v>
      </c>
      <c r="B5" s="44">
        <v>2</v>
      </c>
      <c r="C5" s="45" t="s">
        <v>67</v>
      </c>
      <c r="D5" s="46" t="s">
        <v>68</v>
      </c>
      <c r="E5" s="45" t="s">
        <v>69</v>
      </c>
      <c r="F5" s="45" t="s">
        <v>20</v>
      </c>
      <c r="G5" s="45" t="s">
        <v>66</v>
      </c>
      <c r="H5" s="45" t="s">
        <v>5</v>
      </c>
      <c r="I5" s="45" t="s">
        <v>6</v>
      </c>
      <c r="J5" s="47">
        <v>1651.67</v>
      </c>
      <c r="K5" s="27">
        <f>0</f>
        <v>0</v>
      </c>
      <c r="L5" s="127">
        <f t="shared" ref="L5:L68" si="0">IF(SUM(U5:AL5)&gt;K5+N5,K5+N5,SUM(U5:AL5))</f>
        <v>0</v>
      </c>
      <c r="M5" s="127">
        <f t="shared" ref="M5:M68" si="1">(SUM(U5:AL5))</f>
        <v>0</v>
      </c>
      <c r="N5" s="128"/>
      <c r="O5" s="129">
        <f t="shared" ref="O5:O68" si="2">ROUND(IF(K5*0.25-0.5&lt;0,0,K5*0.25-0.5),0)-R5-P5</f>
        <v>0</v>
      </c>
      <c r="P5" s="128"/>
      <c r="Q5" s="128"/>
      <c r="R5" s="128"/>
      <c r="S5" s="26">
        <f t="shared" ref="S5:S68" si="3">K5-SUM(U5:AH5)+N5</f>
        <v>0</v>
      </c>
      <c r="T5" s="25" t="str">
        <f t="shared" ref="T5:T68" si="4">IF(S5&lt;0,"ATENÇÃO","OK")</f>
        <v>OK</v>
      </c>
      <c r="U5" s="22"/>
      <c r="V5" s="22"/>
      <c r="W5" s="22"/>
      <c r="X5" s="22"/>
      <c r="Y5" s="24"/>
      <c r="Z5" s="24"/>
      <c r="AA5" s="24"/>
      <c r="AB5" s="22"/>
      <c r="AC5" s="22"/>
      <c r="AD5" s="22"/>
      <c r="AE5" s="22"/>
      <c r="AF5" s="22"/>
      <c r="AG5" s="22"/>
      <c r="AH5" s="22"/>
    </row>
    <row r="6" spans="1:34" ht="30.25" customHeight="1" x14ac:dyDescent="0.35">
      <c r="A6" s="37">
        <v>3</v>
      </c>
      <c r="B6" s="37">
        <v>3</v>
      </c>
      <c r="C6" s="35" t="s">
        <v>63</v>
      </c>
      <c r="D6" s="34" t="s">
        <v>70</v>
      </c>
      <c r="E6" s="35" t="s">
        <v>71</v>
      </c>
      <c r="F6" s="35" t="s">
        <v>20</v>
      </c>
      <c r="G6" s="35" t="s">
        <v>72</v>
      </c>
      <c r="H6" s="35" t="s">
        <v>5</v>
      </c>
      <c r="I6" s="35" t="s">
        <v>6</v>
      </c>
      <c r="J6" s="36">
        <v>1802</v>
      </c>
      <c r="K6" s="27">
        <f>0</f>
        <v>0</v>
      </c>
      <c r="L6" s="127">
        <f t="shared" si="0"/>
        <v>0</v>
      </c>
      <c r="M6" s="127">
        <f t="shared" si="1"/>
        <v>0</v>
      </c>
      <c r="N6" s="128"/>
      <c r="O6" s="129">
        <f t="shared" si="2"/>
        <v>0</v>
      </c>
      <c r="P6" s="128"/>
      <c r="Q6" s="128"/>
      <c r="R6" s="128"/>
      <c r="S6" s="26">
        <f t="shared" si="3"/>
        <v>0</v>
      </c>
      <c r="T6" s="25" t="str">
        <f t="shared" si="4"/>
        <v>OK</v>
      </c>
      <c r="U6" s="22"/>
      <c r="V6" s="22"/>
      <c r="W6" s="22"/>
      <c r="X6" s="22"/>
      <c r="Y6" s="24"/>
      <c r="Z6" s="24"/>
      <c r="AA6" s="24"/>
      <c r="AB6" s="22"/>
      <c r="AC6" s="22"/>
      <c r="AD6" s="22"/>
      <c r="AE6" s="22"/>
      <c r="AF6" s="22"/>
      <c r="AG6" s="22"/>
      <c r="AH6" s="22"/>
    </row>
    <row r="7" spans="1:34" ht="30.25" customHeight="1" x14ac:dyDescent="0.35">
      <c r="A7" s="44">
        <v>4</v>
      </c>
      <c r="B7" s="44">
        <v>4</v>
      </c>
      <c r="C7" s="45" t="s">
        <v>67</v>
      </c>
      <c r="D7" s="46" t="s">
        <v>73</v>
      </c>
      <c r="E7" s="45" t="s">
        <v>74</v>
      </c>
      <c r="F7" s="45" t="s">
        <v>20</v>
      </c>
      <c r="G7" s="45" t="s">
        <v>75</v>
      </c>
      <c r="H7" s="45" t="s">
        <v>5</v>
      </c>
      <c r="I7" s="45" t="s">
        <v>6</v>
      </c>
      <c r="J7" s="47">
        <v>1800</v>
      </c>
      <c r="K7" s="27">
        <f>0</f>
        <v>0</v>
      </c>
      <c r="L7" s="127">
        <f t="shared" si="0"/>
        <v>0</v>
      </c>
      <c r="M7" s="127">
        <f t="shared" si="1"/>
        <v>0</v>
      </c>
      <c r="N7" s="128"/>
      <c r="O7" s="129">
        <f t="shared" si="2"/>
        <v>0</v>
      </c>
      <c r="P7" s="128"/>
      <c r="Q7" s="128"/>
      <c r="R7" s="128"/>
      <c r="S7" s="26">
        <f t="shared" si="3"/>
        <v>0</v>
      </c>
      <c r="T7" s="25" t="str">
        <f t="shared" si="4"/>
        <v>OK</v>
      </c>
      <c r="U7" s="22"/>
      <c r="V7" s="22"/>
      <c r="W7" s="22"/>
      <c r="X7" s="22"/>
      <c r="Y7" s="24"/>
      <c r="Z7" s="24"/>
      <c r="AA7" s="24"/>
      <c r="AB7" s="22"/>
      <c r="AC7" s="22"/>
      <c r="AD7" s="22"/>
      <c r="AE7" s="22"/>
      <c r="AF7" s="22"/>
      <c r="AG7" s="22"/>
      <c r="AH7" s="22"/>
    </row>
    <row r="8" spans="1:34" ht="30.25" customHeight="1" x14ac:dyDescent="0.35">
      <c r="A8" s="37">
        <v>5</v>
      </c>
      <c r="B8" s="37">
        <v>5</v>
      </c>
      <c r="C8" s="35" t="s">
        <v>63</v>
      </c>
      <c r="D8" s="34" t="s">
        <v>76</v>
      </c>
      <c r="E8" s="35" t="s">
        <v>77</v>
      </c>
      <c r="F8" s="35" t="s">
        <v>20</v>
      </c>
      <c r="G8" s="35" t="s">
        <v>78</v>
      </c>
      <c r="H8" s="35" t="s">
        <v>5</v>
      </c>
      <c r="I8" s="35" t="s">
        <v>6</v>
      </c>
      <c r="J8" s="36">
        <v>2686</v>
      </c>
      <c r="K8" s="27">
        <f>0</f>
        <v>0</v>
      </c>
      <c r="L8" s="127">
        <f t="shared" si="0"/>
        <v>0</v>
      </c>
      <c r="M8" s="127">
        <f t="shared" si="1"/>
        <v>0</v>
      </c>
      <c r="N8" s="128"/>
      <c r="O8" s="129">
        <f t="shared" si="2"/>
        <v>0</v>
      </c>
      <c r="P8" s="128"/>
      <c r="Q8" s="128"/>
      <c r="R8" s="128"/>
      <c r="S8" s="26">
        <f t="shared" si="3"/>
        <v>0</v>
      </c>
      <c r="T8" s="25" t="str">
        <f t="shared" si="4"/>
        <v>OK</v>
      </c>
      <c r="U8" s="22"/>
      <c r="V8" s="22"/>
      <c r="W8" s="22"/>
      <c r="X8" s="22"/>
      <c r="Y8" s="24"/>
      <c r="Z8" s="24"/>
      <c r="AA8" s="24"/>
      <c r="AB8" s="22"/>
      <c r="AC8" s="22"/>
      <c r="AD8" s="22"/>
      <c r="AE8" s="22"/>
      <c r="AF8" s="22"/>
      <c r="AG8" s="22"/>
      <c r="AH8" s="22"/>
    </row>
    <row r="9" spans="1:34" ht="53.65" customHeight="1" x14ac:dyDescent="0.35">
      <c r="A9" s="80">
        <v>6</v>
      </c>
      <c r="B9" s="80">
        <v>6</v>
      </c>
      <c r="C9" s="81" t="s">
        <v>67</v>
      </c>
      <c r="D9" s="82" t="s">
        <v>79</v>
      </c>
      <c r="E9" s="87" t="s">
        <v>182</v>
      </c>
      <c r="F9" s="81" t="s">
        <v>20</v>
      </c>
      <c r="G9" s="81" t="s">
        <v>21</v>
      </c>
      <c r="H9" s="81" t="s">
        <v>5</v>
      </c>
      <c r="I9" s="81" t="s">
        <v>6</v>
      </c>
      <c r="J9" s="83">
        <v>2821.51</v>
      </c>
      <c r="K9" s="27">
        <f>0</f>
        <v>0</v>
      </c>
      <c r="L9" s="127">
        <f t="shared" si="0"/>
        <v>0</v>
      </c>
      <c r="M9" s="127">
        <f t="shared" si="1"/>
        <v>0</v>
      </c>
      <c r="N9" s="128"/>
      <c r="O9" s="129">
        <f t="shared" si="2"/>
        <v>0</v>
      </c>
      <c r="P9" s="128"/>
      <c r="Q9" s="128"/>
      <c r="R9" s="128"/>
      <c r="S9" s="26">
        <f t="shared" si="3"/>
        <v>0</v>
      </c>
      <c r="T9" s="25" t="str">
        <f t="shared" si="4"/>
        <v>OK</v>
      </c>
      <c r="U9" s="22"/>
      <c r="V9" s="22"/>
      <c r="W9" s="22"/>
      <c r="X9" s="22"/>
      <c r="Y9" s="24"/>
      <c r="Z9" s="24"/>
      <c r="AA9" s="24"/>
      <c r="AB9" s="22"/>
      <c r="AC9" s="22"/>
      <c r="AD9" s="22"/>
      <c r="AE9" s="22"/>
      <c r="AF9" s="22"/>
      <c r="AG9" s="22"/>
      <c r="AH9" s="22"/>
    </row>
    <row r="10" spans="1:34" ht="30.25" customHeight="1" x14ac:dyDescent="0.35">
      <c r="A10" s="37">
        <v>7</v>
      </c>
      <c r="B10" s="37">
        <v>7</v>
      </c>
      <c r="C10" s="35" t="s">
        <v>63</v>
      </c>
      <c r="D10" s="34" t="s">
        <v>80</v>
      </c>
      <c r="E10" s="35" t="s">
        <v>81</v>
      </c>
      <c r="F10" s="35" t="s">
        <v>20</v>
      </c>
      <c r="G10" s="35" t="s">
        <v>21</v>
      </c>
      <c r="H10" s="35" t="s">
        <v>5</v>
      </c>
      <c r="I10" s="35" t="s">
        <v>6</v>
      </c>
      <c r="J10" s="36">
        <v>7446</v>
      </c>
      <c r="K10" s="27">
        <f>0</f>
        <v>0</v>
      </c>
      <c r="L10" s="127">
        <f t="shared" si="0"/>
        <v>0</v>
      </c>
      <c r="M10" s="127">
        <f t="shared" si="1"/>
        <v>0</v>
      </c>
      <c r="N10" s="128"/>
      <c r="O10" s="129">
        <f t="shared" si="2"/>
        <v>0</v>
      </c>
      <c r="P10" s="128"/>
      <c r="Q10" s="128"/>
      <c r="R10" s="128"/>
      <c r="S10" s="26">
        <f t="shared" si="3"/>
        <v>0</v>
      </c>
      <c r="T10" s="25" t="str">
        <f t="shared" si="4"/>
        <v>OK</v>
      </c>
      <c r="U10" s="22"/>
      <c r="V10" s="22"/>
      <c r="W10" s="22"/>
      <c r="X10" s="22"/>
      <c r="Y10" s="24"/>
      <c r="Z10" s="24"/>
      <c r="AA10" s="24"/>
      <c r="AB10" s="22"/>
      <c r="AC10" s="22"/>
      <c r="AD10" s="22"/>
      <c r="AE10" s="22"/>
      <c r="AF10" s="22"/>
      <c r="AG10" s="22"/>
      <c r="AH10" s="22"/>
    </row>
    <row r="11" spans="1:34" ht="30.25" customHeight="1" x14ac:dyDescent="0.35">
      <c r="A11" s="44">
        <v>8</v>
      </c>
      <c r="B11" s="44">
        <v>8</v>
      </c>
      <c r="C11" s="45" t="s">
        <v>63</v>
      </c>
      <c r="D11" s="46" t="s">
        <v>82</v>
      </c>
      <c r="E11" s="45" t="s">
        <v>81</v>
      </c>
      <c r="F11" s="45" t="s">
        <v>20</v>
      </c>
      <c r="G11" s="45" t="s">
        <v>21</v>
      </c>
      <c r="H11" s="45" t="s">
        <v>5</v>
      </c>
      <c r="I11" s="45" t="s">
        <v>6</v>
      </c>
      <c r="J11" s="47">
        <v>7375</v>
      </c>
      <c r="K11" s="27">
        <f>0</f>
        <v>0</v>
      </c>
      <c r="L11" s="127">
        <f t="shared" si="0"/>
        <v>0</v>
      </c>
      <c r="M11" s="127">
        <f t="shared" si="1"/>
        <v>0</v>
      </c>
      <c r="N11" s="128"/>
      <c r="O11" s="129">
        <f t="shared" si="2"/>
        <v>0</v>
      </c>
      <c r="P11" s="128"/>
      <c r="Q11" s="128"/>
      <c r="R11" s="128"/>
      <c r="S11" s="26">
        <f t="shared" si="3"/>
        <v>0</v>
      </c>
      <c r="T11" s="25" t="str">
        <f t="shared" si="4"/>
        <v>OK</v>
      </c>
      <c r="U11" s="22"/>
      <c r="V11" s="22"/>
      <c r="W11" s="22"/>
      <c r="X11" s="22"/>
      <c r="Y11" s="24"/>
      <c r="Z11" s="24"/>
      <c r="AA11" s="24"/>
      <c r="AB11" s="22"/>
      <c r="AC11" s="22"/>
      <c r="AD11" s="22"/>
      <c r="AE11" s="22"/>
      <c r="AF11" s="22"/>
      <c r="AG11" s="22"/>
      <c r="AH11" s="22"/>
    </row>
    <row r="12" spans="1:34" ht="30.25" customHeight="1" x14ac:dyDescent="0.35">
      <c r="A12" s="37">
        <v>9</v>
      </c>
      <c r="B12" s="37">
        <v>9</v>
      </c>
      <c r="C12" s="35" t="s">
        <v>83</v>
      </c>
      <c r="D12" s="34" t="s">
        <v>84</v>
      </c>
      <c r="E12" s="35" t="s">
        <v>85</v>
      </c>
      <c r="F12" s="35" t="s">
        <v>20</v>
      </c>
      <c r="G12" s="35" t="s">
        <v>22</v>
      </c>
      <c r="H12" s="35" t="s">
        <v>5</v>
      </c>
      <c r="I12" s="35" t="s">
        <v>6</v>
      </c>
      <c r="J12" s="36">
        <v>6213.51</v>
      </c>
      <c r="K12" s="27">
        <f>0</f>
        <v>0</v>
      </c>
      <c r="L12" s="127">
        <f t="shared" si="0"/>
        <v>0</v>
      </c>
      <c r="M12" s="127">
        <f t="shared" si="1"/>
        <v>0</v>
      </c>
      <c r="N12" s="128"/>
      <c r="O12" s="129">
        <f t="shared" si="2"/>
        <v>0</v>
      </c>
      <c r="P12" s="128"/>
      <c r="Q12" s="128"/>
      <c r="R12" s="128"/>
      <c r="S12" s="26">
        <f t="shared" si="3"/>
        <v>0</v>
      </c>
      <c r="T12" s="25" t="str">
        <f t="shared" si="4"/>
        <v>OK</v>
      </c>
      <c r="U12" s="22"/>
      <c r="V12" s="22"/>
      <c r="W12" s="22"/>
      <c r="X12" s="22"/>
      <c r="Y12" s="28"/>
      <c r="Z12" s="24"/>
      <c r="AA12" s="24"/>
      <c r="AB12" s="22"/>
      <c r="AC12" s="22"/>
      <c r="AD12" s="22"/>
      <c r="AE12" s="22"/>
      <c r="AF12" s="22"/>
      <c r="AG12" s="22"/>
      <c r="AH12" s="22"/>
    </row>
    <row r="13" spans="1:34" ht="30.25" customHeight="1" x14ac:dyDescent="0.35">
      <c r="A13" s="44">
        <v>10</v>
      </c>
      <c r="B13" s="44">
        <v>10</v>
      </c>
      <c r="C13" s="45" t="s">
        <v>63</v>
      </c>
      <c r="D13" s="46" t="s">
        <v>86</v>
      </c>
      <c r="E13" s="45" t="s">
        <v>87</v>
      </c>
      <c r="F13" s="45" t="s">
        <v>20</v>
      </c>
      <c r="G13" s="45" t="s">
        <v>22</v>
      </c>
      <c r="H13" s="45" t="s">
        <v>5</v>
      </c>
      <c r="I13" s="45" t="s">
        <v>6</v>
      </c>
      <c r="J13" s="47">
        <v>6689.61</v>
      </c>
      <c r="K13" s="27">
        <f>0</f>
        <v>0</v>
      </c>
      <c r="L13" s="127">
        <f t="shared" si="0"/>
        <v>0</v>
      </c>
      <c r="M13" s="127">
        <f t="shared" si="1"/>
        <v>0</v>
      </c>
      <c r="N13" s="128"/>
      <c r="O13" s="129">
        <f t="shared" si="2"/>
        <v>0</v>
      </c>
      <c r="P13" s="128"/>
      <c r="Q13" s="128"/>
      <c r="R13" s="128"/>
      <c r="S13" s="26">
        <f t="shared" si="3"/>
        <v>0</v>
      </c>
      <c r="T13" s="25" t="str">
        <f t="shared" si="4"/>
        <v>OK</v>
      </c>
      <c r="U13" s="22"/>
      <c r="V13" s="22"/>
      <c r="W13" s="22"/>
      <c r="X13" s="22"/>
      <c r="Y13" s="24"/>
      <c r="Z13" s="24"/>
      <c r="AA13" s="24"/>
      <c r="AB13" s="22"/>
      <c r="AC13" s="22"/>
      <c r="AD13" s="22"/>
      <c r="AE13" s="22"/>
      <c r="AF13" s="22"/>
      <c r="AG13" s="22"/>
      <c r="AH13" s="22"/>
    </row>
    <row r="14" spans="1:34" ht="30.25" customHeight="1" x14ac:dyDescent="0.35">
      <c r="A14" s="37">
        <v>11</v>
      </c>
      <c r="B14" s="37">
        <v>11</v>
      </c>
      <c r="C14" s="35" t="s">
        <v>83</v>
      </c>
      <c r="D14" s="34" t="s">
        <v>88</v>
      </c>
      <c r="E14" s="35" t="s">
        <v>89</v>
      </c>
      <c r="F14" s="37" t="s">
        <v>20</v>
      </c>
      <c r="G14" s="35" t="s">
        <v>22</v>
      </c>
      <c r="H14" s="37" t="s">
        <v>5</v>
      </c>
      <c r="I14" s="35" t="s">
        <v>6</v>
      </c>
      <c r="J14" s="36">
        <v>3445.06</v>
      </c>
      <c r="K14" s="27">
        <f>0</f>
        <v>0</v>
      </c>
      <c r="L14" s="127">
        <f t="shared" si="0"/>
        <v>0</v>
      </c>
      <c r="M14" s="127">
        <f t="shared" si="1"/>
        <v>0</v>
      </c>
      <c r="N14" s="128"/>
      <c r="O14" s="129">
        <f t="shared" si="2"/>
        <v>0</v>
      </c>
      <c r="P14" s="128"/>
      <c r="Q14" s="128"/>
      <c r="R14" s="128"/>
      <c r="S14" s="26">
        <f t="shared" si="3"/>
        <v>0</v>
      </c>
      <c r="T14" s="25" t="str">
        <f t="shared" si="4"/>
        <v>OK</v>
      </c>
      <c r="U14" s="22"/>
      <c r="V14" s="22"/>
      <c r="W14" s="22"/>
      <c r="X14" s="22"/>
      <c r="Y14" s="24"/>
      <c r="Z14" s="24"/>
      <c r="AA14" s="24"/>
      <c r="AB14" s="22"/>
      <c r="AC14" s="22"/>
      <c r="AD14" s="22"/>
      <c r="AE14" s="22"/>
      <c r="AF14" s="22"/>
      <c r="AG14" s="22"/>
      <c r="AH14" s="22"/>
    </row>
    <row r="15" spans="1:34" ht="30.25" customHeight="1" x14ac:dyDescent="0.35">
      <c r="A15" s="44">
        <v>12</v>
      </c>
      <c r="B15" s="44">
        <v>12</v>
      </c>
      <c r="C15" s="45" t="s">
        <v>83</v>
      </c>
      <c r="D15" s="46" t="s">
        <v>90</v>
      </c>
      <c r="E15" s="45" t="s">
        <v>91</v>
      </c>
      <c r="F15" s="44" t="s">
        <v>20</v>
      </c>
      <c r="G15" s="44" t="s">
        <v>22</v>
      </c>
      <c r="H15" s="44" t="s">
        <v>5</v>
      </c>
      <c r="I15" s="45" t="s">
        <v>6</v>
      </c>
      <c r="J15" s="47">
        <v>3617.48</v>
      </c>
      <c r="K15" s="27">
        <f>0</f>
        <v>0</v>
      </c>
      <c r="L15" s="127">
        <f t="shared" si="0"/>
        <v>0</v>
      </c>
      <c r="M15" s="127">
        <f t="shared" si="1"/>
        <v>0</v>
      </c>
      <c r="N15" s="128"/>
      <c r="O15" s="129">
        <f t="shared" si="2"/>
        <v>0</v>
      </c>
      <c r="P15" s="128"/>
      <c r="Q15" s="128"/>
      <c r="R15" s="128"/>
      <c r="S15" s="26">
        <f t="shared" si="3"/>
        <v>0</v>
      </c>
      <c r="T15" s="25" t="str">
        <f t="shared" si="4"/>
        <v>OK</v>
      </c>
      <c r="U15" s="22"/>
      <c r="V15" s="22"/>
      <c r="W15" s="22"/>
      <c r="X15" s="22"/>
      <c r="Y15" s="24"/>
      <c r="Z15" s="24"/>
      <c r="AA15" s="24"/>
      <c r="AB15" s="22"/>
      <c r="AC15" s="22"/>
      <c r="AD15" s="22"/>
      <c r="AE15" s="22"/>
      <c r="AF15" s="22"/>
      <c r="AG15" s="22"/>
      <c r="AH15" s="22"/>
    </row>
    <row r="16" spans="1:34" ht="30.25" customHeight="1" x14ac:dyDescent="0.35">
      <c r="A16" s="37">
        <v>13</v>
      </c>
      <c r="B16" s="37">
        <v>13</v>
      </c>
      <c r="C16" s="35" t="s">
        <v>92</v>
      </c>
      <c r="D16" s="34" t="s">
        <v>93</v>
      </c>
      <c r="E16" s="35" t="s">
        <v>94</v>
      </c>
      <c r="F16" s="37" t="s">
        <v>20</v>
      </c>
      <c r="G16" s="37" t="s">
        <v>22</v>
      </c>
      <c r="H16" s="37" t="s">
        <v>5</v>
      </c>
      <c r="I16" s="35" t="s">
        <v>6</v>
      </c>
      <c r="J16" s="36">
        <v>7453.33</v>
      </c>
      <c r="K16" s="27">
        <f>0</f>
        <v>0</v>
      </c>
      <c r="L16" s="127">
        <f t="shared" si="0"/>
        <v>0</v>
      </c>
      <c r="M16" s="127">
        <f t="shared" si="1"/>
        <v>0</v>
      </c>
      <c r="N16" s="128"/>
      <c r="O16" s="129">
        <f t="shared" si="2"/>
        <v>0</v>
      </c>
      <c r="P16" s="128"/>
      <c r="Q16" s="128"/>
      <c r="R16" s="128"/>
      <c r="S16" s="26">
        <f t="shared" si="3"/>
        <v>0</v>
      </c>
      <c r="T16" s="25" t="str">
        <f t="shared" si="4"/>
        <v>OK</v>
      </c>
      <c r="U16" s="22"/>
      <c r="V16" s="22"/>
      <c r="W16" s="22"/>
      <c r="X16" s="22"/>
      <c r="Y16" s="24"/>
      <c r="Z16" s="24"/>
      <c r="AA16" s="24"/>
      <c r="AB16" s="22"/>
      <c r="AC16" s="22"/>
      <c r="AD16" s="22"/>
      <c r="AE16" s="22"/>
      <c r="AF16" s="22"/>
      <c r="AG16" s="22"/>
      <c r="AH16" s="22"/>
    </row>
    <row r="17" spans="1:34" ht="30.25" customHeight="1" x14ac:dyDescent="0.35">
      <c r="A17" s="44">
        <v>14</v>
      </c>
      <c r="B17" s="44">
        <v>14</v>
      </c>
      <c r="C17" s="45" t="s">
        <v>92</v>
      </c>
      <c r="D17" s="46" t="s">
        <v>95</v>
      </c>
      <c r="E17" s="45" t="s">
        <v>94</v>
      </c>
      <c r="F17" s="45" t="s">
        <v>20</v>
      </c>
      <c r="G17" s="45" t="s">
        <v>22</v>
      </c>
      <c r="H17" s="45" t="s">
        <v>5</v>
      </c>
      <c r="I17" s="45" t="s">
        <v>6</v>
      </c>
      <c r="J17" s="47">
        <v>9561.2000000000007</v>
      </c>
      <c r="K17" s="27">
        <f>0</f>
        <v>0</v>
      </c>
      <c r="L17" s="127">
        <f t="shared" si="0"/>
        <v>0</v>
      </c>
      <c r="M17" s="127">
        <f t="shared" si="1"/>
        <v>0</v>
      </c>
      <c r="N17" s="128"/>
      <c r="O17" s="129">
        <f t="shared" si="2"/>
        <v>0</v>
      </c>
      <c r="P17" s="128"/>
      <c r="Q17" s="128"/>
      <c r="R17" s="128"/>
      <c r="S17" s="26">
        <f t="shared" si="3"/>
        <v>0</v>
      </c>
      <c r="T17" s="25" t="str">
        <f t="shared" si="4"/>
        <v>OK</v>
      </c>
      <c r="U17" s="22"/>
      <c r="V17" s="22"/>
      <c r="W17" s="22"/>
      <c r="X17" s="22"/>
      <c r="Y17" s="24"/>
      <c r="Z17" s="24"/>
      <c r="AA17" s="24"/>
      <c r="AB17" s="22"/>
      <c r="AC17" s="22"/>
      <c r="AD17" s="22"/>
      <c r="AE17" s="22"/>
      <c r="AF17" s="22"/>
      <c r="AG17" s="22"/>
      <c r="AH17" s="22"/>
    </row>
    <row r="18" spans="1:34" ht="30.25" customHeight="1" x14ac:dyDescent="0.35">
      <c r="A18" s="37">
        <v>15</v>
      </c>
      <c r="B18" s="37">
        <v>15</v>
      </c>
      <c r="C18" s="35" t="s">
        <v>63</v>
      </c>
      <c r="D18" s="34" t="s">
        <v>96</v>
      </c>
      <c r="E18" s="35" t="s">
        <v>97</v>
      </c>
      <c r="F18" s="35" t="s">
        <v>20</v>
      </c>
      <c r="G18" s="35" t="s">
        <v>31</v>
      </c>
      <c r="H18" s="35" t="s">
        <v>5</v>
      </c>
      <c r="I18" s="35" t="s">
        <v>6</v>
      </c>
      <c r="J18" s="36">
        <v>7598</v>
      </c>
      <c r="K18" s="27">
        <f>0</f>
        <v>0</v>
      </c>
      <c r="L18" s="127">
        <f t="shared" si="0"/>
        <v>0</v>
      </c>
      <c r="M18" s="127">
        <f t="shared" si="1"/>
        <v>0</v>
      </c>
      <c r="N18" s="128"/>
      <c r="O18" s="129">
        <f t="shared" si="2"/>
        <v>0</v>
      </c>
      <c r="P18" s="128"/>
      <c r="Q18" s="128"/>
      <c r="R18" s="128"/>
      <c r="S18" s="26">
        <f t="shared" si="3"/>
        <v>0</v>
      </c>
      <c r="T18" s="25" t="str">
        <f t="shared" si="4"/>
        <v>OK</v>
      </c>
      <c r="U18" s="22"/>
      <c r="V18" s="22"/>
      <c r="W18" s="22"/>
      <c r="X18" s="22"/>
      <c r="Y18" s="24"/>
      <c r="Z18" s="24"/>
      <c r="AA18" s="24"/>
      <c r="AB18" s="22"/>
      <c r="AC18" s="22"/>
      <c r="AD18" s="22"/>
      <c r="AE18" s="22"/>
      <c r="AF18" s="22"/>
      <c r="AG18" s="22"/>
      <c r="AH18" s="22"/>
    </row>
    <row r="19" spans="1:34" ht="30.25" customHeight="1" x14ac:dyDescent="0.35">
      <c r="A19" s="44">
        <v>16</v>
      </c>
      <c r="B19" s="44">
        <v>16</v>
      </c>
      <c r="C19" s="45" t="s">
        <v>83</v>
      </c>
      <c r="D19" s="46" t="s">
        <v>98</v>
      </c>
      <c r="E19" s="45" t="s">
        <v>99</v>
      </c>
      <c r="F19" s="45" t="s">
        <v>20</v>
      </c>
      <c r="G19" s="45" t="s">
        <v>100</v>
      </c>
      <c r="H19" s="45" t="s">
        <v>5</v>
      </c>
      <c r="I19" s="45" t="s">
        <v>6</v>
      </c>
      <c r="J19" s="47">
        <v>4540.34</v>
      </c>
      <c r="K19" s="27">
        <f>0</f>
        <v>0</v>
      </c>
      <c r="L19" s="127">
        <f t="shared" si="0"/>
        <v>0</v>
      </c>
      <c r="M19" s="127">
        <f t="shared" si="1"/>
        <v>0</v>
      </c>
      <c r="N19" s="128"/>
      <c r="O19" s="129">
        <f t="shared" si="2"/>
        <v>0</v>
      </c>
      <c r="P19" s="128"/>
      <c r="Q19" s="128"/>
      <c r="R19" s="128"/>
      <c r="S19" s="26">
        <f t="shared" si="3"/>
        <v>0</v>
      </c>
      <c r="T19" s="25" t="str">
        <f t="shared" si="4"/>
        <v>OK</v>
      </c>
      <c r="U19" s="22"/>
      <c r="V19" s="22"/>
      <c r="W19" s="22"/>
      <c r="X19" s="22"/>
      <c r="Y19" s="24"/>
      <c r="Z19" s="24"/>
      <c r="AA19" s="24"/>
      <c r="AB19" s="22"/>
      <c r="AC19" s="22"/>
      <c r="AD19" s="22"/>
      <c r="AE19" s="22"/>
      <c r="AF19" s="22"/>
      <c r="AG19" s="22"/>
      <c r="AH19" s="22"/>
    </row>
    <row r="20" spans="1:34" ht="30.25" customHeight="1" x14ac:dyDescent="0.35">
      <c r="A20" s="37">
        <v>17</v>
      </c>
      <c r="B20" s="37">
        <v>17</v>
      </c>
      <c r="C20" s="35" t="s">
        <v>63</v>
      </c>
      <c r="D20" s="38" t="s">
        <v>101</v>
      </c>
      <c r="E20" s="39" t="s">
        <v>102</v>
      </c>
      <c r="F20" s="40" t="s">
        <v>20</v>
      </c>
      <c r="G20" s="40" t="s">
        <v>103</v>
      </c>
      <c r="H20" s="40" t="s">
        <v>5</v>
      </c>
      <c r="I20" s="40" t="s">
        <v>6</v>
      </c>
      <c r="J20" s="36">
        <v>7499</v>
      </c>
      <c r="K20" s="27">
        <f>0</f>
        <v>0</v>
      </c>
      <c r="L20" s="127">
        <f t="shared" si="0"/>
        <v>0</v>
      </c>
      <c r="M20" s="127">
        <f t="shared" si="1"/>
        <v>0</v>
      </c>
      <c r="N20" s="128"/>
      <c r="O20" s="129">
        <f t="shared" si="2"/>
        <v>0</v>
      </c>
      <c r="P20" s="128"/>
      <c r="Q20" s="128"/>
      <c r="R20" s="128"/>
      <c r="S20" s="26">
        <f t="shared" si="3"/>
        <v>0</v>
      </c>
      <c r="T20" s="25" t="str">
        <f t="shared" si="4"/>
        <v>OK</v>
      </c>
      <c r="U20" s="22"/>
      <c r="V20" s="22"/>
      <c r="W20" s="22"/>
      <c r="X20" s="22"/>
      <c r="Y20" s="24"/>
      <c r="Z20" s="24"/>
      <c r="AA20" s="24"/>
      <c r="AB20" s="22"/>
      <c r="AC20" s="22"/>
      <c r="AD20" s="22"/>
      <c r="AE20" s="22"/>
      <c r="AF20" s="22"/>
      <c r="AG20" s="22"/>
      <c r="AH20" s="22"/>
    </row>
    <row r="21" spans="1:34" ht="30.25" customHeight="1" x14ac:dyDescent="0.35">
      <c r="A21" s="44">
        <v>18</v>
      </c>
      <c r="B21" s="44">
        <v>18</v>
      </c>
      <c r="C21" s="45" t="s">
        <v>104</v>
      </c>
      <c r="D21" s="46" t="s">
        <v>105</v>
      </c>
      <c r="E21" s="48" t="s">
        <v>106</v>
      </c>
      <c r="F21" s="49" t="s">
        <v>20</v>
      </c>
      <c r="G21" s="44" t="s">
        <v>107</v>
      </c>
      <c r="H21" s="44" t="s">
        <v>5</v>
      </c>
      <c r="I21" s="44" t="s">
        <v>6</v>
      </c>
      <c r="J21" s="47">
        <v>9553.2000000000007</v>
      </c>
      <c r="K21" s="27">
        <f>0</f>
        <v>0</v>
      </c>
      <c r="L21" s="127">
        <f t="shared" si="0"/>
        <v>0</v>
      </c>
      <c r="M21" s="127">
        <f t="shared" si="1"/>
        <v>0</v>
      </c>
      <c r="N21" s="128"/>
      <c r="O21" s="129">
        <f t="shared" si="2"/>
        <v>0</v>
      </c>
      <c r="P21" s="128"/>
      <c r="Q21" s="128"/>
      <c r="R21" s="128"/>
      <c r="S21" s="26">
        <f t="shared" si="3"/>
        <v>0</v>
      </c>
      <c r="T21" s="25" t="str">
        <f t="shared" si="4"/>
        <v>OK</v>
      </c>
      <c r="U21" s="22"/>
      <c r="V21" s="22"/>
      <c r="W21" s="22"/>
      <c r="X21" s="22"/>
      <c r="Y21" s="24"/>
      <c r="Z21" s="24"/>
      <c r="AA21" s="24"/>
      <c r="AB21" s="22"/>
      <c r="AC21" s="22"/>
      <c r="AD21" s="22"/>
      <c r="AE21" s="22"/>
      <c r="AF21" s="22"/>
      <c r="AG21" s="22"/>
      <c r="AH21" s="22"/>
    </row>
    <row r="22" spans="1:34" ht="30.25" customHeight="1" x14ac:dyDescent="0.35">
      <c r="A22" s="37">
        <v>19</v>
      </c>
      <c r="B22" s="37">
        <v>19</v>
      </c>
      <c r="C22" s="35" t="s">
        <v>63</v>
      </c>
      <c r="D22" s="34" t="s">
        <v>108</v>
      </c>
      <c r="E22" s="41" t="s">
        <v>109</v>
      </c>
      <c r="F22" s="43" t="s">
        <v>20</v>
      </c>
      <c r="G22" s="37" t="s">
        <v>107</v>
      </c>
      <c r="H22" s="37" t="s">
        <v>5</v>
      </c>
      <c r="I22" s="37" t="s">
        <v>6</v>
      </c>
      <c r="J22" s="36">
        <v>8608</v>
      </c>
      <c r="K22" s="27">
        <f>0</f>
        <v>0</v>
      </c>
      <c r="L22" s="127">
        <f t="shared" si="0"/>
        <v>0</v>
      </c>
      <c r="M22" s="127">
        <f t="shared" si="1"/>
        <v>0</v>
      </c>
      <c r="N22" s="128"/>
      <c r="O22" s="129">
        <f t="shared" si="2"/>
        <v>0</v>
      </c>
      <c r="P22" s="128"/>
      <c r="Q22" s="128"/>
      <c r="R22" s="128"/>
      <c r="S22" s="26">
        <f t="shared" si="3"/>
        <v>0</v>
      </c>
      <c r="T22" s="25" t="str">
        <f t="shared" si="4"/>
        <v>OK</v>
      </c>
      <c r="U22" s="22"/>
      <c r="V22" s="22"/>
      <c r="W22" s="22"/>
      <c r="X22" s="29"/>
      <c r="Y22" s="24"/>
      <c r="Z22" s="24"/>
      <c r="AA22" s="24"/>
      <c r="AB22" s="22"/>
      <c r="AC22" s="22"/>
      <c r="AD22" s="22"/>
      <c r="AE22" s="22"/>
      <c r="AF22" s="22"/>
      <c r="AG22" s="22"/>
      <c r="AH22" s="22"/>
    </row>
    <row r="23" spans="1:34" ht="30.25" customHeight="1" x14ac:dyDescent="0.35">
      <c r="A23" s="37">
        <v>20</v>
      </c>
      <c r="B23" s="37">
        <v>20</v>
      </c>
      <c r="C23" s="35" t="s">
        <v>63</v>
      </c>
      <c r="D23" s="34" t="s">
        <v>110</v>
      </c>
      <c r="E23" s="41" t="s">
        <v>111</v>
      </c>
      <c r="F23" s="43" t="s">
        <v>20</v>
      </c>
      <c r="G23" s="37" t="s">
        <v>112</v>
      </c>
      <c r="H23" s="37" t="s">
        <v>5</v>
      </c>
      <c r="I23" s="37" t="s">
        <v>6</v>
      </c>
      <c r="J23" s="36">
        <v>10488</v>
      </c>
      <c r="K23" s="27">
        <f>6</f>
        <v>6</v>
      </c>
      <c r="L23" s="127">
        <f t="shared" si="0"/>
        <v>3</v>
      </c>
      <c r="M23" s="127">
        <f t="shared" si="1"/>
        <v>3</v>
      </c>
      <c r="N23" s="128"/>
      <c r="O23" s="129">
        <f t="shared" si="2"/>
        <v>1</v>
      </c>
      <c r="P23" s="128"/>
      <c r="Q23" s="128"/>
      <c r="R23" s="128"/>
      <c r="S23" s="26">
        <f t="shared" si="3"/>
        <v>3</v>
      </c>
      <c r="T23" s="25" t="str">
        <f t="shared" si="4"/>
        <v>OK</v>
      </c>
      <c r="U23" s="22"/>
      <c r="V23" s="22">
        <v>3</v>
      </c>
      <c r="W23" s="22"/>
      <c r="X23" s="29"/>
      <c r="Y23" s="24"/>
      <c r="Z23" s="24"/>
      <c r="AA23" s="24"/>
      <c r="AB23" s="22"/>
      <c r="AC23" s="22"/>
      <c r="AD23" s="22"/>
      <c r="AE23" s="22"/>
      <c r="AF23" s="22"/>
      <c r="AG23" s="22"/>
      <c r="AH23" s="22"/>
    </row>
    <row r="24" spans="1:34" ht="30.25" customHeight="1" x14ac:dyDescent="0.35">
      <c r="A24" s="37">
        <v>21</v>
      </c>
      <c r="B24" s="37">
        <v>21</v>
      </c>
      <c r="C24" s="35" t="s">
        <v>63</v>
      </c>
      <c r="D24" s="34" t="s">
        <v>113</v>
      </c>
      <c r="E24" s="41" t="s">
        <v>114</v>
      </c>
      <c r="F24" s="43" t="s">
        <v>20</v>
      </c>
      <c r="G24" s="37" t="s">
        <v>115</v>
      </c>
      <c r="H24" s="37" t="s">
        <v>5</v>
      </c>
      <c r="I24" s="37" t="s">
        <v>6</v>
      </c>
      <c r="J24" s="36">
        <v>10968</v>
      </c>
      <c r="K24" s="27">
        <f>6</f>
        <v>6</v>
      </c>
      <c r="L24" s="127">
        <f t="shared" si="0"/>
        <v>6</v>
      </c>
      <c r="M24" s="127">
        <f t="shared" si="1"/>
        <v>6</v>
      </c>
      <c r="N24" s="128"/>
      <c r="O24" s="129">
        <f t="shared" si="2"/>
        <v>1</v>
      </c>
      <c r="P24" s="128"/>
      <c r="Q24" s="128"/>
      <c r="R24" s="128"/>
      <c r="S24" s="26">
        <f t="shared" si="3"/>
        <v>0</v>
      </c>
      <c r="T24" s="25" t="str">
        <f t="shared" si="4"/>
        <v>OK</v>
      </c>
      <c r="U24" s="22"/>
      <c r="V24" s="22">
        <v>6</v>
      </c>
      <c r="W24" s="22"/>
      <c r="X24" s="29"/>
      <c r="Y24" s="24"/>
      <c r="Z24" s="24"/>
      <c r="AA24" s="24"/>
      <c r="AB24" s="22"/>
      <c r="AC24" s="22"/>
      <c r="AD24" s="22"/>
      <c r="AE24" s="22"/>
      <c r="AF24" s="22"/>
      <c r="AG24" s="22"/>
      <c r="AH24" s="22"/>
    </row>
    <row r="25" spans="1:34" ht="30.25" customHeight="1" x14ac:dyDescent="0.35">
      <c r="A25" s="44">
        <v>22</v>
      </c>
      <c r="B25" s="44">
        <v>22</v>
      </c>
      <c r="C25" s="45" t="s">
        <v>32</v>
      </c>
      <c r="D25" s="46" t="s">
        <v>116</v>
      </c>
      <c r="E25" s="48" t="s">
        <v>117</v>
      </c>
      <c r="F25" s="50" t="s">
        <v>20</v>
      </c>
      <c r="G25" s="44" t="s">
        <v>118</v>
      </c>
      <c r="H25" s="44" t="s">
        <v>5</v>
      </c>
      <c r="I25" s="44" t="s">
        <v>6</v>
      </c>
      <c r="J25" s="47">
        <v>13446</v>
      </c>
      <c r="K25" s="27">
        <f>0</f>
        <v>0</v>
      </c>
      <c r="L25" s="127">
        <f t="shared" si="0"/>
        <v>0</v>
      </c>
      <c r="M25" s="127">
        <f t="shared" si="1"/>
        <v>0</v>
      </c>
      <c r="N25" s="128"/>
      <c r="O25" s="129">
        <f t="shared" si="2"/>
        <v>0</v>
      </c>
      <c r="P25" s="128"/>
      <c r="Q25" s="128"/>
      <c r="R25" s="128"/>
      <c r="S25" s="26">
        <f t="shared" si="3"/>
        <v>0</v>
      </c>
      <c r="T25" s="25" t="str">
        <f t="shared" si="4"/>
        <v>OK</v>
      </c>
      <c r="U25" s="22"/>
      <c r="V25" s="22"/>
      <c r="W25" s="22"/>
      <c r="X25" s="29"/>
      <c r="Y25" s="24"/>
      <c r="Z25" s="24"/>
      <c r="AA25" s="24"/>
      <c r="AB25" s="22"/>
      <c r="AC25" s="22"/>
      <c r="AD25" s="22"/>
      <c r="AE25" s="22"/>
      <c r="AF25" s="22"/>
      <c r="AG25" s="22"/>
      <c r="AH25" s="22"/>
    </row>
    <row r="26" spans="1:34" ht="30.25" customHeight="1" x14ac:dyDescent="0.35">
      <c r="A26" s="37">
        <v>23</v>
      </c>
      <c r="B26" s="37">
        <v>23</v>
      </c>
      <c r="C26" s="35" t="s">
        <v>119</v>
      </c>
      <c r="D26" s="34" t="s">
        <v>120</v>
      </c>
      <c r="E26" s="41" t="s">
        <v>121</v>
      </c>
      <c r="F26" s="43" t="s">
        <v>20</v>
      </c>
      <c r="G26" s="37" t="s">
        <v>115</v>
      </c>
      <c r="H26" s="37" t="s">
        <v>5</v>
      </c>
      <c r="I26" s="37" t="s">
        <v>6</v>
      </c>
      <c r="J26" s="36">
        <v>11764.7</v>
      </c>
      <c r="K26" s="27">
        <f>0</f>
        <v>0</v>
      </c>
      <c r="L26" s="127">
        <f t="shared" si="0"/>
        <v>0</v>
      </c>
      <c r="M26" s="127">
        <f t="shared" si="1"/>
        <v>0</v>
      </c>
      <c r="N26" s="128"/>
      <c r="O26" s="129">
        <f t="shared" si="2"/>
        <v>0</v>
      </c>
      <c r="P26" s="128"/>
      <c r="Q26" s="128"/>
      <c r="R26" s="128"/>
      <c r="S26" s="26">
        <f t="shared" si="3"/>
        <v>0</v>
      </c>
      <c r="T26" s="25" t="str">
        <f t="shared" si="4"/>
        <v>OK</v>
      </c>
      <c r="U26" s="22"/>
      <c r="V26" s="22"/>
      <c r="W26" s="22"/>
      <c r="X26" s="29"/>
      <c r="Y26" s="24"/>
      <c r="Z26" s="24"/>
      <c r="AA26" s="24"/>
      <c r="AB26" s="22"/>
      <c r="AC26" s="22"/>
      <c r="AD26" s="22"/>
      <c r="AE26" s="22"/>
      <c r="AF26" s="22"/>
      <c r="AG26" s="22"/>
      <c r="AH26" s="22"/>
    </row>
    <row r="27" spans="1:34" ht="30.25" customHeight="1" x14ac:dyDescent="0.35">
      <c r="A27" s="44">
        <v>24</v>
      </c>
      <c r="B27" s="44">
        <v>24</v>
      </c>
      <c r="C27" s="45" t="s">
        <v>32</v>
      </c>
      <c r="D27" s="46" t="s">
        <v>122</v>
      </c>
      <c r="E27" s="48" t="s">
        <v>123</v>
      </c>
      <c r="F27" s="50" t="s">
        <v>20</v>
      </c>
      <c r="G27" s="44" t="s">
        <v>124</v>
      </c>
      <c r="H27" s="44" t="s">
        <v>60</v>
      </c>
      <c r="I27" s="44" t="s">
        <v>6</v>
      </c>
      <c r="J27" s="47">
        <v>13333.33</v>
      </c>
      <c r="K27" s="27">
        <f>0</f>
        <v>0</v>
      </c>
      <c r="L27" s="127">
        <f t="shared" si="0"/>
        <v>0</v>
      </c>
      <c r="M27" s="127">
        <f t="shared" si="1"/>
        <v>0</v>
      </c>
      <c r="N27" s="128"/>
      <c r="O27" s="129">
        <f t="shared" si="2"/>
        <v>0</v>
      </c>
      <c r="P27" s="128"/>
      <c r="Q27" s="128"/>
      <c r="R27" s="128"/>
      <c r="S27" s="26">
        <f t="shared" si="3"/>
        <v>0</v>
      </c>
      <c r="T27" s="25" t="str">
        <f t="shared" si="4"/>
        <v>OK</v>
      </c>
      <c r="U27" s="22"/>
      <c r="V27" s="22"/>
      <c r="W27" s="22"/>
      <c r="X27" s="29"/>
      <c r="Y27" s="24"/>
      <c r="Z27" s="24"/>
      <c r="AA27" s="24"/>
      <c r="AB27" s="22"/>
      <c r="AC27" s="22"/>
      <c r="AD27" s="22"/>
      <c r="AE27" s="22"/>
      <c r="AF27" s="22"/>
      <c r="AG27" s="22"/>
      <c r="AH27" s="22"/>
    </row>
    <row r="28" spans="1:34" ht="47.5" customHeight="1" x14ac:dyDescent="0.35">
      <c r="A28" s="37">
        <v>25</v>
      </c>
      <c r="B28" s="37">
        <v>25</v>
      </c>
      <c r="C28" s="35" t="s">
        <v>150</v>
      </c>
      <c r="D28" s="34" t="s">
        <v>126</v>
      </c>
      <c r="E28" s="41" t="s">
        <v>127</v>
      </c>
      <c r="F28" s="43" t="s">
        <v>24</v>
      </c>
      <c r="G28" s="37" t="s">
        <v>25</v>
      </c>
      <c r="H28" s="37" t="s">
        <v>5</v>
      </c>
      <c r="I28" s="37" t="s">
        <v>26</v>
      </c>
      <c r="J28" s="36">
        <v>1320</v>
      </c>
      <c r="K28" s="27">
        <f>5</f>
        <v>5</v>
      </c>
      <c r="L28" s="127">
        <f t="shared" si="0"/>
        <v>5</v>
      </c>
      <c r="M28" s="127">
        <f t="shared" si="1"/>
        <v>5</v>
      </c>
      <c r="N28" s="128"/>
      <c r="O28" s="129">
        <f t="shared" si="2"/>
        <v>1</v>
      </c>
      <c r="P28" s="128"/>
      <c r="Q28" s="128"/>
      <c r="R28" s="128"/>
      <c r="S28" s="26">
        <f t="shared" si="3"/>
        <v>0</v>
      </c>
      <c r="T28" s="25" t="str">
        <f t="shared" si="4"/>
        <v>OK</v>
      </c>
      <c r="U28" s="22"/>
      <c r="V28" s="22"/>
      <c r="W28" s="22"/>
      <c r="X28" s="29"/>
      <c r="Y28" s="24">
        <v>5</v>
      </c>
      <c r="Z28" s="24"/>
      <c r="AA28" s="24"/>
      <c r="AB28" s="22"/>
      <c r="AC28" s="22"/>
      <c r="AD28" s="22"/>
      <c r="AE28" s="22"/>
      <c r="AF28" s="22"/>
      <c r="AG28" s="22"/>
      <c r="AH28" s="22"/>
    </row>
    <row r="29" spans="1:34" ht="30.25" customHeight="1" x14ac:dyDescent="0.35">
      <c r="A29" s="37">
        <v>26</v>
      </c>
      <c r="B29" s="37">
        <v>26</v>
      </c>
      <c r="C29" s="35" t="s">
        <v>187</v>
      </c>
      <c r="D29" s="34" t="s">
        <v>14</v>
      </c>
      <c r="E29" s="41" t="s">
        <v>128</v>
      </c>
      <c r="F29" s="43" t="s">
        <v>23</v>
      </c>
      <c r="G29" s="37" t="s">
        <v>129</v>
      </c>
      <c r="H29" s="37" t="s">
        <v>5</v>
      </c>
      <c r="I29" s="37" t="s">
        <v>6</v>
      </c>
      <c r="J29" s="36">
        <v>650</v>
      </c>
      <c r="K29" s="27">
        <f>5</f>
        <v>5</v>
      </c>
      <c r="L29" s="127">
        <f t="shared" si="0"/>
        <v>2</v>
      </c>
      <c r="M29" s="127">
        <f t="shared" si="1"/>
        <v>2</v>
      </c>
      <c r="N29" s="128"/>
      <c r="O29" s="129">
        <f t="shared" si="2"/>
        <v>1</v>
      </c>
      <c r="P29" s="128"/>
      <c r="Q29" s="128"/>
      <c r="R29" s="128"/>
      <c r="S29" s="26">
        <f t="shared" si="3"/>
        <v>3</v>
      </c>
      <c r="T29" s="25" t="str">
        <f t="shared" si="4"/>
        <v>OK</v>
      </c>
      <c r="U29" s="22">
        <v>2</v>
      </c>
      <c r="V29" s="22"/>
      <c r="W29" s="22"/>
      <c r="X29" s="22"/>
      <c r="Y29" s="24"/>
      <c r="Z29" s="24"/>
      <c r="AA29" s="24"/>
      <c r="AB29" s="22"/>
      <c r="AC29" s="22"/>
      <c r="AD29" s="22"/>
      <c r="AE29" s="22"/>
      <c r="AF29" s="22"/>
      <c r="AG29" s="22"/>
      <c r="AH29" s="22"/>
    </row>
    <row r="30" spans="1:34" ht="30.25" customHeight="1" x14ac:dyDescent="0.35">
      <c r="A30" s="37">
        <v>27</v>
      </c>
      <c r="B30" s="37">
        <v>27</v>
      </c>
      <c r="C30" s="35" t="s">
        <v>130</v>
      </c>
      <c r="D30" s="34" t="s">
        <v>131</v>
      </c>
      <c r="E30" s="41" t="s">
        <v>132</v>
      </c>
      <c r="F30" s="43" t="s">
        <v>28</v>
      </c>
      <c r="G30" s="37" t="s">
        <v>29</v>
      </c>
      <c r="H30" s="37" t="s">
        <v>8</v>
      </c>
      <c r="I30" s="37" t="s">
        <v>26</v>
      </c>
      <c r="J30" s="36">
        <v>39.78</v>
      </c>
      <c r="K30" s="27">
        <f>0</f>
        <v>0</v>
      </c>
      <c r="L30" s="127">
        <f t="shared" si="0"/>
        <v>0</v>
      </c>
      <c r="M30" s="127">
        <f t="shared" si="1"/>
        <v>0</v>
      </c>
      <c r="N30" s="128"/>
      <c r="O30" s="129">
        <f t="shared" si="2"/>
        <v>0</v>
      </c>
      <c r="P30" s="128"/>
      <c r="Q30" s="128"/>
      <c r="R30" s="128"/>
      <c r="S30" s="26">
        <f t="shared" si="3"/>
        <v>0</v>
      </c>
      <c r="T30" s="25" t="str">
        <f t="shared" si="4"/>
        <v>OK</v>
      </c>
      <c r="U30" s="22"/>
      <c r="V30" s="22"/>
      <c r="W30" s="22"/>
      <c r="X30" s="22"/>
      <c r="Y30" s="24"/>
      <c r="Z30" s="24"/>
      <c r="AA30" s="24"/>
      <c r="AB30" s="22"/>
      <c r="AC30" s="22"/>
      <c r="AD30" s="22"/>
      <c r="AE30" s="22"/>
      <c r="AF30" s="22"/>
      <c r="AG30" s="22"/>
      <c r="AH30" s="22"/>
    </row>
    <row r="31" spans="1:34" ht="30.25" customHeight="1" x14ac:dyDescent="0.35">
      <c r="A31" s="44">
        <v>28</v>
      </c>
      <c r="B31" s="44">
        <v>28</v>
      </c>
      <c r="C31" s="45" t="s">
        <v>133</v>
      </c>
      <c r="D31" s="46" t="s">
        <v>134</v>
      </c>
      <c r="E31" s="48" t="s">
        <v>135</v>
      </c>
      <c r="F31" s="50" t="s">
        <v>136</v>
      </c>
      <c r="G31" s="44" t="s">
        <v>137</v>
      </c>
      <c r="H31" s="44" t="s">
        <v>5</v>
      </c>
      <c r="I31" s="44" t="s">
        <v>6</v>
      </c>
      <c r="J31" s="47">
        <v>2259.91</v>
      </c>
      <c r="K31" s="27">
        <f>0</f>
        <v>0</v>
      </c>
      <c r="L31" s="127">
        <f t="shared" si="0"/>
        <v>0</v>
      </c>
      <c r="M31" s="127">
        <f t="shared" si="1"/>
        <v>0</v>
      </c>
      <c r="N31" s="128"/>
      <c r="O31" s="129">
        <f t="shared" si="2"/>
        <v>0</v>
      </c>
      <c r="P31" s="128"/>
      <c r="Q31" s="128"/>
      <c r="R31" s="128"/>
      <c r="S31" s="26">
        <f t="shared" si="3"/>
        <v>0</v>
      </c>
      <c r="T31" s="25" t="str">
        <f t="shared" si="4"/>
        <v>OK</v>
      </c>
      <c r="U31" s="22"/>
      <c r="V31" s="22"/>
      <c r="W31" s="22"/>
      <c r="X31" s="22"/>
      <c r="Y31" s="24"/>
      <c r="Z31" s="24"/>
      <c r="AA31" s="24"/>
      <c r="AB31" s="22"/>
      <c r="AC31" s="22"/>
      <c r="AD31" s="22"/>
      <c r="AE31" s="22"/>
      <c r="AF31" s="22"/>
      <c r="AG31" s="22"/>
      <c r="AH31" s="22"/>
    </row>
    <row r="32" spans="1:34" ht="30.25" customHeight="1" x14ac:dyDescent="0.35">
      <c r="A32" s="37">
        <v>29</v>
      </c>
      <c r="B32" s="37">
        <v>29</v>
      </c>
      <c r="C32" s="35" t="s">
        <v>138</v>
      </c>
      <c r="D32" s="34" t="s">
        <v>139</v>
      </c>
      <c r="E32" s="41" t="s">
        <v>140</v>
      </c>
      <c r="F32" s="43" t="s">
        <v>136</v>
      </c>
      <c r="G32" s="37" t="s">
        <v>137</v>
      </c>
      <c r="H32" s="37" t="s">
        <v>5</v>
      </c>
      <c r="I32" s="37" t="s">
        <v>6</v>
      </c>
      <c r="J32" s="36">
        <v>3391.3</v>
      </c>
      <c r="K32" s="27">
        <f>0</f>
        <v>0</v>
      </c>
      <c r="L32" s="127">
        <f t="shared" si="0"/>
        <v>0</v>
      </c>
      <c r="M32" s="127">
        <f t="shared" si="1"/>
        <v>0</v>
      </c>
      <c r="N32" s="128"/>
      <c r="O32" s="129">
        <f t="shared" si="2"/>
        <v>0</v>
      </c>
      <c r="P32" s="128"/>
      <c r="Q32" s="128"/>
      <c r="R32" s="128"/>
      <c r="S32" s="26">
        <f t="shared" si="3"/>
        <v>0</v>
      </c>
      <c r="T32" s="25" t="str">
        <f t="shared" si="4"/>
        <v>OK</v>
      </c>
      <c r="U32" s="22"/>
      <c r="V32" s="22"/>
      <c r="W32" s="22"/>
      <c r="X32" s="22"/>
      <c r="Y32" s="24"/>
      <c r="Z32" s="24"/>
      <c r="AA32" s="24"/>
      <c r="AB32" s="22"/>
      <c r="AC32" s="22"/>
      <c r="AD32" s="22"/>
      <c r="AE32" s="22"/>
      <c r="AF32" s="22"/>
      <c r="AG32" s="22"/>
      <c r="AH32" s="22"/>
    </row>
    <row r="33" spans="1:34" ht="30.25" customHeight="1" x14ac:dyDescent="0.35">
      <c r="A33" s="44">
        <v>30</v>
      </c>
      <c r="B33" s="44">
        <v>30</v>
      </c>
      <c r="C33" s="45" t="s">
        <v>141</v>
      </c>
      <c r="D33" s="46" t="s">
        <v>142</v>
      </c>
      <c r="E33" s="48" t="s">
        <v>143</v>
      </c>
      <c r="F33" s="50" t="s">
        <v>136</v>
      </c>
      <c r="G33" s="44" t="s">
        <v>137</v>
      </c>
      <c r="H33" s="44" t="s">
        <v>5</v>
      </c>
      <c r="I33" s="44" t="s">
        <v>6</v>
      </c>
      <c r="J33" s="47">
        <v>9961.5300000000007</v>
      </c>
      <c r="K33" s="27">
        <f>0</f>
        <v>0</v>
      </c>
      <c r="L33" s="127">
        <f t="shared" si="0"/>
        <v>0</v>
      </c>
      <c r="M33" s="127">
        <f t="shared" si="1"/>
        <v>0</v>
      </c>
      <c r="N33" s="128"/>
      <c r="O33" s="129">
        <f t="shared" si="2"/>
        <v>0</v>
      </c>
      <c r="P33" s="128"/>
      <c r="Q33" s="128"/>
      <c r="R33" s="128"/>
      <c r="S33" s="26">
        <f t="shared" si="3"/>
        <v>0</v>
      </c>
      <c r="T33" s="25" t="str">
        <f t="shared" si="4"/>
        <v>OK</v>
      </c>
      <c r="U33" s="22"/>
      <c r="V33" s="22"/>
      <c r="W33" s="22"/>
      <c r="X33" s="22"/>
      <c r="Y33" s="24"/>
      <c r="Z33" s="24"/>
      <c r="AA33" s="24"/>
      <c r="AB33" s="22"/>
      <c r="AC33" s="22"/>
      <c r="AD33" s="22"/>
      <c r="AE33" s="22"/>
      <c r="AF33" s="22"/>
      <c r="AG33" s="22"/>
      <c r="AH33" s="22"/>
    </row>
    <row r="34" spans="1:34" ht="30.25" customHeight="1" x14ac:dyDescent="0.35">
      <c r="A34" s="37">
        <v>31</v>
      </c>
      <c r="B34" s="37">
        <v>31</v>
      </c>
      <c r="C34" s="35" t="s">
        <v>144</v>
      </c>
      <c r="D34" s="34" t="s">
        <v>145</v>
      </c>
      <c r="E34" s="41" t="s">
        <v>146</v>
      </c>
      <c r="F34" s="43" t="s">
        <v>20</v>
      </c>
      <c r="G34" s="37" t="s">
        <v>147</v>
      </c>
      <c r="H34" s="37" t="s">
        <v>60</v>
      </c>
      <c r="I34" s="37">
        <v>44905212</v>
      </c>
      <c r="J34" s="36">
        <v>630</v>
      </c>
      <c r="K34" s="27">
        <f>0</f>
        <v>0</v>
      </c>
      <c r="L34" s="127">
        <f t="shared" si="0"/>
        <v>0</v>
      </c>
      <c r="M34" s="127">
        <f t="shared" si="1"/>
        <v>0</v>
      </c>
      <c r="N34" s="128"/>
      <c r="O34" s="129">
        <f t="shared" si="2"/>
        <v>0</v>
      </c>
      <c r="P34" s="128"/>
      <c r="Q34" s="128"/>
      <c r="R34" s="128"/>
      <c r="S34" s="26">
        <f t="shared" si="3"/>
        <v>0</v>
      </c>
      <c r="T34" s="25" t="str">
        <f t="shared" si="4"/>
        <v>OK</v>
      </c>
      <c r="U34" s="22"/>
      <c r="V34" s="22"/>
      <c r="W34" s="22"/>
      <c r="X34" s="22"/>
      <c r="Y34" s="24"/>
      <c r="Z34" s="24"/>
      <c r="AA34" s="24"/>
      <c r="AB34" s="22"/>
      <c r="AC34" s="22"/>
      <c r="AD34" s="22"/>
      <c r="AE34" s="22"/>
      <c r="AF34" s="22"/>
      <c r="AG34" s="22"/>
      <c r="AH34" s="22"/>
    </row>
    <row r="35" spans="1:34" ht="30.25" customHeight="1" x14ac:dyDescent="0.35">
      <c r="A35" s="44">
        <v>32</v>
      </c>
      <c r="B35" s="44">
        <v>32</v>
      </c>
      <c r="C35" s="45" t="s">
        <v>144</v>
      </c>
      <c r="D35" s="46" t="s">
        <v>148</v>
      </c>
      <c r="E35" s="48" t="s">
        <v>149</v>
      </c>
      <c r="F35" s="50" t="s">
        <v>20</v>
      </c>
      <c r="G35" s="44" t="s">
        <v>147</v>
      </c>
      <c r="H35" s="44" t="s">
        <v>60</v>
      </c>
      <c r="I35" s="44">
        <v>44905212</v>
      </c>
      <c r="J35" s="47">
        <v>1550</v>
      </c>
      <c r="K35" s="27">
        <f>0</f>
        <v>0</v>
      </c>
      <c r="L35" s="127">
        <f t="shared" si="0"/>
        <v>0</v>
      </c>
      <c r="M35" s="127">
        <f t="shared" si="1"/>
        <v>0</v>
      </c>
      <c r="N35" s="128"/>
      <c r="O35" s="129">
        <f t="shared" si="2"/>
        <v>0</v>
      </c>
      <c r="P35" s="128"/>
      <c r="Q35" s="128"/>
      <c r="R35" s="128"/>
      <c r="S35" s="26">
        <f t="shared" si="3"/>
        <v>0</v>
      </c>
      <c r="T35" s="25" t="str">
        <f t="shared" si="4"/>
        <v>OK</v>
      </c>
      <c r="U35" s="22"/>
      <c r="V35" s="22"/>
      <c r="W35" s="22"/>
      <c r="X35" s="22"/>
      <c r="Y35" s="24"/>
      <c r="Z35" s="24"/>
      <c r="AA35" s="24"/>
      <c r="AB35" s="22"/>
      <c r="AC35" s="22"/>
      <c r="AD35" s="22"/>
      <c r="AE35" s="22"/>
      <c r="AF35" s="22"/>
      <c r="AG35" s="22"/>
      <c r="AH35" s="22"/>
    </row>
    <row r="36" spans="1:34" ht="30.25" customHeight="1" x14ac:dyDescent="0.35">
      <c r="A36" s="37">
        <v>33</v>
      </c>
      <c r="B36" s="37">
        <v>33</v>
      </c>
      <c r="C36" s="35" t="s">
        <v>150</v>
      </c>
      <c r="D36" s="34" t="s">
        <v>151</v>
      </c>
      <c r="E36" s="41" t="s">
        <v>152</v>
      </c>
      <c r="F36" s="43" t="s">
        <v>20</v>
      </c>
      <c r="G36" s="37" t="s">
        <v>147</v>
      </c>
      <c r="H36" s="37" t="s">
        <v>60</v>
      </c>
      <c r="I36" s="37">
        <v>44905212</v>
      </c>
      <c r="J36" s="36">
        <v>930</v>
      </c>
      <c r="K36" s="27">
        <f>0</f>
        <v>0</v>
      </c>
      <c r="L36" s="127">
        <f t="shared" si="0"/>
        <v>0</v>
      </c>
      <c r="M36" s="127">
        <f t="shared" si="1"/>
        <v>0</v>
      </c>
      <c r="N36" s="128"/>
      <c r="O36" s="129">
        <f t="shared" si="2"/>
        <v>0</v>
      </c>
      <c r="P36" s="128"/>
      <c r="Q36" s="128"/>
      <c r="R36" s="128"/>
      <c r="S36" s="26">
        <f t="shared" si="3"/>
        <v>0</v>
      </c>
      <c r="T36" s="25" t="str">
        <f t="shared" si="4"/>
        <v>OK</v>
      </c>
      <c r="U36" s="22"/>
      <c r="V36" s="22"/>
      <c r="W36" s="22"/>
      <c r="X36" s="22"/>
      <c r="Y36" s="24"/>
      <c r="Z36" s="24"/>
      <c r="AA36" s="24"/>
      <c r="AB36" s="22"/>
      <c r="AC36" s="22"/>
      <c r="AD36" s="22"/>
      <c r="AE36" s="22"/>
      <c r="AF36" s="22"/>
      <c r="AG36" s="22"/>
      <c r="AH36" s="22"/>
    </row>
    <row r="37" spans="1:34" ht="30.25" customHeight="1" x14ac:dyDescent="0.35">
      <c r="A37" s="44">
        <v>34</v>
      </c>
      <c r="B37" s="44">
        <v>34</v>
      </c>
      <c r="C37" s="45" t="s">
        <v>150</v>
      </c>
      <c r="D37" s="46" t="s">
        <v>153</v>
      </c>
      <c r="E37" s="48" t="s">
        <v>154</v>
      </c>
      <c r="F37" s="50" t="s">
        <v>20</v>
      </c>
      <c r="G37" s="44" t="s">
        <v>147</v>
      </c>
      <c r="H37" s="44" t="s">
        <v>60</v>
      </c>
      <c r="I37" s="44">
        <v>44905212</v>
      </c>
      <c r="J37" s="47">
        <v>2560</v>
      </c>
      <c r="K37" s="27">
        <f>0</f>
        <v>0</v>
      </c>
      <c r="L37" s="127">
        <f t="shared" si="0"/>
        <v>0</v>
      </c>
      <c r="M37" s="127">
        <f t="shared" si="1"/>
        <v>0</v>
      </c>
      <c r="N37" s="128"/>
      <c r="O37" s="129">
        <f t="shared" si="2"/>
        <v>0</v>
      </c>
      <c r="P37" s="128"/>
      <c r="Q37" s="128"/>
      <c r="R37" s="128"/>
      <c r="S37" s="26">
        <f t="shared" si="3"/>
        <v>0</v>
      </c>
      <c r="T37" s="25" t="str">
        <f t="shared" si="4"/>
        <v>OK</v>
      </c>
      <c r="U37" s="22"/>
      <c r="V37" s="22"/>
      <c r="W37" s="22"/>
      <c r="X37" s="22"/>
      <c r="Y37" s="24"/>
      <c r="Z37" s="24"/>
      <c r="AA37" s="24"/>
      <c r="AB37" s="22"/>
      <c r="AC37" s="22"/>
      <c r="AD37" s="22"/>
      <c r="AE37" s="22"/>
      <c r="AF37" s="22"/>
      <c r="AG37" s="22"/>
      <c r="AH37" s="22"/>
    </row>
    <row r="38" spans="1:34" ht="30.25" customHeight="1" x14ac:dyDescent="0.35">
      <c r="A38" s="198" t="s">
        <v>155</v>
      </c>
      <c r="B38" s="37">
        <v>35</v>
      </c>
      <c r="C38" s="195" t="s">
        <v>33</v>
      </c>
      <c r="D38" s="34" t="s">
        <v>27</v>
      </c>
      <c r="E38" s="41" t="s">
        <v>8</v>
      </c>
      <c r="F38" s="42" t="s">
        <v>28</v>
      </c>
      <c r="G38" s="37" t="s">
        <v>29</v>
      </c>
      <c r="H38" s="37" t="s">
        <v>8</v>
      </c>
      <c r="I38" s="37" t="s">
        <v>9</v>
      </c>
      <c r="J38" s="36">
        <v>150.13999999999999</v>
      </c>
      <c r="K38" s="27">
        <f>5</f>
        <v>5</v>
      </c>
      <c r="L38" s="127">
        <f t="shared" si="0"/>
        <v>2</v>
      </c>
      <c r="M38" s="127">
        <f t="shared" si="1"/>
        <v>2</v>
      </c>
      <c r="N38" s="128"/>
      <c r="O38" s="129">
        <f t="shared" si="2"/>
        <v>1</v>
      </c>
      <c r="P38" s="128"/>
      <c r="Q38" s="128"/>
      <c r="R38" s="128"/>
      <c r="S38" s="26">
        <f t="shared" si="3"/>
        <v>3</v>
      </c>
      <c r="T38" s="25" t="str">
        <f t="shared" si="4"/>
        <v>OK</v>
      </c>
      <c r="U38" s="22"/>
      <c r="V38" s="22"/>
      <c r="W38" s="22">
        <v>2</v>
      </c>
      <c r="X38" s="22"/>
      <c r="Y38" s="24"/>
      <c r="Z38" s="24"/>
      <c r="AA38" s="24"/>
      <c r="AB38" s="22"/>
      <c r="AC38" s="22"/>
      <c r="AD38" s="22"/>
      <c r="AE38" s="22"/>
      <c r="AF38" s="22"/>
      <c r="AG38" s="22"/>
      <c r="AH38" s="22"/>
    </row>
    <row r="39" spans="1:34" ht="30.25" customHeight="1" x14ac:dyDescent="0.35">
      <c r="A39" s="199"/>
      <c r="B39" s="37">
        <v>36</v>
      </c>
      <c r="C39" s="196"/>
      <c r="D39" s="34" t="s">
        <v>7</v>
      </c>
      <c r="E39" s="41" t="s">
        <v>8</v>
      </c>
      <c r="F39" s="43" t="s">
        <v>28</v>
      </c>
      <c r="G39" s="37" t="s">
        <v>29</v>
      </c>
      <c r="H39" s="37" t="s">
        <v>8</v>
      </c>
      <c r="I39" s="37" t="s">
        <v>9</v>
      </c>
      <c r="J39" s="36">
        <v>1076</v>
      </c>
      <c r="K39" s="27">
        <f>0</f>
        <v>0</v>
      </c>
      <c r="L39" s="127">
        <f t="shared" si="0"/>
        <v>0</v>
      </c>
      <c r="M39" s="127">
        <f t="shared" si="1"/>
        <v>0</v>
      </c>
      <c r="N39" s="128"/>
      <c r="O39" s="129">
        <f t="shared" si="2"/>
        <v>0</v>
      </c>
      <c r="P39" s="128"/>
      <c r="Q39" s="128"/>
      <c r="R39" s="128"/>
      <c r="S39" s="26">
        <f t="shared" si="3"/>
        <v>0</v>
      </c>
      <c r="T39" s="25" t="str">
        <f t="shared" si="4"/>
        <v>OK</v>
      </c>
      <c r="U39" s="22"/>
      <c r="V39" s="22"/>
      <c r="W39" s="22"/>
      <c r="X39" s="22"/>
      <c r="Y39" s="24"/>
      <c r="Z39" s="24"/>
      <c r="AA39" s="24"/>
      <c r="AB39" s="22"/>
      <c r="AC39" s="22"/>
      <c r="AD39" s="22"/>
      <c r="AE39" s="22"/>
      <c r="AF39" s="22"/>
      <c r="AG39" s="22"/>
      <c r="AH39" s="22"/>
    </row>
    <row r="40" spans="1:34" ht="30.25" customHeight="1" x14ac:dyDescent="0.35">
      <c r="A40" s="199"/>
      <c r="B40" s="37">
        <v>37</v>
      </c>
      <c r="C40" s="196"/>
      <c r="D40" s="34" t="s">
        <v>156</v>
      </c>
      <c r="E40" s="41" t="s">
        <v>8</v>
      </c>
      <c r="F40" s="43" t="s">
        <v>28</v>
      </c>
      <c r="G40" s="37" t="s">
        <v>29</v>
      </c>
      <c r="H40" s="37" t="s">
        <v>34</v>
      </c>
      <c r="I40" s="37" t="s">
        <v>9</v>
      </c>
      <c r="J40" s="36">
        <v>75</v>
      </c>
      <c r="K40" s="27">
        <f>20</f>
        <v>20</v>
      </c>
      <c r="L40" s="127">
        <f t="shared" si="0"/>
        <v>10</v>
      </c>
      <c r="M40" s="127">
        <f t="shared" si="1"/>
        <v>10</v>
      </c>
      <c r="N40" s="128"/>
      <c r="O40" s="129">
        <f t="shared" si="2"/>
        <v>5</v>
      </c>
      <c r="P40" s="128"/>
      <c r="Q40" s="128"/>
      <c r="R40" s="128"/>
      <c r="S40" s="26">
        <f t="shared" si="3"/>
        <v>10</v>
      </c>
      <c r="T40" s="25" t="str">
        <f t="shared" si="4"/>
        <v>OK</v>
      </c>
      <c r="U40" s="22"/>
      <c r="V40" s="22"/>
      <c r="W40" s="22">
        <v>10</v>
      </c>
      <c r="X40" s="22"/>
      <c r="Y40" s="24"/>
      <c r="Z40" s="24"/>
      <c r="AA40" s="24"/>
      <c r="AB40" s="22"/>
      <c r="AC40" s="22"/>
      <c r="AD40" s="22"/>
      <c r="AE40" s="22"/>
      <c r="AF40" s="22"/>
      <c r="AG40" s="22"/>
      <c r="AH40" s="22"/>
    </row>
    <row r="41" spans="1:34" ht="30.25" customHeight="1" x14ac:dyDescent="0.35">
      <c r="A41" s="199"/>
      <c r="B41" s="37">
        <v>38</v>
      </c>
      <c r="C41" s="196"/>
      <c r="D41" s="34" t="s">
        <v>11</v>
      </c>
      <c r="E41" s="41" t="s">
        <v>8</v>
      </c>
      <c r="F41" s="43" t="s">
        <v>28</v>
      </c>
      <c r="G41" s="37" t="s">
        <v>29</v>
      </c>
      <c r="H41" s="37" t="s">
        <v>8</v>
      </c>
      <c r="I41" s="37" t="s">
        <v>9</v>
      </c>
      <c r="J41" s="36">
        <v>1400</v>
      </c>
      <c r="K41" s="27">
        <f>3</f>
        <v>3</v>
      </c>
      <c r="L41" s="127">
        <f t="shared" si="0"/>
        <v>3</v>
      </c>
      <c r="M41" s="127">
        <f t="shared" si="1"/>
        <v>3</v>
      </c>
      <c r="N41" s="128"/>
      <c r="O41" s="129">
        <f t="shared" si="2"/>
        <v>0</v>
      </c>
      <c r="P41" s="128"/>
      <c r="Q41" s="128"/>
      <c r="R41" s="128"/>
      <c r="S41" s="26">
        <f t="shared" si="3"/>
        <v>0</v>
      </c>
      <c r="T41" s="25" t="str">
        <f t="shared" si="4"/>
        <v>OK</v>
      </c>
      <c r="U41" s="22"/>
      <c r="V41" s="22"/>
      <c r="W41" s="22">
        <v>3</v>
      </c>
      <c r="X41" s="22"/>
      <c r="Y41" s="24"/>
      <c r="Z41" s="24"/>
      <c r="AA41" s="24"/>
      <c r="AB41" s="22"/>
      <c r="AC41" s="22"/>
      <c r="AD41" s="22"/>
      <c r="AE41" s="22"/>
      <c r="AF41" s="22"/>
      <c r="AG41" s="22"/>
      <c r="AH41" s="22"/>
    </row>
    <row r="42" spans="1:34" ht="30.25" customHeight="1" x14ac:dyDescent="0.35">
      <c r="A42" s="199"/>
      <c r="B42" s="37">
        <v>39</v>
      </c>
      <c r="C42" s="196"/>
      <c r="D42" s="34" t="s">
        <v>12</v>
      </c>
      <c r="E42" s="41" t="s">
        <v>8</v>
      </c>
      <c r="F42" s="43" t="s">
        <v>28</v>
      </c>
      <c r="G42" s="37" t="s">
        <v>29</v>
      </c>
      <c r="H42" s="37" t="s">
        <v>34</v>
      </c>
      <c r="I42" s="37" t="s">
        <v>9</v>
      </c>
      <c r="J42" s="36">
        <v>75.5</v>
      </c>
      <c r="K42" s="27">
        <f>0</f>
        <v>0</v>
      </c>
      <c r="L42" s="127">
        <f t="shared" si="0"/>
        <v>0</v>
      </c>
      <c r="M42" s="127">
        <f t="shared" si="1"/>
        <v>0</v>
      </c>
      <c r="N42" s="128"/>
      <c r="O42" s="129">
        <f t="shared" si="2"/>
        <v>0</v>
      </c>
      <c r="P42" s="128"/>
      <c r="Q42" s="128"/>
      <c r="R42" s="128"/>
      <c r="S42" s="26">
        <f t="shared" si="3"/>
        <v>0</v>
      </c>
      <c r="T42" s="25" t="str">
        <f t="shared" si="4"/>
        <v>OK</v>
      </c>
      <c r="U42" s="22"/>
      <c r="V42" s="22"/>
      <c r="W42" s="22"/>
      <c r="X42" s="22"/>
      <c r="Y42" s="24"/>
      <c r="Z42" s="24"/>
      <c r="AA42" s="24"/>
      <c r="AB42" s="22"/>
      <c r="AC42" s="22"/>
      <c r="AD42" s="22"/>
      <c r="AE42" s="22"/>
      <c r="AF42" s="22"/>
      <c r="AG42" s="22"/>
      <c r="AH42" s="22"/>
    </row>
    <row r="43" spans="1:34" ht="30.25" customHeight="1" x14ac:dyDescent="0.35">
      <c r="A43" s="199"/>
      <c r="B43" s="37">
        <v>40</v>
      </c>
      <c r="C43" s="196"/>
      <c r="D43" s="34" t="s">
        <v>10</v>
      </c>
      <c r="E43" s="41" t="s">
        <v>8</v>
      </c>
      <c r="F43" s="43" t="s">
        <v>28</v>
      </c>
      <c r="G43" s="37" t="s">
        <v>29</v>
      </c>
      <c r="H43" s="37" t="s">
        <v>8</v>
      </c>
      <c r="I43" s="37" t="s">
        <v>9</v>
      </c>
      <c r="J43" s="36">
        <v>1600</v>
      </c>
      <c r="K43" s="27">
        <f>8</f>
        <v>8</v>
      </c>
      <c r="L43" s="127">
        <f t="shared" si="0"/>
        <v>4</v>
      </c>
      <c r="M43" s="127">
        <f t="shared" si="1"/>
        <v>4</v>
      </c>
      <c r="N43" s="128"/>
      <c r="O43" s="129">
        <f t="shared" si="2"/>
        <v>2</v>
      </c>
      <c r="P43" s="128"/>
      <c r="Q43" s="128"/>
      <c r="R43" s="128"/>
      <c r="S43" s="26">
        <f t="shared" si="3"/>
        <v>4</v>
      </c>
      <c r="T43" s="25" t="str">
        <f t="shared" si="4"/>
        <v>OK</v>
      </c>
      <c r="U43" s="22"/>
      <c r="V43" s="22"/>
      <c r="W43" s="22">
        <v>4</v>
      </c>
      <c r="X43" s="22"/>
      <c r="Y43" s="24"/>
      <c r="Z43" s="24"/>
      <c r="AA43" s="24"/>
      <c r="AB43" s="22"/>
      <c r="AC43" s="22"/>
      <c r="AD43" s="22"/>
      <c r="AE43" s="22"/>
      <c r="AF43" s="22"/>
      <c r="AG43" s="22"/>
      <c r="AH43" s="22"/>
    </row>
    <row r="44" spans="1:34" ht="30.25" customHeight="1" x14ac:dyDescent="0.35">
      <c r="A44" s="199"/>
      <c r="B44" s="37">
        <v>41</v>
      </c>
      <c r="C44" s="196"/>
      <c r="D44" s="34" t="s">
        <v>13</v>
      </c>
      <c r="E44" s="41" t="s">
        <v>8</v>
      </c>
      <c r="F44" s="43" t="s">
        <v>28</v>
      </c>
      <c r="G44" s="37" t="s">
        <v>29</v>
      </c>
      <c r="H44" s="37" t="s">
        <v>34</v>
      </c>
      <c r="I44" s="37" t="s">
        <v>9</v>
      </c>
      <c r="J44" s="36">
        <v>75</v>
      </c>
      <c r="K44" s="27">
        <f>20+56</f>
        <v>76</v>
      </c>
      <c r="L44" s="127">
        <f t="shared" si="0"/>
        <v>76</v>
      </c>
      <c r="M44" s="127">
        <f t="shared" si="1"/>
        <v>76</v>
      </c>
      <c r="N44" s="128"/>
      <c r="O44" s="129">
        <f t="shared" si="2"/>
        <v>19</v>
      </c>
      <c r="P44" s="128"/>
      <c r="Q44" s="128"/>
      <c r="R44" s="128"/>
      <c r="S44" s="26">
        <f t="shared" si="3"/>
        <v>0</v>
      </c>
      <c r="T44" s="25" t="str">
        <f t="shared" si="4"/>
        <v>OK</v>
      </c>
      <c r="U44" s="22"/>
      <c r="V44" s="22"/>
      <c r="W44" s="22">
        <f>20+56</f>
        <v>76</v>
      </c>
      <c r="X44" s="22"/>
      <c r="Y44" s="24"/>
      <c r="Z44" s="24"/>
      <c r="AA44" s="24"/>
      <c r="AB44" s="22"/>
      <c r="AC44" s="22"/>
      <c r="AD44" s="22"/>
      <c r="AE44" s="22"/>
      <c r="AF44" s="22"/>
      <c r="AG44" s="22"/>
      <c r="AH44" s="22"/>
    </row>
    <row r="45" spans="1:34" ht="30.25" customHeight="1" x14ac:dyDescent="0.35">
      <c r="A45" s="199"/>
      <c r="B45" s="84">
        <v>42</v>
      </c>
      <c r="C45" s="196"/>
      <c r="D45" s="34" t="s">
        <v>157</v>
      </c>
      <c r="E45" s="41" t="s">
        <v>8</v>
      </c>
      <c r="F45" s="43" t="s">
        <v>28</v>
      </c>
      <c r="G45" s="37" t="s">
        <v>29</v>
      </c>
      <c r="H45" s="37" t="s">
        <v>8</v>
      </c>
      <c r="I45" s="37" t="s">
        <v>9</v>
      </c>
      <c r="J45" s="36">
        <v>350</v>
      </c>
      <c r="K45" s="27">
        <f>12</f>
        <v>12</v>
      </c>
      <c r="L45" s="127">
        <f t="shared" si="0"/>
        <v>8</v>
      </c>
      <c r="M45" s="127">
        <f t="shared" si="1"/>
        <v>8</v>
      </c>
      <c r="N45" s="128"/>
      <c r="O45" s="129">
        <f t="shared" si="2"/>
        <v>3</v>
      </c>
      <c r="P45" s="128"/>
      <c r="Q45" s="128"/>
      <c r="R45" s="128"/>
      <c r="S45" s="26">
        <f t="shared" si="3"/>
        <v>4</v>
      </c>
      <c r="T45" s="25" t="str">
        <f t="shared" si="4"/>
        <v>OK</v>
      </c>
      <c r="U45" s="22"/>
      <c r="V45" s="22"/>
      <c r="W45" s="22">
        <v>8</v>
      </c>
      <c r="X45" s="22"/>
      <c r="Y45" s="24"/>
      <c r="Z45" s="24"/>
      <c r="AA45" s="24"/>
      <c r="AB45" s="22"/>
      <c r="AC45" s="22"/>
      <c r="AD45" s="22"/>
      <c r="AE45" s="22"/>
      <c r="AF45" s="22"/>
      <c r="AG45" s="22"/>
      <c r="AH45" s="22"/>
    </row>
    <row r="46" spans="1:34" ht="30.25" customHeight="1" x14ac:dyDescent="0.35">
      <c r="A46" s="199"/>
      <c r="B46" s="37">
        <v>43</v>
      </c>
      <c r="C46" s="196"/>
      <c r="D46" s="34" t="s">
        <v>30</v>
      </c>
      <c r="E46" s="41" t="s">
        <v>8</v>
      </c>
      <c r="F46" s="43" t="s">
        <v>28</v>
      </c>
      <c r="G46" s="37" t="s">
        <v>29</v>
      </c>
      <c r="H46" s="37" t="s">
        <v>8</v>
      </c>
      <c r="I46" s="37" t="s">
        <v>9</v>
      </c>
      <c r="J46" s="36">
        <v>100.25</v>
      </c>
      <c r="K46" s="27">
        <f>5</f>
        <v>5</v>
      </c>
      <c r="L46" s="127">
        <f t="shared" si="0"/>
        <v>2</v>
      </c>
      <c r="M46" s="127">
        <f t="shared" si="1"/>
        <v>2</v>
      </c>
      <c r="N46" s="128"/>
      <c r="O46" s="129">
        <f t="shared" si="2"/>
        <v>1</v>
      </c>
      <c r="P46" s="128"/>
      <c r="Q46" s="128"/>
      <c r="R46" s="128"/>
      <c r="S46" s="26">
        <f t="shared" si="3"/>
        <v>3</v>
      </c>
      <c r="T46" s="25" t="str">
        <f t="shared" si="4"/>
        <v>OK</v>
      </c>
      <c r="U46" s="22"/>
      <c r="V46" s="22"/>
      <c r="W46" s="22">
        <v>2</v>
      </c>
      <c r="X46" s="22"/>
      <c r="Y46" s="24"/>
      <c r="Z46" s="24"/>
      <c r="AA46" s="24"/>
      <c r="AB46" s="22"/>
      <c r="AC46" s="22"/>
      <c r="AD46" s="22"/>
      <c r="AE46" s="22"/>
      <c r="AF46" s="22"/>
      <c r="AG46" s="22"/>
      <c r="AH46" s="22"/>
    </row>
    <row r="47" spans="1:34" ht="30.25" customHeight="1" x14ac:dyDescent="0.35">
      <c r="A47" s="199"/>
      <c r="B47" s="37">
        <v>44</v>
      </c>
      <c r="C47" s="196"/>
      <c r="D47" s="34" t="s">
        <v>158</v>
      </c>
      <c r="E47" s="41" t="s">
        <v>8</v>
      </c>
      <c r="F47" s="42" t="s">
        <v>28</v>
      </c>
      <c r="G47" s="37" t="s">
        <v>159</v>
      </c>
      <c r="H47" s="37" t="s">
        <v>8</v>
      </c>
      <c r="I47" s="37" t="s">
        <v>9</v>
      </c>
      <c r="J47" s="36">
        <v>1424</v>
      </c>
      <c r="K47" s="27">
        <f>0</f>
        <v>0</v>
      </c>
      <c r="L47" s="127">
        <f t="shared" si="0"/>
        <v>0</v>
      </c>
      <c r="M47" s="127">
        <f t="shared" si="1"/>
        <v>0</v>
      </c>
      <c r="N47" s="128"/>
      <c r="O47" s="129">
        <f t="shared" si="2"/>
        <v>0</v>
      </c>
      <c r="P47" s="128"/>
      <c r="Q47" s="128"/>
      <c r="R47" s="128"/>
      <c r="S47" s="26">
        <f t="shared" si="3"/>
        <v>0</v>
      </c>
      <c r="T47" s="25" t="str">
        <f t="shared" si="4"/>
        <v>OK</v>
      </c>
      <c r="U47" s="22"/>
      <c r="V47" s="22"/>
      <c r="W47" s="22"/>
      <c r="X47" s="22"/>
      <c r="Y47" s="24"/>
      <c r="Z47" s="24"/>
      <c r="AA47" s="24"/>
      <c r="AB47" s="22"/>
      <c r="AC47" s="22"/>
      <c r="AD47" s="22"/>
      <c r="AE47" s="22"/>
      <c r="AF47" s="22"/>
      <c r="AG47" s="22"/>
      <c r="AH47" s="22"/>
    </row>
    <row r="48" spans="1:34" ht="46.5" customHeight="1" x14ac:dyDescent="0.35">
      <c r="A48" s="200"/>
      <c r="B48" s="37">
        <v>45</v>
      </c>
      <c r="C48" s="197"/>
      <c r="D48" s="34" t="s">
        <v>160</v>
      </c>
      <c r="E48" s="35" t="s">
        <v>8</v>
      </c>
      <c r="F48" s="43" t="s">
        <v>28</v>
      </c>
      <c r="G48" s="37" t="s">
        <v>29</v>
      </c>
      <c r="H48" s="37" t="s">
        <v>8</v>
      </c>
      <c r="I48" s="37" t="s">
        <v>9</v>
      </c>
      <c r="J48" s="36">
        <v>2503.0100000000002</v>
      </c>
      <c r="K48" s="27">
        <f>3+1</f>
        <v>4</v>
      </c>
      <c r="L48" s="127">
        <f t="shared" si="0"/>
        <v>4</v>
      </c>
      <c r="M48" s="127">
        <f t="shared" si="1"/>
        <v>4</v>
      </c>
      <c r="N48" s="128"/>
      <c r="O48" s="129">
        <f t="shared" si="2"/>
        <v>1</v>
      </c>
      <c r="P48" s="128"/>
      <c r="Q48" s="128"/>
      <c r="R48" s="128"/>
      <c r="S48" s="26">
        <f t="shared" si="3"/>
        <v>0</v>
      </c>
      <c r="T48" s="25" t="str">
        <f t="shared" si="4"/>
        <v>OK</v>
      </c>
      <c r="U48" s="22"/>
      <c r="V48" s="22"/>
      <c r="W48" s="22">
        <v>3</v>
      </c>
      <c r="X48" s="22">
        <v>1</v>
      </c>
      <c r="Y48" s="24"/>
      <c r="Z48" s="24"/>
      <c r="AA48" s="24"/>
      <c r="AB48" s="22"/>
      <c r="AC48" s="22"/>
      <c r="AD48" s="22"/>
      <c r="AE48" s="22"/>
      <c r="AF48" s="22"/>
      <c r="AG48" s="22"/>
      <c r="AH48" s="22"/>
    </row>
    <row r="49" spans="1:34" ht="30.25" customHeight="1" x14ac:dyDescent="0.35">
      <c r="A49" s="208" t="s">
        <v>161</v>
      </c>
      <c r="B49" s="44">
        <v>46</v>
      </c>
      <c r="C49" s="205" t="s">
        <v>33</v>
      </c>
      <c r="D49" s="46" t="s">
        <v>27</v>
      </c>
      <c r="E49" s="48" t="s">
        <v>8</v>
      </c>
      <c r="F49" s="50" t="s">
        <v>28</v>
      </c>
      <c r="G49" s="44" t="s">
        <v>29</v>
      </c>
      <c r="H49" s="44" t="s">
        <v>8</v>
      </c>
      <c r="I49" s="44" t="s">
        <v>9</v>
      </c>
      <c r="J49" s="47">
        <v>80</v>
      </c>
      <c r="K49" s="27">
        <f>0</f>
        <v>0</v>
      </c>
      <c r="L49" s="127">
        <f t="shared" si="0"/>
        <v>0</v>
      </c>
      <c r="M49" s="127">
        <f t="shared" si="1"/>
        <v>0</v>
      </c>
      <c r="N49" s="128"/>
      <c r="O49" s="129">
        <f t="shared" si="2"/>
        <v>0</v>
      </c>
      <c r="P49" s="128"/>
      <c r="Q49" s="128"/>
      <c r="R49" s="128"/>
      <c r="S49" s="26">
        <f t="shared" si="3"/>
        <v>0</v>
      </c>
      <c r="T49" s="25" t="str">
        <f t="shared" si="4"/>
        <v>OK</v>
      </c>
      <c r="U49" s="22"/>
      <c r="V49" s="22"/>
      <c r="W49" s="22"/>
      <c r="X49" s="22"/>
      <c r="Y49" s="24"/>
      <c r="Z49" s="24"/>
      <c r="AA49" s="24"/>
      <c r="AB49" s="22"/>
      <c r="AC49" s="22"/>
      <c r="AD49" s="22"/>
      <c r="AE49" s="22"/>
      <c r="AF49" s="22"/>
      <c r="AG49" s="22"/>
      <c r="AH49" s="22"/>
    </row>
    <row r="50" spans="1:34" ht="30.25" customHeight="1" x14ac:dyDescent="0.35">
      <c r="A50" s="209"/>
      <c r="B50" s="44">
        <v>47</v>
      </c>
      <c r="C50" s="206"/>
      <c r="D50" s="46" t="s">
        <v>7</v>
      </c>
      <c r="E50" s="48" t="s">
        <v>8</v>
      </c>
      <c r="F50" s="50" t="s">
        <v>28</v>
      </c>
      <c r="G50" s="44" t="s">
        <v>29</v>
      </c>
      <c r="H50" s="44" t="s">
        <v>8</v>
      </c>
      <c r="I50" s="44" t="s">
        <v>9</v>
      </c>
      <c r="J50" s="47">
        <v>550</v>
      </c>
      <c r="K50" s="27">
        <f>0</f>
        <v>0</v>
      </c>
      <c r="L50" s="127">
        <f t="shared" si="0"/>
        <v>0</v>
      </c>
      <c r="M50" s="127">
        <f t="shared" si="1"/>
        <v>0</v>
      </c>
      <c r="N50" s="128"/>
      <c r="O50" s="129">
        <f t="shared" si="2"/>
        <v>0</v>
      </c>
      <c r="P50" s="128"/>
      <c r="Q50" s="128"/>
      <c r="R50" s="128"/>
      <c r="S50" s="26">
        <f t="shared" si="3"/>
        <v>0</v>
      </c>
      <c r="T50" s="25" t="str">
        <f t="shared" si="4"/>
        <v>OK</v>
      </c>
      <c r="U50" s="22"/>
      <c r="V50" s="22"/>
      <c r="W50" s="22"/>
      <c r="X50" s="22"/>
      <c r="Y50" s="24"/>
      <c r="Z50" s="24"/>
      <c r="AA50" s="24"/>
      <c r="AB50" s="22"/>
      <c r="AC50" s="22"/>
      <c r="AD50" s="22"/>
      <c r="AE50" s="22"/>
      <c r="AF50" s="22"/>
      <c r="AG50" s="22"/>
      <c r="AH50" s="22"/>
    </row>
    <row r="51" spans="1:34" ht="30.25" customHeight="1" x14ac:dyDescent="0.35">
      <c r="A51" s="209"/>
      <c r="B51" s="44">
        <v>48</v>
      </c>
      <c r="C51" s="206"/>
      <c r="D51" s="46" t="s">
        <v>10</v>
      </c>
      <c r="E51" s="48" t="s">
        <v>8</v>
      </c>
      <c r="F51" s="50" t="s">
        <v>28</v>
      </c>
      <c r="G51" s="44" t="s">
        <v>29</v>
      </c>
      <c r="H51" s="44" t="s">
        <v>8</v>
      </c>
      <c r="I51" s="44" t="s">
        <v>9</v>
      </c>
      <c r="J51" s="47">
        <v>850</v>
      </c>
      <c r="K51" s="27">
        <f>0</f>
        <v>0</v>
      </c>
      <c r="L51" s="127">
        <f t="shared" si="0"/>
        <v>0</v>
      </c>
      <c r="M51" s="127">
        <f t="shared" si="1"/>
        <v>0</v>
      </c>
      <c r="N51" s="128"/>
      <c r="O51" s="129">
        <f t="shared" si="2"/>
        <v>0</v>
      </c>
      <c r="P51" s="128"/>
      <c r="Q51" s="128"/>
      <c r="R51" s="128"/>
      <c r="S51" s="26">
        <f t="shared" si="3"/>
        <v>0</v>
      </c>
      <c r="T51" s="25" t="str">
        <f t="shared" si="4"/>
        <v>OK</v>
      </c>
      <c r="U51" s="22"/>
      <c r="V51" s="22"/>
      <c r="W51" s="22"/>
      <c r="X51" s="22"/>
      <c r="Y51" s="24"/>
      <c r="Z51" s="24"/>
      <c r="AA51" s="24"/>
      <c r="AB51" s="22"/>
      <c r="AC51" s="22"/>
      <c r="AD51" s="22"/>
      <c r="AE51" s="22"/>
      <c r="AF51" s="22"/>
      <c r="AG51" s="22"/>
      <c r="AH51" s="22"/>
    </row>
    <row r="52" spans="1:34" ht="30.25" customHeight="1" x14ac:dyDescent="0.35">
      <c r="A52" s="209"/>
      <c r="B52" s="44">
        <v>49</v>
      </c>
      <c r="C52" s="206"/>
      <c r="D52" s="46" t="s">
        <v>11</v>
      </c>
      <c r="E52" s="48" t="s">
        <v>8</v>
      </c>
      <c r="F52" s="50" t="s">
        <v>28</v>
      </c>
      <c r="G52" s="44" t="s">
        <v>29</v>
      </c>
      <c r="H52" s="44" t="s">
        <v>8</v>
      </c>
      <c r="I52" s="44" t="s">
        <v>9</v>
      </c>
      <c r="J52" s="47">
        <v>800</v>
      </c>
      <c r="K52" s="27">
        <f>0</f>
        <v>0</v>
      </c>
      <c r="L52" s="127">
        <f t="shared" si="0"/>
        <v>0</v>
      </c>
      <c r="M52" s="127">
        <f t="shared" si="1"/>
        <v>0</v>
      </c>
      <c r="N52" s="128"/>
      <c r="O52" s="129">
        <f t="shared" si="2"/>
        <v>0</v>
      </c>
      <c r="P52" s="128"/>
      <c r="Q52" s="128"/>
      <c r="R52" s="128"/>
      <c r="S52" s="26">
        <f t="shared" si="3"/>
        <v>0</v>
      </c>
      <c r="T52" s="25" t="str">
        <f t="shared" si="4"/>
        <v>OK</v>
      </c>
      <c r="U52" s="22"/>
      <c r="V52" s="22"/>
      <c r="W52" s="22"/>
      <c r="X52" s="22"/>
      <c r="Y52" s="24"/>
      <c r="Z52" s="24"/>
      <c r="AA52" s="24"/>
      <c r="AB52" s="22"/>
      <c r="AC52" s="22"/>
      <c r="AD52" s="22"/>
      <c r="AE52" s="22"/>
      <c r="AF52" s="22"/>
      <c r="AG52" s="22"/>
      <c r="AH52" s="22"/>
    </row>
    <row r="53" spans="1:34" ht="30.25" customHeight="1" x14ac:dyDescent="0.35">
      <c r="A53" s="209"/>
      <c r="B53" s="44">
        <v>50</v>
      </c>
      <c r="C53" s="206"/>
      <c r="D53" s="46" t="s">
        <v>12</v>
      </c>
      <c r="E53" s="48" t="s">
        <v>8</v>
      </c>
      <c r="F53" s="50" t="s">
        <v>28</v>
      </c>
      <c r="G53" s="44" t="s">
        <v>29</v>
      </c>
      <c r="H53" s="44" t="s">
        <v>34</v>
      </c>
      <c r="I53" s="44" t="s">
        <v>9</v>
      </c>
      <c r="J53" s="47">
        <v>50</v>
      </c>
      <c r="K53" s="27">
        <f>0</f>
        <v>0</v>
      </c>
      <c r="L53" s="127">
        <f t="shared" si="0"/>
        <v>0</v>
      </c>
      <c r="M53" s="127">
        <f t="shared" si="1"/>
        <v>0</v>
      </c>
      <c r="N53" s="128"/>
      <c r="O53" s="129">
        <f t="shared" si="2"/>
        <v>0</v>
      </c>
      <c r="P53" s="128"/>
      <c r="Q53" s="128"/>
      <c r="R53" s="128"/>
      <c r="S53" s="26">
        <f t="shared" si="3"/>
        <v>0</v>
      </c>
      <c r="T53" s="25" t="str">
        <f t="shared" si="4"/>
        <v>OK</v>
      </c>
      <c r="U53" s="22"/>
      <c r="V53" s="22"/>
      <c r="W53" s="22"/>
      <c r="X53" s="22"/>
      <c r="Y53" s="24"/>
      <c r="Z53" s="24"/>
      <c r="AA53" s="24"/>
      <c r="AB53" s="22"/>
      <c r="AC53" s="22"/>
      <c r="AD53" s="22"/>
      <c r="AE53" s="22"/>
      <c r="AF53" s="22"/>
      <c r="AG53" s="22"/>
      <c r="AH53" s="22"/>
    </row>
    <row r="54" spans="1:34" ht="30.25" customHeight="1" x14ac:dyDescent="0.35">
      <c r="A54" s="209"/>
      <c r="B54" s="44">
        <v>51</v>
      </c>
      <c r="C54" s="206"/>
      <c r="D54" s="46" t="s">
        <v>156</v>
      </c>
      <c r="E54" s="48" t="s">
        <v>8</v>
      </c>
      <c r="F54" s="50" t="s">
        <v>28</v>
      </c>
      <c r="G54" s="44" t="s">
        <v>29</v>
      </c>
      <c r="H54" s="44" t="s">
        <v>34</v>
      </c>
      <c r="I54" s="44" t="s">
        <v>9</v>
      </c>
      <c r="J54" s="47">
        <v>50</v>
      </c>
      <c r="K54" s="27">
        <f>0</f>
        <v>0</v>
      </c>
      <c r="L54" s="127">
        <f t="shared" si="0"/>
        <v>0</v>
      </c>
      <c r="M54" s="127">
        <f t="shared" si="1"/>
        <v>0</v>
      </c>
      <c r="N54" s="128"/>
      <c r="O54" s="129">
        <f t="shared" si="2"/>
        <v>0</v>
      </c>
      <c r="P54" s="128"/>
      <c r="Q54" s="128"/>
      <c r="R54" s="128"/>
      <c r="S54" s="26">
        <f t="shared" si="3"/>
        <v>0</v>
      </c>
      <c r="T54" s="25" t="str">
        <f t="shared" si="4"/>
        <v>OK</v>
      </c>
      <c r="U54" s="22"/>
      <c r="V54" s="22"/>
      <c r="W54" s="22"/>
      <c r="X54" s="22"/>
      <c r="Y54" s="24"/>
      <c r="Z54" s="24"/>
      <c r="AA54" s="24"/>
      <c r="AB54" s="22"/>
      <c r="AC54" s="22"/>
      <c r="AD54" s="22"/>
      <c r="AE54" s="22"/>
      <c r="AF54" s="22"/>
      <c r="AG54" s="22"/>
      <c r="AH54" s="22"/>
    </row>
    <row r="55" spans="1:34" ht="30.25" customHeight="1" x14ac:dyDescent="0.35">
      <c r="A55" s="209"/>
      <c r="B55" s="44">
        <v>52</v>
      </c>
      <c r="C55" s="206"/>
      <c r="D55" s="46" t="s">
        <v>13</v>
      </c>
      <c r="E55" s="48" t="s">
        <v>8</v>
      </c>
      <c r="F55" s="50" t="s">
        <v>28</v>
      </c>
      <c r="G55" s="44" t="s">
        <v>29</v>
      </c>
      <c r="H55" s="44" t="s">
        <v>34</v>
      </c>
      <c r="I55" s="44" t="s">
        <v>9</v>
      </c>
      <c r="J55" s="47">
        <v>50</v>
      </c>
      <c r="K55" s="27">
        <f>0</f>
        <v>0</v>
      </c>
      <c r="L55" s="127">
        <f t="shared" si="0"/>
        <v>0</v>
      </c>
      <c r="M55" s="127">
        <f t="shared" si="1"/>
        <v>0</v>
      </c>
      <c r="N55" s="128"/>
      <c r="O55" s="129">
        <f t="shared" si="2"/>
        <v>0</v>
      </c>
      <c r="P55" s="128"/>
      <c r="Q55" s="128"/>
      <c r="R55" s="128"/>
      <c r="S55" s="26">
        <f t="shared" si="3"/>
        <v>0</v>
      </c>
      <c r="T55" s="25" t="str">
        <f t="shared" si="4"/>
        <v>OK</v>
      </c>
      <c r="U55" s="22"/>
      <c r="V55" s="22"/>
      <c r="W55" s="22"/>
      <c r="X55" s="22"/>
      <c r="Y55" s="24"/>
      <c r="Z55" s="24"/>
      <c r="AA55" s="24"/>
      <c r="AB55" s="22"/>
      <c r="AC55" s="22"/>
      <c r="AD55" s="22"/>
      <c r="AE55" s="22"/>
      <c r="AF55" s="22"/>
      <c r="AG55" s="22"/>
      <c r="AH55" s="22"/>
    </row>
    <row r="56" spans="1:34" ht="30.25" customHeight="1" x14ac:dyDescent="0.35">
      <c r="A56" s="209"/>
      <c r="B56" s="44">
        <v>53</v>
      </c>
      <c r="C56" s="206"/>
      <c r="D56" s="46" t="s">
        <v>157</v>
      </c>
      <c r="E56" s="48" t="s">
        <v>8</v>
      </c>
      <c r="F56" s="50" t="s">
        <v>28</v>
      </c>
      <c r="G56" s="44" t="s">
        <v>29</v>
      </c>
      <c r="H56" s="44" t="s">
        <v>8</v>
      </c>
      <c r="I56" s="44" t="s">
        <v>9</v>
      </c>
      <c r="J56" s="47">
        <v>50</v>
      </c>
      <c r="K56" s="27">
        <f>0</f>
        <v>0</v>
      </c>
      <c r="L56" s="127">
        <f t="shared" si="0"/>
        <v>0</v>
      </c>
      <c r="M56" s="127">
        <f t="shared" si="1"/>
        <v>0</v>
      </c>
      <c r="N56" s="128"/>
      <c r="O56" s="129">
        <f t="shared" si="2"/>
        <v>0</v>
      </c>
      <c r="P56" s="128"/>
      <c r="Q56" s="128"/>
      <c r="R56" s="128"/>
      <c r="S56" s="26">
        <f t="shared" si="3"/>
        <v>0</v>
      </c>
      <c r="T56" s="25" t="str">
        <f t="shared" si="4"/>
        <v>OK</v>
      </c>
      <c r="U56" s="22"/>
      <c r="V56" s="22"/>
      <c r="W56" s="22"/>
      <c r="X56" s="22"/>
      <c r="Y56" s="24"/>
      <c r="Z56" s="24"/>
      <c r="AA56" s="24"/>
      <c r="AB56" s="22"/>
      <c r="AC56" s="22"/>
      <c r="AD56" s="22"/>
      <c r="AE56" s="22"/>
      <c r="AF56" s="22"/>
      <c r="AG56" s="22"/>
      <c r="AH56" s="22"/>
    </row>
    <row r="57" spans="1:34" ht="30.25" customHeight="1" x14ac:dyDescent="0.35">
      <c r="A57" s="209"/>
      <c r="B57" s="44">
        <v>54</v>
      </c>
      <c r="C57" s="206"/>
      <c r="D57" s="46" t="s">
        <v>30</v>
      </c>
      <c r="E57" s="48" t="s">
        <v>8</v>
      </c>
      <c r="F57" s="50" t="s">
        <v>28</v>
      </c>
      <c r="G57" s="44" t="s">
        <v>29</v>
      </c>
      <c r="H57" s="44" t="s">
        <v>8</v>
      </c>
      <c r="I57" s="44" t="s">
        <v>9</v>
      </c>
      <c r="J57" s="47">
        <v>80</v>
      </c>
      <c r="K57" s="27">
        <f>0</f>
        <v>0</v>
      </c>
      <c r="L57" s="127">
        <f t="shared" si="0"/>
        <v>0</v>
      </c>
      <c r="M57" s="127">
        <f t="shared" si="1"/>
        <v>0</v>
      </c>
      <c r="N57" s="128"/>
      <c r="O57" s="129">
        <f t="shared" si="2"/>
        <v>0</v>
      </c>
      <c r="P57" s="128"/>
      <c r="Q57" s="128"/>
      <c r="R57" s="128"/>
      <c r="S57" s="26">
        <f t="shared" si="3"/>
        <v>0</v>
      </c>
      <c r="T57" s="25" t="str">
        <f t="shared" si="4"/>
        <v>OK</v>
      </c>
      <c r="U57" s="22"/>
      <c r="V57" s="22"/>
      <c r="W57" s="22"/>
      <c r="X57" s="22"/>
      <c r="Y57" s="24"/>
      <c r="Z57" s="24"/>
      <c r="AA57" s="24"/>
      <c r="AB57" s="22"/>
      <c r="AC57" s="22"/>
      <c r="AD57" s="22"/>
      <c r="AE57" s="22"/>
      <c r="AF57" s="22"/>
      <c r="AG57" s="22"/>
      <c r="AH57" s="22"/>
    </row>
    <row r="58" spans="1:34" ht="30.25" customHeight="1" x14ac:dyDescent="0.35">
      <c r="A58" s="209"/>
      <c r="B58" s="44">
        <v>55</v>
      </c>
      <c r="C58" s="206"/>
      <c r="D58" s="46" t="s">
        <v>162</v>
      </c>
      <c r="E58" s="48" t="s">
        <v>8</v>
      </c>
      <c r="F58" s="50" t="s">
        <v>28</v>
      </c>
      <c r="G58" s="44" t="s">
        <v>159</v>
      </c>
      <c r="H58" s="44" t="s">
        <v>8</v>
      </c>
      <c r="I58" s="44" t="s">
        <v>9</v>
      </c>
      <c r="J58" s="47">
        <v>1114</v>
      </c>
      <c r="K58" s="27">
        <f>0</f>
        <v>0</v>
      </c>
      <c r="L58" s="127">
        <f t="shared" si="0"/>
        <v>0</v>
      </c>
      <c r="M58" s="127">
        <f t="shared" si="1"/>
        <v>0</v>
      </c>
      <c r="N58" s="128"/>
      <c r="O58" s="129">
        <f t="shared" si="2"/>
        <v>0</v>
      </c>
      <c r="P58" s="128"/>
      <c r="Q58" s="128"/>
      <c r="R58" s="128"/>
      <c r="S58" s="26">
        <f t="shared" si="3"/>
        <v>0</v>
      </c>
      <c r="T58" s="25" t="str">
        <f t="shared" si="4"/>
        <v>OK</v>
      </c>
      <c r="U58" s="22"/>
      <c r="V58" s="22"/>
      <c r="W58" s="22"/>
      <c r="X58" s="22"/>
      <c r="Y58" s="24"/>
      <c r="Z58" s="24"/>
      <c r="AA58" s="24"/>
      <c r="AB58" s="22"/>
      <c r="AC58" s="22"/>
      <c r="AD58" s="22"/>
      <c r="AE58" s="22"/>
      <c r="AF58" s="22"/>
      <c r="AG58" s="22"/>
      <c r="AH58" s="22"/>
    </row>
    <row r="59" spans="1:34" ht="30.25" customHeight="1" x14ac:dyDescent="0.35">
      <c r="A59" s="210"/>
      <c r="B59" s="44">
        <v>56</v>
      </c>
      <c r="C59" s="207"/>
      <c r="D59" s="46" t="s">
        <v>160</v>
      </c>
      <c r="E59" s="48" t="s">
        <v>8</v>
      </c>
      <c r="F59" s="50" t="s">
        <v>28</v>
      </c>
      <c r="G59" s="44" t="s">
        <v>29</v>
      </c>
      <c r="H59" s="44" t="s">
        <v>8</v>
      </c>
      <c r="I59" s="44" t="s">
        <v>9</v>
      </c>
      <c r="J59" s="47">
        <v>2000</v>
      </c>
      <c r="K59" s="27">
        <f>0</f>
        <v>0</v>
      </c>
      <c r="L59" s="127">
        <f t="shared" si="0"/>
        <v>0</v>
      </c>
      <c r="M59" s="127">
        <f t="shared" si="1"/>
        <v>0</v>
      </c>
      <c r="N59" s="128"/>
      <c r="O59" s="129">
        <f t="shared" si="2"/>
        <v>0</v>
      </c>
      <c r="P59" s="128"/>
      <c r="Q59" s="128"/>
      <c r="R59" s="128"/>
      <c r="S59" s="26">
        <f t="shared" si="3"/>
        <v>0</v>
      </c>
      <c r="T59" s="25" t="str">
        <f t="shared" si="4"/>
        <v>OK</v>
      </c>
      <c r="U59" s="22"/>
      <c r="V59" s="22"/>
      <c r="W59" s="22"/>
      <c r="X59" s="22"/>
      <c r="Y59" s="24"/>
      <c r="Z59" s="24"/>
      <c r="AA59" s="24"/>
      <c r="AB59" s="22"/>
      <c r="AC59" s="22"/>
      <c r="AD59" s="22"/>
      <c r="AE59" s="22"/>
      <c r="AF59" s="22"/>
      <c r="AG59" s="22"/>
      <c r="AH59" s="22"/>
    </row>
    <row r="60" spans="1:34" ht="30.25" customHeight="1" x14ac:dyDescent="0.35">
      <c r="A60" s="198" t="s">
        <v>163</v>
      </c>
      <c r="B60" s="37">
        <v>57</v>
      </c>
      <c r="C60" s="195" t="s">
        <v>33</v>
      </c>
      <c r="D60" s="34" t="s">
        <v>27</v>
      </c>
      <c r="E60" s="41" t="s">
        <v>8</v>
      </c>
      <c r="F60" s="43" t="s">
        <v>28</v>
      </c>
      <c r="G60" s="37" t="s">
        <v>29</v>
      </c>
      <c r="H60" s="37" t="s">
        <v>8</v>
      </c>
      <c r="I60" s="37" t="s">
        <v>9</v>
      </c>
      <c r="J60" s="36">
        <v>250.5</v>
      </c>
      <c r="K60" s="27">
        <f>0</f>
        <v>0</v>
      </c>
      <c r="L60" s="127">
        <f t="shared" si="0"/>
        <v>0</v>
      </c>
      <c r="M60" s="127">
        <f t="shared" si="1"/>
        <v>0</v>
      </c>
      <c r="N60" s="128"/>
      <c r="O60" s="129">
        <f t="shared" si="2"/>
        <v>0</v>
      </c>
      <c r="P60" s="128"/>
      <c r="Q60" s="128"/>
      <c r="R60" s="128"/>
      <c r="S60" s="26">
        <f t="shared" si="3"/>
        <v>0</v>
      </c>
      <c r="T60" s="25" t="str">
        <f t="shared" si="4"/>
        <v>OK</v>
      </c>
      <c r="U60" s="22"/>
      <c r="V60" s="22"/>
      <c r="W60" s="22"/>
      <c r="X60" s="22"/>
      <c r="Y60" s="24"/>
      <c r="Z60" s="24"/>
      <c r="AA60" s="24"/>
      <c r="AB60" s="22"/>
      <c r="AC60" s="22"/>
      <c r="AD60" s="22"/>
      <c r="AE60" s="22"/>
      <c r="AF60" s="22"/>
      <c r="AG60" s="22"/>
      <c r="AH60" s="22"/>
    </row>
    <row r="61" spans="1:34" ht="30.25" customHeight="1" x14ac:dyDescent="0.35">
      <c r="A61" s="199"/>
      <c r="B61" s="37">
        <v>58</v>
      </c>
      <c r="C61" s="196"/>
      <c r="D61" s="34" t="s">
        <v>7</v>
      </c>
      <c r="E61" s="41" t="s">
        <v>8</v>
      </c>
      <c r="F61" s="43" t="s">
        <v>28</v>
      </c>
      <c r="G61" s="37" t="s">
        <v>29</v>
      </c>
      <c r="H61" s="37" t="s">
        <v>8</v>
      </c>
      <c r="I61" s="37" t="s">
        <v>9</v>
      </c>
      <c r="J61" s="36">
        <v>1000</v>
      </c>
      <c r="K61" s="27">
        <f>0</f>
        <v>0</v>
      </c>
      <c r="L61" s="127">
        <f t="shared" si="0"/>
        <v>0</v>
      </c>
      <c r="M61" s="127">
        <f t="shared" si="1"/>
        <v>0</v>
      </c>
      <c r="N61" s="128"/>
      <c r="O61" s="129">
        <f t="shared" si="2"/>
        <v>0</v>
      </c>
      <c r="P61" s="128"/>
      <c r="Q61" s="128"/>
      <c r="R61" s="128"/>
      <c r="S61" s="26">
        <f t="shared" si="3"/>
        <v>0</v>
      </c>
      <c r="T61" s="25" t="str">
        <f t="shared" si="4"/>
        <v>OK</v>
      </c>
      <c r="U61" s="22"/>
      <c r="V61" s="22"/>
      <c r="W61" s="22"/>
      <c r="X61" s="22"/>
      <c r="Y61" s="24"/>
      <c r="Z61" s="24"/>
      <c r="AA61" s="24"/>
      <c r="AB61" s="22"/>
      <c r="AC61" s="22"/>
      <c r="AD61" s="22"/>
      <c r="AE61" s="22"/>
      <c r="AF61" s="22"/>
      <c r="AG61" s="22"/>
      <c r="AH61" s="22"/>
    </row>
    <row r="62" spans="1:34" ht="30.25" customHeight="1" x14ac:dyDescent="0.35">
      <c r="A62" s="199"/>
      <c r="B62" s="37">
        <v>59</v>
      </c>
      <c r="C62" s="196"/>
      <c r="D62" s="34" t="s">
        <v>10</v>
      </c>
      <c r="E62" s="41" t="s">
        <v>8</v>
      </c>
      <c r="F62" s="43" t="s">
        <v>28</v>
      </c>
      <c r="G62" s="37" t="s">
        <v>29</v>
      </c>
      <c r="H62" s="37" t="s">
        <v>8</v>
      </c>
      <c r="I62" s="37" t="s">
        <v>9</v>
      </c>
      <c r="J62" s="36">
        <v>1500</v>
      </c>
      <c r="K62" s="27">
        <f>0</f>
        <v>0</v>
      </c>
      <c r="L62" s="127">
        <f t="shared" si="0"/>
        <v>0</v>
      </c>
      <c r="M62" s="127">
        <f t="shared" si="1"/>
        <v>0</v>
      </c>
      <c r="N62" s="128"/>
      <c r="O62" s="129">
        <f t="shared" si="2"/>
        <v>0</v>
      </c>
      <c r="P62" s="128"/>
      <c r="Q62" s="128"/>
      <c r="R62" s="128"/>
      <c r="S62" s="26">
        <f t="shared" si="3"/>
        <v>0</v>
      </c>
      <c r="T62" s="25" t="str">
        <f t="shared" si="4"/>
        <v>OK</v>
      </c>
      <c r="U62" s="22"/>
      <c r="V62" s="22"/>
      <c r="W62" s="22"/>
      <c r="X62" s="22"/>
      <c r="Y62" s="24"/>
      <c r="Z62" s="24"/>
      <c r="AA62" s="24"/>
      <c r="AB62" s="22"/>
      <c r="AC62" s="22"/>
      <c r="AD62" s="22"/>
      <c r="AE62" s="22"/>
      <c r="AF62" s="22"/>
      <c r="AG62" s="22"/>
      <c r="AH62" s="22"/>
    </row>
    <row r="63" spans="1:34" ht="30.25" customHeight="1" x14ac:dyDescent="0.35">
      <c r="A63" s="199"/>
      <c r="B63" s="37">
        <v>60</v>
      </c>
      <c r="C63" s="196"/>
      <c r="D63" s="34" t="s">
        <v>11</v>
      </c>
      <c r="E63" s="41" t="s">
        <v>8</v>
      </c>
      <c r="F63" s="43" t="s">
        <v>28</v>
      </c>
      <c r="G63" s="37" t="s">
        <v>29</v>
      </c>
      <c r="H63" s="37" t="s">
        <v>8</v>
      </c>
      <c r="I63" s="37" t="s">
        <v>9</v>
      </c>
      <c r="J63" s="36">
        <v>1731</v>
      </c>
      <c r="K63" s="27">
        <f>0</f>
        <v>0</v>
      </c>
      <c r="L63" s="127">
        <f t="shared" si="0"/>
        <v>0</v>
      </c>
      <c r="M63" s="127">
        <f t="shared" si="1"/>
        <v>0</v>
      </c>
      <c r="N63" s="128"/>
      <c r="O63" s="129">
        <f t="shared" si="2"/>
        <v>0</v>
      </c>
      <c r="P63" s="128"/>
      <c r="Q63" s="128"/>
      <c r="R63" s="128"/>
      <c r="S63" s="26">
        <f t="shared" si="3"/>
        <v>0</v>
      </c>
      <c r="T63" s="25" t="str">
        <f t="shared" si="4"/>
        <v>OK</v>
      </c>
      <c r="U63" s="22"/>
      <c r="V63" s="22"/>
      <c r="W63" s="22"/>
      <c r="X63" s="22"/>
      <c r="Y63" s="24"/>
      <c r="Z63" s="24"/>
      <c r="AA63" s="24"/>
      <c r="AB63" s="22"/>
      <c r="AC63" s="22"/>
      <c r="AD63" s="22"/>
      <c r="AE63" s="22"/>
      <c r="AF63" s="22"/>
      <c r="AG63" s="22"/>
      <c r="AH63" s="22"/>
    </row>
    <row r="64" spans="1:34" ht="30.25" customHeight="1" x14ac:dyDescent="0.35">
      <c r="A64" s="199"/>
      <c r="B64" s="37">
        <v>61</v>
      </c>
      <c r="C64" s="196"/>
      <c r="D64" s="34" t="s">
        <v>12</v>
      </c>
      <c r="E64" s="41" t="s">
        <v>8</v>
      </c>
      <c r="F64" s="43" t="s">
        <v>28</v>
      </c>
      <c r="G64" s="37" t="s">
        <v>29</v>
      </c>
      <c r="H64" s="37" t="s">
        <v>34</v>
      </c>
      <c r="I64" s="37" t="s">
        <v>9</v>
      </c>
      <c r="J64" s="36">
        <v>160</v>
      </c>
      <c r="K64" s="27">
        <f>0</f>
        <v>0</v>
      </c>
      <c r="L64" s="127">
        <f t="shared" si="0"/>
        <v>0</v>
      </c>
      <c r="M64" s="127">
        <f t="shared" si="1"/>
        <v>0</v>
      </c>
      <c r="N64" s="128"/>
      <c r="O64" s="129">
        <f t="shared" si="2"/>
        <v>0</v>
      </c>
      <c r="P64" s="128"/>
      <c r="Q64" s="128"/>
      <c r="R64" s="128"/>
      <c r="S64" s="26">
        <f t="shared" si="3"/>
        <v>0</v>
      </c>
      <c r="T64" s="25" t="str">
        <f t="shared" si="4"/>
        <v>OK</v>
      </c>
      <c r="U64" s="22"/>
      <c r="V64" s="22"/>
      <c r="W64" s="22"/>
      <c r="X64" s="22"/>
      <c r="Y64" s="24"/>
      <c r="Z64" s="24"/>
      <c r="AA64" s="24"/>
      <c r="AB64" s="22"/>
      <c r="AC64" s="22"/>
      <c r="AD64" s="22"/>
      <c r="AE64" s="22"/>
      <c r="AF64" s="22"/>
      <c r="AG64" s="22"/>
      <c r="AH64" s="22"/>
    </row>
    <row r="65" spans="1:34" ht="30.25" customHeight="1" x14ac:dyDescent="0.35">
      <c r="A65" s="199"/>
      <c r="B65" s="37">
        <v>62</v>
      </c>
      <c r="C65" s="196"/>
      <c r="D65" s="34" t="s">
        <v>156</v>
      </c>
      <c r="E65" s="41" t="s">
        <v>8</v>
      </c>
      <c r="F65" s="43" t="s">
        <v>28</v>
      </c>
      <c r="G65" s="37" t="s">
        <v>29</v>
      </c>
      <c r="H65" s="37" t="s">
        <v>34</v>
      </c>
      <c r="I65" s="37" t="s">
        <v>9</v>
      </c>
      <c r="J65" s="36">
        <v>135</v>
      </c>
      <c r="K65" s="27">
        <f>0</f>
        <v>0</v>
      </c>
      <c r="L65" s="127">
        <f t="shared" si="0"/>
        <v>0</v>
      </c>
      <c r="M65" s="127">
        <f t="shared" si="1"/>
        <v>0</v>
      </c>
      <c r="N65" s="128"/>
      <c r="O65" s="129">
        <f t="shared" si="2"/>
        <v>0</v>
      </c>
      <c r="P65" s="128"/>
      <c r="Q65" s="128"/>
      <c r="R65" s="128"/>
      <c r="S65" s="26">
        <f t="shared" si="3"/>
        <v>0</v>
      </c>
      <c r="T65" s="25" t="str">
        <f t="shared" si="4"/>
        <v>OK</v>
      </c>
      <c r="U65" s="22"/>
      <c r="V65" s="22"/>
      <c r="W65" s="22"/>
      <c r="X65" s="22"/>
      <c r="Y65" s="24"/>
      <c r="Z65" s="24"/>
      <c r="AA65" s="24"/>
      <c r="AB65" s="22"/>
      <c r="AC65" s="22"/>
      <c r="AD65" s="22"/>
      <c r="AE65" s="22"/>
      <c r="AF65" s="22"/>
      <c r="AG65" s="22"/>
      <c r="AH65" s="22"/>
    </row>
    <row r="66" spans="1:34" ht="30.25" customHeight="1" x14ac:dyDescent="0.35">
      <c r="A66" s="199"/>
      <c r="B66" s="37">
        <v>63</v>
      </c>
      <c r="C66" s="196"/>
      <c r="D66" s="34" t="s">
        <v>13</v>
      </c>
      <c r="E66" s="41" t="s">
        <v>8</v>
      </c>
      <c r="F66" s="43" t="s">
        <v>28</v>
      </c>
      <c r="G66" s="37" t="s">
        <v>29</v>
      </c>
      <c r="H66" s="37" t="s">
        <v>34</v>
      </c>
      <c r="I66" s="37" t="s">
        <v>9</v>
      </c>
      <c r="J66" s="36">
        <v>135</v>
      </c>
      <c r="K66" s="27">
        <f>0</f>
        <v>0</v>
      </c>
      <c r="L66" s="127">
        <f t="shared" si="0"/>
        <v>0</v>
      </c>
      <c r="M66" s="127">
        <f t="shared" si="1"/>
        <v>0</v>
      </c>
      <c r="N66" s="128"/>
      <c r="O66" s="129">
        <f t="shared" si="2"/>
        <v>0</v>
      </c>
      <c r="P66" s="128"/>
      <c r="Q66" s="128"/>
      <c r="R66" s="128"/>
      <c r="S66" s="26">
        <f t="shared" si="3"/>
        <v>0</v>
      </c>
      <c r="T66" s="25" t="str">
        <f t="shared" si="4"/>
        <v>OK</v>
      </c>
      <c r="U66" s="22"/>
      <c r="V66" s="22"/>
      <c r="W66" s="22"/>
      <c r="X66" s="22"/>
      <c r="Y66" s="24"/>
      <c r="Z66" s="24"/>
      <c r="AA66" s="24"/>
      <c r="AB66" s="22"/>
      <c r="AC66" s="22"/>
      <c r="AD66" s="22"/>
      <c r="AE66" s="22"/>
      <c r="AF66" s="22"/>
      <c r="AG66" s="22"/>
      <c r="AH66" s="22"/>
    </row>
    <row r="67" spans="1:34" ht="30.25" customHeight="1" x14ac:dyDescent="0.35">
      <c r="A67" s="199"/>
      <c r="B67" s="37">
        <v>64</v>
      </c>
      <c r="C67" s="196"/>
      <c r="D67" s="34" t="s">
        <v>157</v>
      </c>
      <c r="E67" s="41" t="s">
        <v>8</v>
      </c>
      <c r="F67" s="43" t="s">
        <v>28</v>
      </c>
      <c r="G67" s="37" t="s">
        <v>29</v>
      </c>
      <c r="H67" s="37" t="s">
        <v>8</v>
      </c>
      <c r="I67" s="37" t="s">
        <v>9</v>
      </c>
      <c r="J67" s="36">
        <v>365</v>
      </c>
      <c r="K67" s="27">
        <f>0</f>
        <v>0</v>
      </c>
      <c r="L67" s="127">
        <f t="shared" si="0"/>
        <v>0</v>
      </c>
      <c r="M67" s="127">
        <f t="shared" si="1"/>
        <v>0</v>
      </c>
      <c r="N67" s="128"/>
      <c r="O67" s="129">
        <f t="shared" si="2"/>
        <v>0</v>
      </c>
      <c r="P67" s="128"/>
      <c r="Q67" s="128"/>
      <c r="R67" s="128"/>
      <c r="S67" s="26">
        <f t="shared" si="3"/>
        <v>0</v>
      </c>
      <c r="T67" s="25" t="str">
        <f t="shared" si="4"/>
        <v>OK</v>
      </c>
      <c r="U67" s="22"/>
      <c r="V67" s="22"/>
      <c r="W67" s="22"/>
      <c r="X67" s="22"/>
      <c r="Y67" s="24"/>
      <c r="Z67" s="24"/>
      <c r="AA67" s="24"/>
      <c r="AB67" s="22"/>
      <c r="AC67" s="22"/>
      <c r="AD67" s="22"/>
      <c r="AE67" s="22"/>
      <c r="AF67" s="22"/>
      <c r="AG67" s="22"/>
      <c r="AH67" s="22"/>
    </row>
    <row r="68" spans="1:34" ht="30.25" customHeight="1" x14ac:dyDescent="0.35">
      <c r="A68" s="200"/>
      <c r="B68" s="37">
        <v>65</v>
      </c>
      <c r="C68" s="197"/>
      <c r="D68" s="34" t="s">
        <v>30</v>
      </c>
      <c r="E68" s="41" t="s">
        <v>8</v>
      </c>
      <c r="F68" s="43" t="s">
        <v>28</v>
      </c>
      <c r="G68" s="37" t="s">
        <v>29</v>
      </c>
      <c r="H68" s="37" t="s">
        <v>8</v>
      </c>
      <c r="I68" s="37" t="s">
        <v>9</v>
      </c>
      <c r="J68" s="36">
        <v>100</v>
      </c>
      <c r="K68" s="27">
        <f>0</f>
        <v>0</v>
      </c>
      <c r="L68" s="127">
        <f t="shared" si="0"/>
        <v>0</v>
      </c>
      <c r="M68" s="127">
        <f t="shared" si="1"/>
        <v>0</v>
      </c>
      <c r="N68" s="128"/>
      <c r="O68" s="129">
        <f t="shared" si="2"/>
        <v>0</v>
      </c>
      <c r="P68" s="128"/>
      <c r="Q68" s="128"/>
      <c r="R68" s="128"/>
      <c r="S68" s="26">
        <f t="shared" si="3"/>
        <v>0</v>
      </c>
      <c r="T68" s="25" t="str">
        <f t="shared" si="4"/>
        <v>OK</v>
      </c>
      <c r="U68" s="22"/>
      <c r="V68" s="22"/>
      <c r="W68" s="22"/>
      <c r="X68" s="22"/>
      <c r="Y68" s="24"/>
      <c r="Z68" s="24"/>
      <c r="AA68" s="24"/>
      <c r="AB68" s="22"/>
      <c r="AC68" s="22"/>
      <c r="AD68" s="22"/>
      <c r="AE68" s="22"/>
      <c r="AF68" s="22"/>
      <c r="AG68" s="22"/>
      <c r="AH68" s="22"/>
    </row>
    <row r="69" spans="1:34" ht="30.25" customHeight="1" x14ac:dyDescent="0.35">
      <c r="A69" s="208" t="s">
        <v>164</v>
      </c>
      <c r="B69" s="44">
        <v>66</v>
      </c>
      <c r="C69" s="205" t="s">
        <v>92</v>
      </c>
      <c r="D69" s="46" t="s">
        <v>27</v>
      </c>
      <c r="E69" s="48" t="s">
        <v>8</v>
      </c>
      <c r="F69" s="50" t="s">
        <v>28</v>
      </c>
      <c r="G69" s="44" t="s">
        <v>29</v>
      </c>
      <c r="H69" s="44" t="s">
        <v>8</v>
      </c>
      <c r="I69" s="44" t="s">
        <v>9</v>
      </c>
      <c r="J69" s="47">
        <v>140</v>
      </c>
      <c r="K69" s="27">
        <f>0</f>
        <v>0</v>
      </c>
      <c r="L69" s="127">
        <f t="shared" ref="L69:L81" si="5">IF(SUM(U69:AL69)&gt;K69+N69,K69+N69,SUM(U69:AL69))</f>
        <v>0</v>
      </c>
      <c r="M69" s="127">
        <f t="shared" ref="M69:M81" si="6">(SUM(U69:AL69))</f>
        <v>0</v>
      </c>
      <c r="N69" s="128"/>
      <c r="O69" s="129">
        <f t="shared" ref="O69:O81" si="7">ROUND(IF(K69*0.25-0.5&lt;0,0,K69*0.25-0.5),0)-R69-P69</f>
        <v>0</v>
      </c>
      <c r="P69" s="128"/>
      <c r="Q69" s="128"/>
      <c r="R69" s="128"/>
      <c r="S69" s="26">
        <f t="shared" ref="S69:S81" si="8">K69-SUM(U69:AH69)+N69</f>
        <v>0</v>
      </c>
      <c r="T69" s="25" t="str">
        <f t="shared" ref="T69:T82" si="9">IF(S69&lt;0,"ATENÇÃO","OK")</f>
        <v>OK</v>
      </c>
      <c r="U69" s="22"/>
      <c r="V69" s="22"/>
      <c r="W69" s="22"/>
      <c r="X69" s="22"/>
      <c r="Y69" s="24"/>
      <c r="Z69" s="24"/>
      <c r="AA69" s="24"/>
      <c r="AB69" s="22"/>
      <c r="AC69" s="22"/>
      <c r="AD69" s="22"/>
      <c r="AE69" s="22"/>
      <c r="AF69" s="22"/>
      <c r="AG69" s="22"/>
      <c r="AH69" s="22"/>
    </row>
    <row r="70" spans="1:34" ht="30.25" customHeight="1" x14ac:dyDescent="0.35">
      <c r="A70" s="209"/>
      <c r="B70" s="44">
        <v>67</v>
      </c>
      <c r="C70" s="206"/>
      <c r="D70" s="46" t="s">
        <v>7</v>
      </c>
      <c r="E70" s="48" t="s">
        <v>8</v>
      </c>
      <c r="F70" s="50" t="s">
        <v>28</v>
      </c>
      <c r="G70" s="44" t="s">
        <v>29</v>
      </c>
      <c r="H70" s="44" t="s">
        <v>8</v>
      </c>
      <c r="I70" s="44" t="s">
        <v>9</v>
      </c>
      <c r="J70" s="47">
        <v>530</v>
      </c>
      <c r="K70" s="27">
        <f>0</f>
        <v>0</v>
      </c>
      <c r="L70" s="127">
        <f t="shared" si="5"/>
        <v>0</v>
      </c>
      <c r="M70" s="127">
        <f t="shared" si="6"/>
        <v>0</v>
      </c>
      <c r="N70" s="128"/>
      <c r="O70" s="129">
        <f t="shared" si="7"/>
        <v>0</v>
      </c>
      <c r="P70" s="128"/>
      <c r="Q70" s="128"/>
      <c r="R70" s="128"/>
      <c r="S70" s="26">
        <f t="shared" si="8"/>
        <v>0</v>
      </c>
      <c r="T70" s="25" t="str">
        <f t="shared" si="9"/>
        <v>OK</v>
      </c>
      <c r="U70" s="22"/>
      <c r="V70" s="22"/>
      <c r="W70" s="22"/>
      <c r="X70" s="22"/>
      <c r="Y70" s="24"/>
      <c r="Z70" s="24"/>
      <c r="AA70" s="24"/>
      <c r="AB70" s="22"/>
      <c r="AC70" s="22"/>
      <c r="AD70" s="22"/>
      <c r="AE70" s="22"/>
      <c r="AF70" s="22"/>
      <c r="AG70" s="22"/>
      <c r="AH70" s="22"/>
    </row>
    <row r="71" spans="1:34" ht="30.25" customHeight="1" x14ac:dyDescent="0.35">
      <c r="A71" s="209"/>
      <c r="B71" s="44">
        <v>68</v>
      </c>
      <c r="C71" s="206"/>
      <c r="D71" s="46" t="s">
        <v>10</v>
      </c>
      <c r="E71" s="48" t="s">
        <v>8</v>
      </c>
      <c r="F71" s="50" t="s">
        <v>28</v>
      </c>
      <c r="G71" s="44" t="s">
        <v>29</v>
      </c>
      <c r="H71" s="44" t="s">
        <v>8</v>
      </c>
      <c r="I71" s="44" t="s">
        <v>9</v>
      </c>
      <c r="J71" s="47">
        <v>660</v>
      </c>
      <c r="K71" s="27">
        <f>0</f>
        <v>0</v>
      </c>
      <c r="L71" s="127">
        <f t="shared" si="5"/>
        <v>0</v>
      </c>
      <c r="M71" s="127">
        <f t="shared" si="6"/>
        <v>0</v>
      </c>
      <c r="N71" s="128"/>
      <c r="O71" s="129">
        <f t="shared" si="7"/>
        <v>0</v>
      </c>
      <c r="P71" s="128"/>
      <c r="Q71" s="128"/>
      <c r="R71" s="128"/>
      <c r="S71" s="26">
        <f t="shared" si="8"/>
        <v>0</v>
      </c>
      <c r="T71" s="25" t="str">
        <f t="shared" si="9"/>
        <v>OK</v>
      </c>
      <c r="U71" s="22"/>
      <c r="V71" s="22"/>
      <c r="W71" s="22"/>
      <c r="X71" s="22"/>
      <c r="Y71" s="24"/>
      <c r="Z71" s="24"/>
      <c r="AA71" s="24"/>
      <c r="AB71" s="22"/>
      <c r="AC71" s="22"/>
      <c r="AD71" s="22"/>
      <c r="AE71" s="22"/>
      <c r="AF71" s="22"/>
      <c r="AG71" s="22"/>
      <c r="AH71" s="22"/>
    </row>
    <row r="72" spans="1:34" ht="30.25" customHeight="1" x14ac:dyDescent="0.35">
      <c r="A72" s="209"/>
      <c r="B72" s="44">
        <v>69</v>
      </c>
      <c r="C72" s="206"/>
      <c r="D72" s="46" t="s">
        <v>11</v>
      </c>
      <c r="E72" s="48" t="s">
        <v>8</v>
      </c>
      <c r="F72" s="50" t="s">
        <v>28</v>
      </c>
      <c r="G72" s="44" t="s">
        <v>29</v>
      </c>
      <c r="H72" s="44" t="s">
        <v>8</v>
      </c>
      <c r="I72" s="44" t="s">
        <v>9</v>
      </c>
      <c r="J72" s="47">
        <v>760</v>
      </c>
      <c r="K72" s="27">
        <f>0</f>
        <v>0</v>
      </c>
      <c r="L72" s="127">
        <f t="shared" si="5"/>
        <v>0</v>
      </c>
      <c r="M72" s="127">
        <f t="shared" si="6"/>
        <v>0</v>
      </c>
      <c r="N72" s="128"/>
      <c r="O72" s="129">
        <f t="shared" si="7"/>
        <v>0</v>
      </c>
      <c r="P72" s="128"/>
      <c r="Q72" s="128"/>
      <c r="R72" s="128"/>
      <c r="S72" s="26">
        <f t="shared" si="8"/>
        <v>0</v>
      </c>
      <c r="T72" s="25" t="str">
        <f t="shared" si="9"/>
        <v>OK</v>
      </c>
      <c r="U72" s="22"/>
      <c r="V72" s="22"/>
      <c r="W72" s="22"/>
      <c r="X72" s="22"/>
      <c r="Y72" s="24"/>
      <c r="Z72" s="24"/>
      <c r="AA72" s="24"/>
      <c r="AB72" s="22"/>
      <c r="AC72" s="22"/>
      <c r="AD72" s="22"/>
      <c r="AE72" s="22"/>
      <c r="AF72" s="22"/>
      <c r="AG72" s="22"/>
      <c r="AH72" s="22"/>
    </row>
    <row r="73" spans="1:34" ht="30.25" customHeight="1" x14ac:dyDescent="0.35">
      <c r="A73" s="209"/>
      <c r="B73" s="44">
        <v>70</v>
      </c>
      <c r="C73" s="206"/>
      <c r="D73" s="46" t="s">
        <v>12</v>
      </c>
      <c r="E73" s="48" t="s">
        <v>8</v>
      </c>
      <c r="F73" s="50" t="s">
        <v>28</v>
      </c>
      <c r="G73" s="44" t="s">
        <v>29</v>
      </c>
      <c r="H73" s="44" t="s">
        <v>34</v>
      </c>
      <c r="I73" s="44" t="s">
        <v>9</v>
      </c>
      <c r="J73" s="47">
        <v>70</v>
      </c>
      <c r="K73" s="27">
        <f>0</f>
        <v>0</v>
      </c>
      <c r="L73" s="127">
        <f t="shared" si="5"/>
        <v>0</v>
      </c>
      <c r="M73" s="127">
        <f t="shared" si="6"/>
        <v>0</v>
      </c>
      <c r="N73" s="128"/>
      <c r="O73" s="129">
        <f t="shared" si="7"/>
        <v>0</v>
      </c>
      <c r="P73" s="128"/>
      <c r="Q73" s="128"/>
      <c r="R73" s="128"/>
      <c r="S73" s="26">
        <f t="shared" si="8"/>
        <v>0</v>
      </c>
      <c r="T73" s="25" t="str">
        <f t="shared" si="9"/>
        <v>OK</v>
      </c>
      <c r="U73" s="22"/>
      <c r="V73" s="22"/>
      <c r="W73" s="22"/>
      <c r="X73" s="22"/>
      <c r="Y73" s="24"/>
      <c r="Z73" s="24"/>
      <c r="AA73" s="24"/>
      <c r="AB73" s="22"/>
      <c r="AC73" s="22"/>
      <c r="AD73" s="22"/>
      <c r="AE73" s="22"/>
      <c r="AF73" s="22"/>
      <c r="AG73" s="22"/>
      <c r="AH73" s="22"/>
    </row>
    <row r="74" spans="1:34" ht="30.25" customHeight="1" x14ac:dyDescent="0.35">
      <c r="A74" s="209"/>
      <c r="B74" s="44">
        <v>71</v>
      </c>
      <c r="C74" s="206"/>
      <c r="D74" s="46" t="s">
        <v>156</v>
      </c>
      <c r="E74" s="48" t="s">
        <v>8</v>
      </c>
      <c r="F74" s="50" t="s">
        <v>28</v>
      </c>
      <c r="G74" s="44" t="s">
        <v>29</v>
      </c>
      <c r="H74" s="44" t="s">
        <v>34</v>
      </c>
      <c r="I74" s="44" t="s">
        <v>9</v>
      </c>
      <c r="J74" s="47">
        <v>75</v>
      </c>
      <c r="K74" s="27">
        <f>0</f>
        <v>0</v>
      </c>
      <c r="L74" s="127">
        <f t="shared" si="5"/>
        <v>0</v>
      </c>
      <c r="M74" s="127">
        <f t="shared" si="6"/>
        <v>0</v>
      </c>
      <c r="N74" s="128"/>
      <c r="O74" s="129">
        <f t="shared" si="7"/>
        <v>0</v>
      </c>
      <c r="P74" s="128"/>
      <c r="Q74" s="128"/>
      <c r="R74" s="128"/>
      <c r="S74" s="26">
        <f t="shared" si="8"/>
        <v>0</v>
      </c>
      <c r="T74" s="25" t="str">
        <f t="shared" si="9"/>
        <v>OK</v>
      </c>
      <c r="U74" s="22"/>
      <c r="V74" s="22"/>
      <c r="W74" s="22"/>
      <c r="X74" s="22"/>
      <c r="Y74" s="24"/>
      <c r="Z74" s="24"/>
      <c r="AA74" s="24"/>
      <c r="AB74" s="22"/>
      <c r="AC74" s="22"/>
      <c r="AD74" s="22"/>
      <c r="AE74" s="22"/>
      <c r="AF74" s="22"/>
      <c r="AG74" s="22"/>
      <c r="AH74" s="22"/>
    </row>
    <row r="75" spans="1:34" ht="30.25" customHeight="1" x14ac:dyDescent="0.35">
      <c r="A75" s="209"/>
      <c r="B75" s="44">
        <v>72</v>
      </c>
      <c r="C75" s="206"/>
      <c r="D75" s="46" t="s">
        <v>13</v>
      </c>
      <c r="E75" s="48" t="s">
        <v>8</v>
      </c>
      <c r="F75" s="50" t="s">
        <v>28</v>
      </c>
      <c r="G75" s="44" t="s">
        <v>29</v>
      </c>
      <c r="H75" s="44" t="s">
        <v>34</v>
      </c>
      <c r="I75" s="44" t="s">
        <v>9</v>
      </c>
      <c r="J75" s="47">
        <v>80</v>
      </c>
      <c r="K75" s="27">
        <f>0</f>
        <v>0</v>
      </c>
      <c r="L75" s="127">
        <f t="shared" si="5"/>
        <v>0</v>
      </c>
      <c r="M75" s="127">
        <f t="shared" si="6"/>
        <v>0</v>
      </c>
      <c r="N75" s="128"/>
      <c r="O75" s="129">
        <f t="shared" si="7"/>
        <v>0</v>
      </c>
      <c r="P75" s="128"/>
      <c r="Q75" s="128"/>
      <c r="R75" s="128"/>
      <c r="S75" s="26">
        <f t="shared" si="8"/>
        <v>0</v>
      </c>
      <c r="T75" s="25" t="str">
        <f t="shared" si="9"/>
        <v>OK</v>
      </c>
      <c r="U75" s="22"/>
      <c r="V75" s="22"/>
      <c r="W75" s="22"/>
      <c r="X75" s="22"/>
      <c r="Y75" s="24"/>
      <c r="Z75" s="24"/>
      <c r="AA75" s="24"/>
      <c r="AB75" s="22"/>
      <c r="AC75" s="22"/>
      <c r="AD75" s="22"/>
      <c r="AE75" s="22"/>
      <c r="AF75" s="22"/>
      <c r="AG75" s="22"/>
      <c r="AH75" s="22"/>
    </row>
    <row r="76" spans="1:34" ht="30.25" customHeight="1" x14ac:dyDescent="0.35">
      <c r="A76" s="209"/>
      <c r="B76" s="44">
        <v>73</v>
      </c>
      <c r="C76" s="206"/>
      <c r="D76" s="46" t="s">
        <v>157</v>
      </c>
      <c r="E76" s="48" t="s">
        <v>8</v>
      </c>
      <c r="F76" s="50" t="s">
        <v>28</v>
      </c>
      <c r="G76" s="44" t="s">
        <v>29</v>
      </c>
      <c r="H76" s="44" t="s">
        <v>8</v>
      </c>
      <c r="I76" s="44" t="s">
        <v>9</v>
      </c>
      <c r="J76" s="47">
        <v>150</v>
      </c>
      <c r="K76" s="27">
        <f>0</f>
        <v>0</v>
      </c>
      <c r="L76" s="127">
        <f t="shared" si="5"/>
        <v>0</v>
      </c>
      <c r="M76" s="127">
        <f t="shared" si="6"/>
        <v>0</v>
      </c>
      <c r="N76" s="128"/>
      <c r="O76" s="129">
        <f t="shared" si="7"/>
        <v>0</v>
      </c>
      <c r="P76" s="128"/>
      <c r="Q76" s="128"/>
      <c r="R76" s="128"/>
      <c r="S76" s="26">
        <f t="shared" si="8"/>
        <v>0</v>
      </c>
      <c r="T76" s="25" t="str">
        <f t="shared" si="9"/>
        <v>OK</v>
      </c>
      <c r="U76" s="22"/>
      <c r="V76" s="22"/>
      <c r="W76" s="22"/>
      <c r="X76" s="22"/>
      <c r="Y76" s="24"/>
      <c r="Z76" s="24"/>
      <c r="AA76" s="24"/>
      <c r="AB76" s="22"/>
      <c r="AC76" s="22"/>
      <c r="AD76" s="22"/>
      <c r="AE76" s="22"/>
      <c r="AF76" s="22"/>
      <c r="AG76" s="22"/>
      <c r="AH76" s="22"/>
    </row>
    <row r="77" spans="1:34" ht="30.25" customHeight="1" x14ac:dyDescent="0.35">
      <c r="A77" s="209"/>
      <c r="B77" s="44">
        <v>74</v>
      </c>
      <c r="C77" s="206"/>
      <c r="D77" s="46" t="s">
        <v>30</v>
      </c>
      <c r="E77" s="48" t="s">
        <v>8</v>
      </c>
      <c r="F77" s="50" t="s">
        <v>28</v>
      </c>
      <c r="G77" s="44" t="s">
        <v>29</v>
      </c>
      <c r="H77" s="44" t="s">
        <v>8</v>
      </c>
      <c r="I77" s="44" t="s">
        <v>9</v>
      </c>
      <c r="J77" s="47">
        <v>150</v>
      </c>
      <c r="K77" s="27">
        <f>0</f>
        <v>0</v>
      </c>
      <c r="L77" s="127">
        <f t="shared" si="5"/>
        <v>0</v>
      </c>
      <c r="M77" s="127">
        <f t="shared" si="6"/>
        <v>0</v>
      </c>
      <c r="N77" s="128"/>
      <c r="O77" s="129">
        <f t="shared" si="7"/>
        <v>0</v>
      </c>
      <c r="P77" s="128"/>
      <c r="Q77" s="128"/>
      <c r="R77" s="128"/>
      <c r="S77" s="26">
        <f t="shared" si="8"/>
        <v>0</v>
      </c>
      <c r="T77" s="25" t="str">
        <f t="shared" si="9"/>
        <v>OK</v>
      </c>
      <c r="U77" s="22"/>
      <c r="V77" s="22"/>
      <c r="W77" s="22"/>
      <c r="X77" s="22"/>
      <c r="Y77" s="24"/>
      <c r="Z77" s="24"/>
      <c r="AA77" s="24"/>
      <c r="AB77" s="22"/>
      <c r="AC77" s="22"/>
      <c r="AD77" s="22"/>
      <c r="AE77" s="22"/>
      <c r="AF77" s="22"/>
      <c r="AG77" s="22"/>
      <c r="AH77" s="22"/>
    </row>
    <row r="78" spans="1:34" ht="30.25" customHeight="1" x14ac:dyDescent="0.35">
      <c r="A78" s="210"/>
      <c r="B78" s="44">
        <v>75</v>
      </c>
      <c r="C78" s="207"/>
      <c r="D78" s="46" t="s">
        <v>165</v>
      </c>
      <c r="E78" s="48" t="s">
        <v>8</v>
      </c>
      <c r="F78" s="50" t="s">
        <v>28</v>
      </c>
      <c r="G78" s="44" t="s">
        <v>29</v>
      </c>
      <c r="H78" s="44" t="s">
        <v>8</v>
      </c>
      <c r="I78" s="44" t="s">
        <v>9</v>
      </c>
      <c r="J78" s="47">
        <v>300</v>
      </c>
      <c r="K78" s="27">
        <f>0</f>
        <v>0</v>
      </c>
      <c r="L78" s="127">
        <f t="shared" si="5"/>
        <v>0</v>
      </c>
      <c r="M78" s="127">
        <f t="shared" si="6"/>
        <v>0</v>
      </c>
      <c r="N78" s="128"/>
      <c r="O78" s="129">
        <f t="shared" si="7"/>
        <v>0</v>
      </c>
      <c r="P78" s="128"/>
      <c r="Q78" s="128"/>
      <c r="R78" s="128"/>
      <c r="S78" s="26">
        <f t="shared" si="8"/>
        <v>0</v>
      </c>
      <c r="T78" s="25" t="str">
        <f t="shared" si="9"/>
        <v>OK</v>
      </c>
      <c r="U78" s="22"/>
      <c r="V78" s="22"/>
      <c r="W78" s="22"/>
      <c r="X78" s="22"/>
      <c r="Y78" s="24"/>
      <c r="Z78" s="24"/>
      <c r="AA78" s="24"/>
      <c r="AB78" s="22"/>
      <c r="AC78" s="22"/>
      <c r="AD78" s="22"/>
      <c r="AE78" s="22"/>
      <c r="AF78" s="22"/>
      <c r="AG78" s="22"/>
      <c r="AH78" s="22"/>
    </row>
    <row r="79" spans="1:34" ht="30.25" customHeight="1" x14ac:dyDescent="0.35">
      <c r="A79" s="198" t="s">
        <v>166</v>
      </c>
      <c r="B79" s="37">
        <v>76</v>
      </c>
      <c r="C79" s="195" t="s">
        <v>33</v>
      </c>
      <c r="D79" s="34" t="s">
        <v>7</v>
      </c>
      <c r="E79" s="41" t="s">
        <v>8</v>
      </c>
      <c r="F79" s="43" t="s">
        <v>28</v>
      </c>
      <c r="G79" s="37" t="s">
        <v>29</v>
      </c>
      <c r="H79" s="37" t="s">
        <v>8</v>
      </c>
      <c r="I79" s="37" t="s">
        <v>9</v>
      </c>
      <c r="J79" s="36">
        <v>1001</v>
      </c>
      <c r="K79" s="27">
        <f>0</f>
        <v>0</v>
      </c>
      <c r="L79" s="127">
        <f t="shared" si="5"/>
        <v>0</v>
      </c>
      <c r="M79" s="127">
        <f t="shared" si="6"/>
        <v>0</v>
      </c>
      <c r="N79" s="128"/>
      <c r="O79" s="129">
        <f t="shared" si="7"/>
        <v>0</v>
      </c>
      <c r="P79" s="128"/>
      <c r="Q79" s="128"/>
      <c r="R79" s="128"/>
      <c r="S79" s="26">
        <f t="shared" si="8"/>
        <v>0</v>
      </c>
      <c r="T79" s="25" t="str">
        <f t="shared" si="9"/>
        <v>OK</v>
      </c>
      <c r="U79" s="22"/>
      <c r="V79" s="22"/>
      <c r="W79" s="22"/>
      <c r="X79" s="22"/>
      <c r="Y79" s="24"/>
      <c r="Z79" s="24"/>
      <c r="AA79" s="24"/>
      <c r="AB79" s="22"/>
      <c r="AC79" s="22"/>
      <c r="AD79" s="22"/>
      <c r="AE79" s="22"/>
      <c r="AF79" s="22"/>
      <c r="AG79" s="22"/>
      <c r="AH79" s="22"/>
    </row>
    <row r="80" spans="1:34" ht="30.25" customHeight="1" x14ac:dyDescent="0.35">
      <c r="A80" s="199"/>
      <c r="B80" s="37">
        <v>77</v>
      </c>
      <c r="C80" s="196"/>
      <c r="D80" s="34" t="s">
        <v>12</v>
      </c>
      <c r="E80" s="41" t="s">
        <v>8</v>
      </c>
      <c r="F80" s="43" t="s">
        <v>28</v>
      </c>
      <c r="G80" s="37" t="s">
        <v>29</v>
      </c>
      <c r="H80" s="37" t="s">
        <v>34</v>
      </c>
      <c r="I80" s="37" t="s">
        <v>9</v>
      </c>
      <c r="J80" s="36">
        <v>130</v>
      </c>
      <c r="K80" s="27">
        <f>0</f>
        <v>0</v>
      </c>
      <c r="L80" s="127">
        <f t="shared" si="5"/>
        <v>0</v>
      </c>
      <c r="M80" s="127">
        <f t="shared" si="6"/>
        <v>0</v>
      </c>
      <c r="N80" s="128"/>
      <c r="O80" s="129">
        <f t="shared" si="7"/>
        <v>0</v>
      </c>
      <c r="P80" s="128"/>
      <c r="Q80" s="128"/>
      <c r="R80" s="128"/>
      <c r="S80" s="26">
        <f t="shared" si="8"/>
        <v>0</v>
      </c>
      <c r="T80" s="25" t="str">
        <f t="shared" si="9"/>
        <v>OK</v>
      </c>
      <c r="U80" s="22"/>
      <c r="V80" s="22"/>
      <c r="W80" s="22"/>
      <c r="X80" s="22"/>
      <c r="Y80" s="24"/>
      <c r="Z80" s="24"/>
      <c r="AA80" s="24"/>
      <c r="AB80" s="22"/>
      <c r="AC80" s="22"/>
      <c r="AD80" s="22"/>
      <c r="AE80" s="22"/>
      <c r="AF80" s="22"/>
      <c r="AG80" s="22"/>
      <c r="AH80" s="22"/>
    </row>
    <row r="81" spans="1:34" ht="30.25" customHeight="1" x14ac:dyDescent="0.35">
      <c r="A81" s="200"/>
      <c r="B81" s="37">
        <v>78</v>
      </c>
      <c r="C81" s="197"/>
      <c r="D81" s="34" t="s">
        <v>157</v>
      </c>
      <c r="E81" s="41" t="s">
        <v>8</v>
      </c>
      <c r="F81" s="43" t="s">
        <v>28</v>
      </c>
      <c r="G81" s="37" t="s">
        <v>29</v>
      </c>
      <c r="H81" s="37" t="s">
        <v>8</v>
      </c>
      <c r="I81" s="37" t="s">
        <v>9</v>
      </c>
      <c r="J81" s="36">
        <v>200</v>
      </c>
      <c r="K81" s="27">
        <f>0</f>
        <v>0</v>
      </c>
      <c r="L81" s="127">
        <f t="shared" si="5"/>
        <v>0</v>
      </c>
      <c r="M81" s="127">
        <f t="shared" si="6"/>
        <v>0</v>
      </c>
      <c r="N81" s="128"/>
      <c r="O81" s="129">
        <f t="shared" si="7"/>
        <v>0</v>
      </c>
      <c r="P81" s="128"/>
      <c r="Q81" s="128"/>
      <c r="R81" s="128"/>
      <c r="S81" s="26">
        <f t="shared" si="8"/>
        <v>0</v>
      </c>
      <c r="T81" s="25" t="str">
        <f t="shared" si="9"/>
        <v>OK</v>
      </c>
      <c r="U81" s="22"/>
      <c r="V81" s="22"/>
      <c r="W81" s="22"/>
      <c r="X81" s="22"/>
      <c r="Y81" s="24"/>
      <c r="Z81" s="24"/>
      <c r="AA81" s="24"/>
      <c r="AB81" s="22"/>
      <c r="AC81" s="22"/>
      <c r="AD81" s="22"/>
      <c r="AE81" s="22"/>
      <c r="AF81" s="22"/>
      <c r="AG81" s="22"/>
      <c r="AH81" s="22"/>
    </row>
    <row r="82" spans="1:34" ht="15" thickBot="1" x14ac:dyDescent="0.4">
      <c r="K82" s="4">
        <f>SUM(K4:K81)</f>
        <v>155</v>
      </c>
      <c r="N82" s="132"/>
      <c r="O82" s="132"/>
      <c r="P82" s="132"/>
      <c r="Q82" s="132"/>
      <c r="R82" s="132"/>
      <c r="S82" s="12">
        <f>SUM(S4:S81)</f>
        <v>30</v>
      </c>
      <c r="T82" s="5" t="str">
        <f t="shared" si="9"/>
        <v>OK</v>
      </c>
      <c r="U82" s="30">
        <f t="shared" ref="U82:AH82" si="10">SUMPRODUCT($J$4:$J$81,U4:U81)</f>
        <v>1300</v>
      </c>
      <c r="V82" s="30">
        <f t="shared" si="10"/>
        <v>97272</v>
      </c>
      <c r="W82" s="30">
        <f t="shared" si="10"/>
        <v>27859.809999999998</v>
      </c>
      <c r="X82" s="30">
        <f t="shared" si="10"/>
        <v>2503.0100000000002</v>
      </c>
      <c r="Y82" s="30">
        <f t="shared" si="10"/>
        <v>6600</v>
      </c>
      <c r="Z82" s="30">
        <f t="shared" si="10"/>
        <v>0</v>
      </c>
      <c r="AA82" s="30">
        <f t="shared" si="10"/>
        <v>0</v>
      </c>
      <c r="AB82" s="30">
        <f t="shared" si="10"/>
        <v>0</v>
      </c>
      <c r="AC82" s="30">
        <f t="shared" si="10"/>
        <v>0</v>
      </c>
      <c r="AD82" s="30">
        <f t="shared" si="10"/>
        <v>0</v>
      </c>
      <c r="AE82" s="30">
        <f t="shared" si="10"/>
        <v>0</v>
      </c>
      <c r="AF82" s="30">
        <f t="shared" si="10"/>
        <v>0</v>
      </c>
      <c r="AG82" s="30">
        <f t="shared" si="10"/>
        <v>0</v>
      </c>
      <c r="AH82" s="30">
        <f t="shared" si="10"/>
        <v>0</v>
      </c>
    </row>
    <row r="83" spans="1:34" ht="14.5" x14ac:dyDescent="0.35">
      <c r="D83" s="31" t="s">
        <v>53</v>
      </c>
      <c r="K83" s="132">
        <f>SUMPRODUCT($J$4:$J$81,K4:K81)</f>
        <v>178249.99000000002</v>
      </c>
      <c r="L83" s="132">
        <f>SUMPRODUCT($J$4:$J$81,L4:L81)</f>
        <v>135534.82</v>
      </c>
      <c r="M83" s="132">
        <f>SUMPRODUCT($J$4:$J$81,M4:M81)</f>
        <v>135534.82</v>
      </c>
      <c r="R83" s="126"/>
      <c r="V83" s="104"/>
    </row>
    <row r="84" spans="1:34" ht="29" x14ac:dyDescent="0.35">
      <c r="D84" s="32" t="s">
        <v>54</v>
      </c>
      <c r="R84" s="125"/>
    </row>
    <row r="85" spans="1:34" ht="15" thickBot="1" x14ac:dyDescent="0.4">
      <c r="D85" s="33" t="s">
        <v>55</v>
      </c>
      <c r="R85" s="125"/>
    </row>
    <row r="86" spans="1:34" ht="14.5" x14ac:dyDescent="0.35"/>
    <row r="87" spans="1:34" ht="14.5" x14ac:dyDescent="0.35">
      <c r="V87" s="72">
        <f>J23*V23</f>
        <v>31464</v>
      </c>
    </row>
    <row r="88" spans="1:34" ht="14.5" x14ac:dyDescent="0.35">
      <c r="V88" s="72">
        <f>J24*V24</f>
        <v>65808</v>
      </c>
    </row>
    <row r="89" spans="1:34" ht="14.5" x14ac:dyDescent="0.35"/>
    <row r="90" spans="1:34" ht="14.5" x14ac:dyDescent="0.35"/>
    <row r="91" spans="1:34" ht="14.5" x14ac:dyDescent="0.35"/>
    <row r="92" spans="1:34" ht="14.5" x14ac:dyDescent="0.35"/>
    <row r="94" spans="1:34" ht="30.25" customHeight="1" x14ac:dyDescent="0.35">
      <c r="K94" s="6"/>
      <c r="S94" s="6"/>
      <c r="T94" s="72"/>
    </row>
    <row r="95" spans="1:34" ht="30.25" customHeight="1" x14ac:dyDescent="0.35">
      <c r="K95" s="6"/>
      <c r="S95" s="6"/>
      <c r="T95" s="72"/>
    </row>
    <row r="96" spans="1:34" ht="30.25" customHeight="1" x14ac:dyDescent="0.35">
      <c r="K96" s="6"/>
      <c r="S96" s="6"/>
      <c r="T96" s="72"/>
    </row>
    <row r="97" spans="11:20" ht="30.25" customHeight="1" x14ac:dyDescent="0.35">
      <c r="K97" s="6"/>
      <c r="S97" s="6"/>
      <c r="T97" s="72"/>
    </row>
    <row r="98" spans="11:20" ht="30.25" customHeight="1" x14ac:dyDescent="0.35">
      <c r="K98" s="6"/>
      <c r="S98" s="6"/>
      <c r="T98" s="72"/>
    </row>
    <row r="99" spans="11:20" ht="30.25" customHeight="1" x14ac:dyDescent="0.35">
      <c r="K99" s="6"/>
      <c r="S99" s="6"/>
      <c r="T99" s="72"/>
    </row>
    <row r="100" spans="11:20" ht="30.25" customHeight="1" x14ac:dyDescent="0.35">
      <c r="K100" s="6"/>
      <c r="S100" s="6"/>
      <c r="T100" s="72"/>
    </row>
    <row r="101" spans="11:20" ht="30.25" customHeight="1" x14ac:dyDescent="0.35">
      <c r="K101" s="6"/>
      <c r="S101" s="6"/>
      <c r="T101" s="72"/>
    </row>
  </sheetData>
  <autoFilter ref="A3:AH85" xr:uid="{F73F5169-C347-4B35-BF77-5A9AC4478487}"/>
  <mergeCells count="29">
    <mergeCell ref="A69:A78"/>
    <mergeCell ref="C69:C78"/>
    <mergeCell ref="A79:A81"/>
    <mergeCell ref="C79:C81"/>
    <mergeCell ref="A38:A48"/>
    <mergeCell ref="C38:C48"/>
    <mergeCell ref="A49:A59"/>
    <mergeCell ref="C49:C59"/>
    <mergeCell ref="A60:A68"/>
    <mergeCell ref="C60:C68"/>
    <mergeCell ref="AD1:AD2"/>
    <mergeCell ref="AE1:AE2"/>
    <mergeCell ref="AF1:AF2"/>
    <mergeCell ref="AG1:AG2"/>
    <mergeCell ref="AH1:AH2"/>
    <mergeCell ref="AA1:AA2"/>
    <mergeCell ref="AB1:AB2"/>
    <mergeCell ref="AC1:AC2"/>
    <mergeCell ref="A1:C1"/>
    <mergeCell ref="D1:J1"/>
    <mergeCell ref="K1:T1"/>
    <mergeCell ref="U1:U2"/>
    <mergeCell ref="V1:V2"/>
    <mergeCell ref="W1:W2"/>
    <mergeCell ref="A2:J2"/>
    <mergeCell ref="K2:T2"/>
    <mergeCell ref="X1:X2"/>
    <mergeCell ref="Y1:Y2"/>
    <mergeCell ref="Z1:Z2"/>
  </mergeCells>
  <conditionalFormatting sqref="T1 T3:T1048576">
    <cfRule type="cellIs" dxfId="48" priority="2" operator="equal">
      <formula>"ATENÇÃO"</formula>
    </cfRule>
  </conditionalFormatting>
  <conditionalFormatting sqref="U4:AH81">
    <cfRule type="cellIs" dxfId="47" priority="1" operator="greaterThan">
      <formula>0</formula>
    </cfRule>
  </conditionalFormatting>
  <pageMargins left="0.511811024" right="0.511811024" top="0.78740157499999996" bottom="0.78740157499999996" header="0.31496062000000002" footer="0.31496062000000002"/>
  <pageSetup paperSize="9" scale="60" orientation="landscape" r:id="rId1"/>
  <colBreaks count="1" manualBreakCount="1">
    <brk id="24" max="104857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C010E-0A0E-41F4-9BA9-3F99F7B829C1}">
  <dimension ref="A1:AP92"/>
  <sheetViews>
    <sheetView topLeftCell="A37" zoomScale="90" zoomScaleNormal="90" workbookViewId="0">
      <selection activeCell="B45" sqref="A45:XFD45"/>
    </sheetView>
  </sheetViews>
  <sheetFormatPr defaultColWidth="9.7265625" defaultRowHeight="30.25" customHeight="1" x14ac:dyDescent="0.35"/>
  <cols>
    <col min="1" max="1" width="6.1796875" style="1" customWidth="1"/>
    <col min="2" max="2" width="6.453125" style="1" customWidth="1"/>
    <col min="3" max="3" width="11.54296875" style="1" customWidth="1"/>
    <col min="4" max="4" width="21" style="3" customWidth="1"/>
    <col min="5" max="5" width="10.1796875" style="1" customWidth="1"/>
    <col min="6" max="6" width="8.54296875" style="1" customWidth="1"/>
    <col min="7" max="7" width="8.453125" style="1" customWidth="1"/>
    <col min="8" max="8" width="8.26953125" style="1" customWidth="1"/>
    <col min="9" max="9" width="12.7265625" style="1" customWidth="1"/>
    <col min="10" max="10" width="13.7265625" style="3" customWidth="1"/>
    <col min="11" max="11" width="13.54296875" style="4" bestFit="1" customWidth="1"/>
    <col min="12" max="12" width="10.81640625" style="4" customWidth="1"/>
    <col min="13" max="13" width="12.1796875" style="4" customWidth="1"/>
    <col min="14" max="14" width="12.453125" style="4" customWidth="1"/>
    <col min="15" max="15" width="13.81640625" style="4" customWidth="1"/>
    <col min="16" max="17" width="12.453125" style="4" customWidth="1"/>
    <col min="18" max="18" width="16.453125" style="4" bestFit="1" customWidth="1"/>
    <col min="19" max="19" width="13.26953125" style="12" customWidth="1"/>
    <col min="20" max="20" width="12.453125" style="5" customWidth="1"/>
    <col min="21" max="22" width="13.453125" style="6" customWidth="1"/>
    <col min="23" max="24" width="14.1796875" style="6" customWidth="1"/>
    <col min="25" max="25" width="12.453125" style="6" customWidth="1"/>
    <col min="26" max="26" width="12.7265625" style="6" customWidth="1"/>
    <col min="27" max="27" width="12.453125" style="6" customWidth="1"/>
    <col min="28" max="28" width="12.7265625" style="6" customWidth="1"/>
    <col min="29" max="29" width="13.81640625" style="6" customWidth="1"/>
    <col min="30" max="30" width="13.453125" style="6" customWidth="1"/>
    <col min="31" max="31" width="12.453125" style="2" customWidth="1"/>
    <col min="32" max="32" width="13.7265625" style="2" customWidth="1"/>
    <col min="33" max="33" width="14" style="6" customWidth="1"/>
    <col min="34" max="34" width="12" style="6" customWidth="1"/>
    <col min="35" max="35" width="14" style="6" customWidth="1"/>
    <col min="36" max="36" width="12" style="6" customWidth="1"/>
    <col min="37" max="37" width="14.7265625" style="6" customWidth="1"/>
    <col min="38" max="39" width="12" style="6" customWidth="1"/>
    <col min="40" max="40" width="14" style="6" customWidth="1"/>
    <col min="41" max="41" width="12" style="6" customWidth="1"/>
    <col min="42" max="42" width="13" style="2" customWidth="1"/>
    <col min="43" max="16384" width="9.7265625" style="2"/>
  </cols>
  <sheetData>
    <row r="1" spans="1:42" ht="40.15" customHeight="1" x14ac:dyDescent="0.35">
      <c r="A1" s="202" t="s">
        <v>52</v>
      </c>
      <c r="B1" s="203"/>
      <c r="C1" s="204"/>
      <c r="D1" s="211" t="s">
        <v>48</v>
      </c>
      <c r="E1" s="212"/>
      <c r="F1" s="212"/>
      <c r="G1" s="212"/>
      <c r="H1" s="212"/>
      <c r="I1" s="212"/>
      <c r="J1" s="213"/>
      <c r="K1" s="201" t="s">
        <v>49</v>
      </c>
      <c r="L1" s="201"/>
      <c r="M1" s="201"/>
      <c r="N1" s="201"/>
      <c r="O1" s="201"/>
      <c r="P1" s="201"/>
      <c r="Q1" s="201"/>
      <c r="R1" s="201"/>
      <c r="S1" s="201"/>
      <c r="T1" s="201"/>
      <c r="U1" s="219" t="s">
        <v>361</v>
      </c>
      <c r="V1" s="219" t="s">
        <v>360</v>
      </c>
      <c r="W1" s="221" t="s">
        <v>296</v>
      </c>
      <c r="X1" s="219" t="s">
        <v>362</v>
      </c>
      <c r="Y1" s="219" t="s">
        <v>363</v>
      </c>
      <c r="Z1" s="221" t="s">
        <v>297</v>
      </c>
      <c r="AA1" s="221" t="s">
        <v>298</v>
      </c>
      <c r="AB1" s="221" t="s">
        <v>299</v>
      </c>
      <c r="AC1" s="221" t="s">
        <v>300</v>
      </c>
      <c r="AD1" s="221" t="s">
        <v>301</v>
      </c>
      <c r="AE1" s="221" t="s">
        <v>302</v>
      </c>
      <c r="AF1" s="221" t="s">
        <v>303</v>
      </c>
      <c r="AG1" s="219" t="s">
        <v>364</v>
      </c>
      <c r="AH1" s="219" t="s">
        <v>365</v>
      </c>
      <c r="AI1" s="219" t="s">
        <v>366</v>
      </c>
      <c r="AJ1" s="219" t="s">
        <v>367</v>
      </c>
      <c r="AK1" s="219" t="s">
        <v>368</v>
      </c>
      <c r="AL1" s="219" t="s">
        <v>369</v>
      </c>
      <c r="AM1" s="219" t="s">
        <v>370</v>
      </c>
      <c r="AN1" s="219" t="s">
        <v>371</v>
      </c>
      <c r="AO1" s="219" t="s">
        <v>372</v>
      </c>
      <c r="AP1" s="221"/>
    </row>
    <row r="2" spans="1:42" ht="25" customHeight="1" x14ac:dyDescent="0.35">
      <c r="A2" s="211" t="s">
        <v>35</v>
      </c>
      <c r="B2" s="212"/>
      <c r="C2" s="212"/>
      <c r="D2" s="212"/>
      <c r="E2" s="212"/>
      <c r="F2" s="212"/>
      <c r="G2" s="212"/>
      <c r="H2" s="212"/>
      <c r="I2" s="212"/>
      <c r="J2" s="213"/>
      <c r="K2" s="214" t="s">
        <v>62</v>
      </c>
      <c r="L2" s="215"/>
      <c r="M2" s="215"/>
      <c r="N2" s="215"/>
      <c r="O2" s="215"/>
      <c r="P2" s="215"/>
      <c r="Q2" s="215"/>
      <c r="R2" s="215"/>
      <c r="S2" s="215"/>
      <c r="T2" s="216"/>
      <c r="U2" s="220"/>
      <c r="V2" s="220"/>
      <c r="W2" s="222"/>
      <c r="X2" s="220"/>
      <c r="Y2" s="220"/>
      <c r="Z2" s="222"/>
      <c r="AA2" s="222"/>
      <c r="AB2" s="222"/>
      <c r="AC2" s="222"/>
      <c r="AD2" s="222"/>
      <c r="AE2" s="222"/>
      <c r="AF2" s="222"/>
      <c r="AG2" s="220"/>
      <c r="AH2" s="220"/>
      <c r="AI2" s="220"/>
      <c r="AJ2" s="220"/>
      <c r="AK2" s="220"/>
      <c r="AL2" s="220"/>
      <c r="AM2" s="220"/>
      <c r="AN2" s="220"/>
      <c r="AO2" s="220"/>
      <c r="AP2" s="222"/>
    </row>
    <row r="3" spans="1:42" s="3" customFormat="1" ht="30.25" customHeight="1" x14ac:dyDescent="0.25">
      <c r="A3" s="7" t="s">
        <v>3</v>
      </c>
      <c r="B3" s="7" t="s">
        <v>56</v>
      </c>
      <c r="C3" s="7" t="s">
        <v>57</v>
      </c>
      <c r="D3" s="8" t="s">
        <v>58</v>
      </c>
      <c r="E3" s="8" t="s">
        <v>59</v>
      </c>
      <c r="F3" s="8" t="s">
        <v>18</v>
      </c>
      <c r="G3" s="8" t="s">
        <v>19</v>
      </c>
      <c r="H3" s="8" t="s">
        <v>60</v>
      </c>
      <c r="I3" s="8" t="s">
        <v>61</v>
      </c>
      <c r="J3" s="9" t="s">
        <v>50</v>
      </c>
      <c r="K3" s="10" t="s">
        <v>4</v>
      </c>
      <c r="L3" s="52" t="s">
        <v>207</v>
      </c>
      <c r="M3" s="52" t="s">
        <v>208</v>
      </c>
      <c r="N3" s="52" t="s">
        <v>209</v>
      </c>
      <c r="O3" s="52" t="s">
        <v>210</v>
      </c>
      <c r="P3" s="52" t="s">
        <v>211</v>
      </c>
      <c r="Q3" s="52" t="s">
        <v>213</v>
      </c>
      <c r="R3" s="52" t="s">
        <v>214</v>
      </c>
      <c r="S3" s="11" t="s">
        <v>0</v>
      </c>
      <c r="T3" s="7" t="s">
        <v>2</v>
      </c>
      <c r="U3" s="58">
        <v>45460</v>
      </c>
      <c r="V3" s="58">
        <v>45460</v>
      </c>
      <c r="W3" s="149">
        <v>45471</v>
      </c>
      <c r="X3" s="58">
        <v>45478</v>
      </c>
      <c r="Y3" s="58">
        <v>45495</v>
      </c>
      <c r="Z3" s="149">
        <v>45531</v>
      </c>
      <c r="AA3" s="149">
        <v>45530</v>
      </c>
      <c r="AB3" s="149">
        <v>45552</v>
      </c>
      <c r="AC3" s="149">
        <v>45561</v>
      </c>
      <c r="AD3" s="149">
        <v>38257</v>
      </c>
      <c r="AE3" s="149">
        <v>45595</v>
      </c>
      <c r="AF3" s="149">
        <v>45602</v>
      </c>
      <c r="AG3" s="58">
        <v>45702</v>
      </c>
      <c r="AH3" s="58">
        <v>45744</v>
      </c>
      <c r="AI3" s="58">
        <v>45744</v>
      </c>
      <c r="AJ3" s="58">
        <v>45744</v>
      </c>
      <c r="AK3" s="58">
        <v>45744</v>
      </c>
      <c r="AL3" s="58">
        <v>45783</v>
      </c>
      <c r="AM3" s="58">
        <v>45786</v>
      </c>
      <c r="AN3" s="58">
        <v>45790</v>
      </c>
      <c r="AO3" s="58">
        <v>45790</v>
      </c>
      <c r="AP3" s="149"/>
    </row>
    <row r="4" spans="1:42" ht="30.25" customHeight="1" x14ac:dyDescent="0.35">
      <c r="A4" s="37">
        <v>1</v>
      </c>
      <c r="B4" s="37">
        <v>1</v>
      </c>
      <c r="C4" s="35" t="s">
        <v>63</v>
      </c>
      <c r="D4" s="34" t="s">
        <v>64</v>
      </c>
      <c r="E4" s="35" t="s">
        <v>65</v>
      </c>
      <c r="F4" s="35" t="s">
        <v>20</v>
      </c>
      <c r="G4" s="35" t="s">
        <v>66</v>
      </c>
      <c r="H4" s="35" t="s">
        <v>5</v>
      </c>
      <c r="I4" s="35" t="s">
        <v>6</v>
      </c>
      <c r="J4" s="36">
        <v>1670</v>
      </c>
      <c r="K4" s="27">
        <f>0</f>
        <v>0</v>
      </c>
      <c r="L4" s="127">
        <f>IF(SUM(U4:AU4)&gt;K4+N4,K4+N4,SUM(U4:AU4))</f>
        <v>0</v>
      </c>
      <c r="M4" s="127">
        <f t="shared" ref="M4:M35" si="0">(SUM(U4:AS4))</f>
        <v>0</v>
      </c>
      <c r="N4" s="128"/>
      <c r="O4" s="129">
        <f>ROUND(IF(K4*0.25-0.5&lt;0,0,K4*0.25-0.5),0)-R4-P4</f>
        <v>0</v>
      </c>
      <c r="P4" s="128"/>
      <c r="Q4" s="128"/>
      <c r="R4" s="128"/>
      <c r="S4" s="26">
        <f>K4-SUM(U4:AP4)+N4</f>
        <v>0</v>
      </c>
      <c r="T4" s="25" t="str">
        <f>IF(S4&lt;0,"ATENÇÃO","OK")</f>
        <v>OK</v>
      </c>
      <c r="U4" s="138"/>
      <c r="V4" s="138"/>
      <c r="W4" s="138"/>
      <c r="X4" s="139"/>
      <c r="Y4" s="139"/>
      <c r="Z4" s="138"/>
      <c r="AA4" s="138"/>
      <c r="AB4" s="138"/>
      <c r="AC4" s="138"/>
      <c r="AD4" s="138"/>
      <c r="AE4" s="138"/>
      <c r="AF4" s="138"/>
      <c r="AG4" s="178"/>
      <c r="AH4" s="178"/>
      <c r="AI4" s="178"/>
      <c r="AJ4" s="178"/>
      <c r="AK4" s="178"/>
      <c r="AL4" s="178"/>
      <c r="AM4" s="178"/>
      <c r="AN4" s="178"/>
      <c r="AO4" s="178"/>
      <c r="AP4" s="138"/>
    </row>
    <row r="5" spans="1:42" ht="30.25" customHeight="1" x14ac:dyDescent="0.35">
      <c r="A5" s="44">
        <v>2</v>
      </c>
      <c r="B5" s="44">
        <v>2</v>
      </c>
      <c r="C5" s="45" t="s">
        <v>67</v>
      </c>
      <c r="D5" s="46" t="s">
        <v>68</v>
      </c>
      <c r="E5" s="45" t="s">
        <v>69</v>
      </c>
      <c r="F5" s="45" t="s">
        <v>20</v>
      </c>
      <c r="G5" s="45" t="s">
        <v>66</v>
      </c>
      <c r="H5" s="45" t="s">
        <v>5</v>
      </c>
      <c r="I5" s="45" t="s">
        <v>6</v>
      </c>
      <c r="J5" s="47">
        <v>1651.67</v>
      </c>
      <c r="K5" s="27">
        <f>20</f>
        <v>20</v>
      </c>
      <c r="L5" s="127">
        <f t="shared" ref="L5:L68" si="1">IF(SUM(U5:AU5)&gt;K5+N5,K5+N5,SUM(U5:AU5))</f>
        <v>18</v>
      </c>
      <c r="M5" s="127">
        <f t="shared" si="0"/>
        <v>18</v>
      </c>
      <c r="N5" s="128">
        <v>-2</v>
      </c>
      <c r="O5" s="129">
        <f t="shared" ref="O5:O68" si="2">ROUND(IF(K5*0.25-0.5&lt;0,0,K5*0.25-0.5),0)-R5-P5</f>
        <v>5</v>
      </c>
      <c r="P5" s="128"/>
      <c r="Q5" s="128"/>
      <c r="R5" s="128"/>
      <c r="S5" s="167">
        <f t="shared" ref="S5:S68" si="3">K5-SUM(U5:AP5)+N5</f>
        <v>0</v>
      </c>
      <c r="T5" s="25" t="str">
        <f t="shared" ref="T5:T68" si="4">IF(S5&lt;0,"ATENÇÃO","OK")</f>
        <v>OK</v>
      </c>
      <c r="U5" s="138"/>
      <c r="V5" s="140">
        <v>1</v>
      </c>
      <c r="W5" s="138"/>
      <c r="X5" s="139"/>
      <c r="Y5" s="139"/>
      <c r="Z5" s="140">
        <v>3</v>
      </c>
      <c r="AA5" s="138"/>
      <c r="AB5" s="138"/>
      <c r="AC5" s="140">
        <v>4</v>
      </c>
      <c r="AD5" s="140">
        <v>1</v>
      </c>
      <c r="AE5" s="140">
        <v>2</v>
      </c>
      <c r="AF5" s="138"/>
      <c r="AG5" s="178"/>
      <c r="AH5" s="178"/>
      <c r="AI5" s="178">
        <v>7</v>
      </c>
      <c r="AJ5" s="178"/>
      <c r="AK5" s="178"/>
      <c r="AL5" s="178"/>
      <c r="AM5" s="178"/>
      <c r="AN5" s="178"/>
      <c r="AO5" s="178"/>
      <c r="AP5" s="138"/>
    </row>
    <row r="6" spans="1:42" ht="30.25" customHeight="1" x14ac:dyDescent="0.35">
      <c r="A6" s="37">
        <v>3</v>
      </c>
      <c r="B6" s="37">
        <v>3</v>
      </c>
      <c r="C6" s="35" t="s">
        <v>63</v>
      </c>
      <c r="D6" s="34" t="s">
        <v>70</v>
      </c>
      <c r="E6" s="35" t="s">
        <v>71</v>
      </c>
      <c r="F6" s="35" t="s">
        <v>20</v>
      </c>
      <c r="G6" s="35" t="s">
        <v>72</v>
      </c>
      <c r="H6" s="35" t="s">
        <v>5</v>
      </c>
      <c r="I6" s="35" t="s">
        <v>6</v>
      </c>
      <c r="J6" s="36">
        <v>1802</v>
      </c>
      <c r="K6" s="27">
        <f>0</f>
        <v>0</v>
      </c>
      <c r="L6" s="127">
        <f t="shared" si="1"/>
        <v>0</v>
      </c>
      <c r="M6" s="127">
        <f t="shared" si="0"/>
        <v>0</v>
      </c>
      <c r="N6" s="128"/>
      <c r="O6" s="129">
        <f t="shared" si="2"/>
        <v>0</v>
      </c>
      <c r="P6" s="128"/>
      <c r="Q6" s="128"/>
      <c r="R6" s="128"/>
      <c r="S6" s="167">
        <f t="shared" si="3"/>
        <v>0</v>
      </c>
      <c r="T6" s="25" t="str">
        <f t="shared" si="4"/>
        <v>OK</v>
      </c>
      <c r="U6" s="138"/>
      <c r="V6" s="138"/>
      <c r="W6" s="138"/>
      <c r="X6" s="139"/>
      <c r="Y6" s="139"/>
      <c r="Z6" s="138"/>
      <c r="AA6" s="138"/>
      <c r="AB6" s="138"/>
      <c r="AC6" s="138"/>
      <c r="AD6" s="138"/>
      <c r="AE6" s="138"/>
      <c r="AF6" s="138"/>
      <c r="AG6" s="178"/>
      <c r="AH6" s="178"/>
      <c r="AI6" s="178"/>
      <c r="AJ6" s="178"/>
      <c r="AK6" s="178"/>
      <c r="AL6" s="178"/>
      <c r="AM6" s="178"/>
      <c r="AN6" s="178"/>
      <c r="AO6" s="178"/>
      <c r="AP6" s="138"/>
    </row>
    <row r="7" spans="1:42" ht="30.25" customHeight="1" x14ac:dyDescent="0.35">
      <c r="A7" s="44">
        <v>4</v>
      </c>
      <c r="B7" s="44">
        <v>4</v>
      </c>
      <c r="C7" s="45" t="s">
        <v>67</v>
      </c>
      <c r="D7" s="46" t="s">
        <v>73</v>
      </c>
      <c r="E7" s="45" t="s">
        <v>74</v>
      </c>
      <c r="F7" s="45" t="s">
        <v>20</v>
      </c>
      <c r="G7" s="45" t="s">
        <v>75</v>
      </c>
      <c r="H7" s="45" t="s">
        <v>5</v>
      </c>
      <c r="I7" s="45" t="s">
        <v>6</v>
      </c>
      <c r="J7" s="47">
        <v>1800</v>
      </c>
      <c r="K7" s="27">
        <f>15</f>
        <v>15</v>
      </c>
      <c r="L7" s="127">
        <f t="shared" si="1"/>
        <v>15</v>
      </c>
      <c r="M7" s="127">
        <f t="shared" si="0"/>
        <v>15</v>
      </c>
      <c r="N7" s="128"/>
      <c r="O7" s="129">
        <f t="shared" si="2"/>
        <v>3</v>
      </c>
      <c r="P7" s="128"/>
      <c r="Q7" s="128"/>
      <c r="R7" s="128"/>
      <c r="S7" s="167">
        <f t="shared" si="3"/>
        <v>0</v>
      </c>
      <c r="T7" s="25" t="str">
        <f t="shared" si="4"/>
        <v>OK</v>
      </c>
      <c r="U7" s="138"/>
      <c r="V7" s="138"/>
      <c r="W7" s="138"/>
      <c r="X7" s="141">
        <v>1</v>
      </c>
      <c r="Y7" s="139"/>
      <c r="Z7" s="140">
        <v>14</v>
      </c>
      <c r="AA7" s="138"/>
      <c r="AB7" s="138"/>
      <c r="AC7" s="138"/>
      <c r="AD7" s="138"/>
      <c r="AE7" s="138"/>
      <c r="AF7" s="138"/>
      <c r="AG7" s="178"/>
      <c r="AH7" s="178"/>
      <c r="AI7" s="178"/>
      <c r="AJ7" s="178"/>
      <c r="AK7" s="178"/>
      <c r="AL7" s="178"/>
      <c r="AM7" s="178"/>
      <c r="AN7" s="178"/>
      <c r="AO7" s="178"/>
      <c r="AP7" s="138"/>
    </row>
    <row r="8" spans="1:42" ht="30.25" customHeight="1" x14ac:dyDescent="0.35">
      <c r="A8" s="37">
        <v>5</v>
      </c>
      <c r="B8" s="37">
        <v>5</v>
      </c>
      <c r="C8" s="35" t="s">
        <v>63</v>
      </c>
      <c r="D8" s="34" t="s">
        <v>76</v>
      </c>
      <c r="E8" s="35" t="s">
        <v>77</v>
      </c>
      <c r="F8" s="35" t="s">
        <v>20</v>
      </c>
      <c r="G8" s="35" t="s">
        <v>78</v>
      </c>
      <c r="H8" s="35" t="s">
        <v>5</v>
      </c>
      <c r="I8" s="35" t="s">
        <v>6</v>
      </c>
      <c r="J8" s="36">
        <v>2686</v>
      </c>
      <c r="K8" s="27">
        <f>0</f>
        <v>0</v>
      </c>
      <c r="L8" s="127">
        <f t="shared" si="1"/>
        <v>0</v>
      </c>
      <c r="M8" s="127">
        <f t="shared" si="0"/>
        <v>0</v>
      </c>
      <c r="N8" s="128"/>
      <c r="O8" s="129">
        <f t="shared" si="2"/>
        <v>0</v>
      </c>
      <c r="P8" s="128"/>
      <c r="Q8" s="128"/>
      <c r="R8" s="128"/>
      <c r="S8" s="167">
        <f t="shared" si="3"/>
        <v>0</v>
      </c>
      <c r="T8" s="25" t="str">
        <f t="shared" si="4"/>
        <v>OK</v>
      </c>
      <c r="U8" s="138"/>
      <c r="V8" s="138"/>
      <c r="W8" s="138"/>
      <c r="X8" s="139"/>
      <c r="Y8" s="139"/>
      <c r="Z8" s="138"/>
      <c r="AA8" s="138"/>
      <c r="AB8" s="138"/>
      <c r="AC8" s="138"/>
      <c r="AD8" s="138"/>
      <c r="AE8" s="138"/>
      <c r="AF8" s="138"/>
      <c r="AG8" s="178"/>
      <c r="AH8" s="178"/>
      <c r="AI8" s="178"/>
      <c r="AJ8" s="178"/>
      <c r="AK8" s="178"/>
      <c r="AL8" s="178"/>
      <c r="AM8" s="178"/>
      <c r="AN8" s="178"/>
      <c r="AO8" s="178"/>
      <c r="AP8" s="138"/>
    </row>
    <row r="9" spans="1:42" ht="57.25" customHeight="1" x14ac:dyDescent="0.35">
      <c r="A9" s="44">
        <v>6</v>
      </c>
      <c r="B9" s="44">
        <v>6</v>
      </c>
      <c r="C9" s="45" t="s">
        <v>67</v>
      </c>
      <c r="D9" s="46" t="s">
        <v>79</v>
      </c>
      <c r="E9" s="107" t="s">
        <v>182</v>
      </c>
      <c r="F9" s="45" t="s">
        <v>20</v>
      </c>
      <c r="G9" s="45" t="s">
        <v>21</v>
      </c>
      <c r="H9" s="45" t="s">
        <v>5</v>
      </c>
      <c r="I9" s="45" t="s">
        <v>6</v>
      </c>
      <c r="J9" s="47">
        <v>2821.51</v>
      </c>
      <c r="K9" s="27">
        <f>15</f>
        <v>15</v>
      </c>
      <c r="L9" s="127">
        <f t="shared" si="1"/>
        <v>4</v>
      </c>
      <c r="M9" s="127">
        <f t="shared" si="0"/>
        <v>4</v>
      </c>
      <c r="N9" s="128">
        <v>-1</v>
      </c>
      <c r="O9" s="129">
        <f t="shared" si="2"/>
        <v>3</v>
      </c>
      <c r="P9" s="128"/>
      <c r="Q9" s="128"/>
      <c r="R9" s="128"/>
      <c r="S9" s="167">
        <f t="shared" si="3"/>
        <v>10</v>
      </c>
      <c r="T9" s="25" t="str">
        <f t="shared" si="4"/>
        <v>OK</v>
      </c>
      <c r="U9" s="138"/>
      <c r="V9" s="138"/>
      <c r="W9" s="138"/>
      <c r="X9" s="139"/>
      <c r="Y9" s="139"/>
      <c r="Z9" s="140">
        <v>4</v>
      </c>
      <c r="AA9" s="138"/>
      <c r="AB9" s="138"/>
      <c r="AC9" s="138"/>
      <c r="AD9" s="138"/>
      <c r="AE9" s="138"/>
      <c r="AF9" s="138"/>
      <c r="AG9" s="178"/>
      <c r="AH9" s="178"/>
      <c r="AI9" s="178"/>
      <c r="AJ9" s="178"/>
      <c r="AK9" s="178"/>
      <c r="AL9" s="178"/>
      <c r="AM9" s="178"/>
      <c r="AN9" s="178"/>
      <c r="AO9" s="178"/>
      <c r="AP9" s="138"/>
    </row>
    <row r="10" spans="1:42" ht="30.25" customHeight="1" x14ac:dyDescent="0.35">
      <c r="A10" s="37">
        <v>7</v>
      </c>
      <c r="B10" s="37">
        <v>7</v>
      </c>
      <c r="C10" s="35" t="s">
        <v>63</v>
      </c>
      <c r="D10" s="34" t="s">
        <v>80</v>
      </c>
      <c r="E10" s="35" t="s">
        <v>81</v>
      </c>
      <c r="F10" s="35" t="s">
        <v>20</v>
      </c>
      <c r="G10" s="35" t="s">
        <v>21</v>
      </c>
      <c r="H10" s="35" t="s">
        <v>5</v>
      </c>
      <c r="I10" s="35" t="s">
        <v>6</v>
      </c>
      <c r="J10" s="36">
        <v>7446</v>
      </c>
      <c r="K10" s="27">
        <f>0</f>
        <v>0</v>
      </c>
      <c r="L10" s="127">
        <f t="shared" si="1"/>
        <v>0</v>
      </c>
      <c r="M10" s="127">
        <f t="shared" si="0"/>
        <v>0</v>
      </c>
      <c r="N10" s="128"/>
      <c r="O10" s="129">
        <f t="shared" si="2"/>
        <v>0</v>
      </c>
      <c r="P10" s="128"/>
      <c r="Q10" s="128"/>
      <c r="R10" s="128"/>
      <c r="S10" s="167">
        <f t="shared" si="3"/>
        <v>0</v>
      </c>
      <c r="T10" s="25" t="str">
        <f t="shared" si="4"/>
        <v>OK</v>
      </c>
      <c r="U10" s="138"/>
      <c r="V10" s="138"/>
      <c r="W10" s="138"/>
      <c r="X10" s="139"/>
      <c r="Y10" s="139"/>
      <c r="Z10" s="138"/>
      <c r="AA10" s="138"/>
      <c r="AB10" s="138"/>
      <c r="AC10" s="138"/>
      <c r="AD10" s="138"/>
      <c r="AE10" s="138"/>
      <c r="AF10" s="138"/>
      <c r="AG10" s="178"/>
      <c r="AH10" s="178"/>
      <c r="AI10" s="178"/>
      <c r="AJ10" s="178"/>
      <c r="AK10" s="178"/>
      <c r="AL10" s="178"/>
      <c r="AM10" s="178"/>
      <c r="AN10" s="178"/>
      <c r="AO10" s="178"/>
      <c r="AP10" s="138"/>
    </row>
    <row r="11" spans="1:42" ht="30.25" customHeight="1" x14ac:dyDescent="0.35">
      <c r="A11" s="44">
        <v>8</v>
      </c>
      <c r="B11" s="44">
        <v>8</v>
      </c>
      <c r="C11" s="45" t="s">
        <v>63</v>
      </c>
      <c r="D11" s="46" t="s">
        <v>82</v>
      </c>
      <c r="E11" s="45" t="s">
        <v>81</v>
      </c>
      <c r="F11" s="45" t="s">
        <v>20</v>
      </c>
      <c r="G11" s="45" t="s">
        <v>21</v>
      </c>
      <c r="H11" s="45" t="s">
        <v>5</v>
      </c>
      <c r="I11" s="45" t="s">
        <v>6</v>
      </c>
      <c r="J11" s="47">
        <v>7375</v>
      </c>
      <c r="K11" s="27">
        <f>0</f>
        <v>0</v>
      </c>
      <c r="L11" s="127">
        <f t="shared" si="1"/>
        <v>0</v>
      </c>
      <c r="M11" s="127">
        <f t="shared" si="0"/>
        <v>0</v>
      </c>
      <c r="N11" s="128"/>
      <c r="O11" s="129">
        <f t="shared" si="2"/>
        <v>0</v>
      </c>
      <c r="P11" s="128"/>
      <c r="Q11" s="128"/>
      <c r="R11" s="128"/>
      <c r="S11" s="167">
        <f t="shared" si="3"/>
        <v>0</v>
      </c>
      <c r="T11" s="25" t="str">
        <f t="shared" si="4"/>
        <v>OK</v>
      </c>
      <c r="U11" s="138"/>
      <c r="V11" s="138"/>
      <c r="W11" s="138"/>
      <c r="X11" s="139"/>
      <c r="Y11" s="139"/>
      <c r="Z11" s="138"/>
      <c r="AA11" s="138"/>
      <c r="AB11" s="138"/>
      <c r="AC11" s="138"/>
      <c r="AD11" s="138"/>
      <c r="AE11" s="138"/>
      <c r="AF11" s="138"/>
      <c r="AG11" s="178"/>
      <c r="AH11" s="178"/>
      <c r="AI11" s="178"/>
      <c r="AJ11" s="178"/>
      <c r="AK11" s="178"/>
      <c r="AL11" s="178"/>
      <c r="AM11" s="178"/>
      <c r="AN11" s="178"/>
      <c r="AO11" s="178"/>
      <c r="AP11" s="138"/>
    </row>
    <row r="12" spans="1:42" ht="30.25" customHeight="1" x14ac:dyDescent="0.35">
      <c r="A12" s="37">
        <v>9</v>
      </c>
      <c r="B12" s="37">
        <v>9</v>
      </c>
      <c r="C12" s="35" t="s">
        <v>83</v>
      </c>
      <c r="D12" s="34" t="s">
        <v>84</v>
      </c>
      <c r="E12" s="35" t="s">
        <v>85</v>
      </c>
      <c r="F12" s="35" t="s">
        <v>20</v>
      </c>
      <c r="G12" s="35" t="s">
        <v>22</v>
      </c>
      <c r="H12" s="35" t="s">
        <v>5</v>
      </c>
      <c r="I12" s="35" t="s">
        <v>6</v>
      </c>
      <c r="J12" s="36">
        <v>6213.51</v>
      </c>
      <c r="K12" s="27">
        <f>0</f>
        <v>0</v>
      </c>
      <c r="L12" s="127">
        <f t="shared" si="1"/>
        <v>0</v>
      </c>
      <c r="M12" s="127">
        <f t="shared" si="0"/>
        <v>0</v>
      </c>
      <c r="N12" s="128"/>
      <c r="O12" s="129">
        <f t="shared" si="2"/>
        <v>0</v>
      </c>
      <c r="P12" s="128"/>
      <c r="Q12" s="128"/>
      <c r="R12" s="128"/>
      <c r="S12" s="167">
        <f t="shared" si="3"/>
        <v>0</v>
      </c>
      <c r="T12" s="25" t="str">
        <f t="shared" si="4"/>
        <v>OK</v>
      </c>
      <c r="U12" s="138"/>
      <c r="V12" s="138"/>
      <c r="W12" s="138"/>
      <c r="X12" s="139"/>
      <c r="Y12" s="139"/>
      <c r="Z12" s="138"/>
      <c r="AA12" s="138"/>
      <c r="AB12" s="138"/>
      <c r="AC12" s="138"/>
      <c r="AD12" s="138"/>
      <c r="AE12" s="138"/>
      <c r="AF12" s="138"/>
      <c r="AG12" s="178"/>
      <c r="AH12" s="178"/>
      <c r="AI12" s="178"/>
      <c r="AJ12" s="178"/>
      <c r="AK12" s="178"/>
      <c r="AL12" s="178"/>
      <c r="AM12" s="178"/>
      <c r="AN12" s="178"/>
      <c r="AO12" s="178"/>
      <c r="AP12" s="138"/>
    </row>
    <row r="13" spans="1:42" ht="30.25" customHeight="1" x14ac:dyDescent="0.35">
      <c r="A13" s="44">
        <v>10</v>
      </c>
      <c r="B13" s="44">
        <v>10</v>
      </c>
      <c r="C13" s="45" t="s">
        <v>63</v>
      </c>
      <c r="D13" s="46" t="s">
        <v>86</v>
      </c>
      <c r="E13" s="45" t="s">
        <v>87</v>
      </c>
      <c r="F13" s="45" t="s">
        <v>20</v>
      </c>
      <c r="G13" s="45" t="s">
        <v>22</v>
      </c>
      <c r="H13" s="45" t="s">
        <v>5</v>
      </c>
      <c r="I13" s="45" t="s">
        <v>6</v>
      </c>
      <c r="J13" s="47">
        <v>6689.61</v>
      </c>
      <c r="K13" s="27">
        <f>0</f>
        <v>0</v>
      </c>
      <c r="L13" s="127">
        <f t="shared" si="1"/>
        <v>0</v>
      </c>
      <c r="M13" s="127">
        <f t="shared" si="0"/>
        <v>0</v>
      </c>
      <c r="N13" s="128"/>
      <c r="O13" s="129">
        <f t="shared" si="2"/>
        <v>0</v>
      </c>
      <c r="P13" s="128"/>
      <c r="Q13" s="128"/>
      <c r="R13" s="128"/>
      <c r="S13" s="167">
        <f t="shared" si="3"/>
        <v>0</v>
      </c>
      <c r="T13" s="25" t="str">
        <f t="shared" si="4"/>
        <v>OK</v>
      </c>
      <c r="U13" s="138"/>
      <c r="V13" s="138"/>
      <c r="W13" s="138"/>
      <c r="X13" s="139"/>
      <c r="Y13" s="139"/>
      <c r="Z13" s="138"/>
      <c r="AA13" s="138"/>
      <c r="AB13" s="138"/>
      <c r="AC13" s="138"/>
      <c r="AD13" s="138"/>
      <c r="AE13" s="138"/>
      <c r="AF13" s="138"/>
      <c r="AG13" s="178"/>
      <c r="AH13" s="178"/>
      <c r="AI13" s="178"/>
      <c r="AJ13" s="178"/>
      <c r="AK13" s="178"/>
      <c r="AL13" s="178"/>
      <c r="AM13" s="178"/>
      <c r="AN13" s="178"/>
      <c r="AO13" s="178"/>
      <c r="AP13" s="138"/>
    </row>
    <row r="14" spans="1:42" ht="30.25" customHeight="1" x14ac:dyDescent="0.35">
      <c r="A14" s="37">
        <v>11</v>
      </c>
      <c r="B14" s="37">
        <v>11</v>
      </c>
      <c r="C14" s="35" t="s">
        <v>83</v>
      </c>
      <c r="D14" s="34" t="s">
        <v>88</v>
      </c>
      <c r="E14" s="35" t="s">
        <v>89</v>
      </c>
      <c r="F14" s="37" t="s">
        <v>20</v>
      </c>
      <c r="G14" s="35" t="s">
        <v>22</v>
      </c>
      <c r="H14" s="37" t="s">
        <v>5</v>
      </c>
      <c r="I14" s="35" t="s">
        <v>6</v>
      </c>
      <c r="J14" s="36">
        <v>3445.06</v>
      </c>
      <c r="K14" s="27">
        <f>0</f>
        <v>0</v>
      </c>
      <c r="L14" s="127">
        <f t="shared" si="1"/>
        <v>0</v>
      </c>
      <c r="M14" s="127">
        <f t="shared" si="0"/>
        <v>0</v>
      </c>
      <c r="N14" s="128">
        <v>3</v>
      </c>
      <c r="O14" s="129">
        <f t="shared" si="2"/>
        <v>0</v>
      </c>
      <c r="P14" s="128"/>
      <c r="Q14" s="128"/>
      <c r="R14" s="128"/>
      <c r="S14" s="167">
        <f t="shared" si="3"/>
        <v>3</v>
      </c>
      <c r="T14" s="25" t="str">
        <f t="shared" si="4"/>
        <v>OK</v>
      </c>
      <c r="U14" s="138"/>
      <c r="V14" s="138"/>
      <c r="W14" s="138"/>
      <c r="X14" s="139"/>
      <c r="Y14" s="139"/>
      <c r="Z14" s="138"/>
      <c r="AA14" s="138"/>
      <c r="AB14" s="138"/>
      <c r="AC14" s="138"/>
      <c r="AD14" s="138"/>
      <c r="AE14" s="138"/>
      <c r="AF14" s="138"/>
      <c r="AG14" s="178"/>
      <c r="AH14" s="178"/>
      <c r="AI14" s="178"/>
      <c r="AJ14" s="178"/>
      <c r="AK14" s="178"/>
      <c r="AL14" s="178"/>
      <c r="AM14" s="178"/>
      <c r="AN14" s="178"/>
      <c r="AO14" s="178"/>
      <c r="AP14" s="138"/>
    </row>
    <row r="15" spans="1:42" ht="30.25" customHeight="1" x14ac:dyDescent="0.35">
      <c r="A15" s="44">
        <v>12</v>
      </c>
      <c r="B15" s="44">
        <v>12</v>
      </c>
      <c r="C15" s="45" t="s">
        <v>83</v>
      </c>
      <c r="D15" s="46" t="s">
        <v>90</v>
      </c>
      <c r="E15" s="45" t="s">
        <v>91</v>
      </c>
      <c r="F15" s="44" t="s">
        <v>20</v>
      </c>
      <c r="G15" s="44" t="s">
        <v>22</v>
      </c>
      <c r="H15" s="44" t="s">
        <v>5</v>
      </c>
      <c r="I15" s="45" t="s">
        <v>6</v>
      </c>
      <c r="J15" s="47">
        <v>3617.48</v>
      </c>
      <c r="K15" s="27">
        <f>15</f>
        <v>15</v>
      </c>
      <c r="L15" s="127">
        <f t="shared" si="1"/>
        <v>3</v>
      </c>
      <c r="M15" s="127">
        <f t="shared" si="0"/>
        <v>3</v>
      </c>
      <c r="N15" s="128">
        <v>-3</v>
      </c>
      <c r="O15" s="129">
        <f t="shared" si="2"/>
        <v>3</v>
      </c>
      <c r="P15" s="128"/>
      <c r="Q15" s="128"/>
      <c r="R15" s="128"/>
      <c r="S15" s="167">
        <f t="shared" si="3"/>
        <v>9</v>
      </c>
      <c r="T15" s="25" t="str">
        <f t="shared" si="4"/>
        <v>OK</v>
      </c>
      <c r="U15" s="138"/>
      <c r="V15" s="138"/>
      <c r="W15" s="138"/>
      <c r="X15" s="139"/>
      <c r="Y15" s="139"/>
      <c r="Z15" s="138"/>
      <c r="AA15" s="138"/>
      <c r="AB15" s="138"/>
      <c r="AC15" s="138"/>
      <c r="AD15" s="138"/>
      <c r="AE15" s="138"/>
      <c r="AF15" s="138"/>
      <c r="AG15" s="178"/>
      <c r="AH15" s="178"/>
      <c r="AI15" s="178"/>
      <c r="AJ15" s="178">
        <v>1</v>
      </c>
      <c r="AK15" s="178"/>
      <c r="AL15" s="178"/>
      <c r="AM15" s="178">
        <v>2</v>
      </c>
      <c r="AN15" s="178"/>
      <c r="AO15" s="178"/>
      <c r="AP15" s="138"/>
    </row>
    <row r="16" spans="1:42" ht="30.25" customHeight="1" x14ac:dyDescent="0.35">
      <c r="A16" s="37">
        <v>13</v>
      </c>
      <c r="B16" s="37">
        <v>13</v>
      </c>
      <c r="C16" s="35" t="s">
        <v>92</v>
      </c>
      <c r="D16" s="34" t="s">
        <v>93</v>
      </c>
      <c r="E16" s="35" t="s">
        <v>94</v>
      </c>
      <c r="F16" s="37" t="s">
        <v>20</v>
      </c>
      <c r="G16" s="37" t="s">
        <v>22</v>
      </c>
      <c r="H16" s="37" t="s">
        <v>5</v>
      </c>
      <c r="I16" s="35" t="s">
        <v>6</v>
      </c>
      <c r="J16" s="36">
        <v>7453.33</v>
      </c>
      <c r="K16" s="27">
        <f>0</f>
        <v>0</v>
      </c>
      <c r="L16" s="127">
        <f t="shared" si="1"/>
        <v>0</v>
      </c>
      <c r="M16" s="127">
        <f t="shared" si="0"/>
        <v>0</v>
      </c>
      <c r="N16" s="128"/>
      <c r="O16" s="129">
        <f t="shared" si="2"/>
        <v>0</v>
      </c>
      <c r="P16" s="128"/>
      <c r="Q16" s="128"/>
      <c r="R16" s="128"/>
      <c r="S16" s="167">
        <f t="shared" si="3"/>
        <v>0</v>
      </c>
      <c r="T16" s="25" t="str">
        <f t="shared" si="4"/>
        <v>OK</v>
      </c>
      <c r="U16" s="138"/>
      <c r="V16" s="138"/>
      <c r="W16" s="138"/>
      <c r="X16" s="139"/>
      <c r="Y16" s="139"/>
      <c r="Z16" s="138"/>
      <c r="AA16" s="138"/>
      <c r="AB16" s="138"/>
      <c r="AC16" s="138"/>
      <c r="AD16" s="138"/>
      <c r="AE16" s="138"/>
      <c r="AF16" s="138"/>
      <c r="AG16" s="178"/>
      <c r="AH16" s="178"/>
      <c r="AI16" s="178"/>
      <c r="AJ16" s="178"/>
      <c r="AK16" s="178"/>
      <c r="AL16" s="178"/>
      <c r="AM16" s="178"/>
      <c r="AN16" s="178"/>
      <c r="AO16" s="178"/>
      <c r="AP16" s="138"/>
    </row>
    <row r="17" spans="1:42" ht="30.25" customHeight="1" x14ac:dyDescent="0.35">
      <c r="A17" s="44">
        <v>14</v>
      </c>
      <c r="B17" s="44">
        <v>14</v>
      </c>
      <c r="C17" s="45" t="s">
        <v>92</v>
      </c>
      <c r="D17" s="46" t="s">
        <v>95</v>
      </c>
      <c r="E17" s="45" t="s">
        <v>94</v>
      </c>
      <c r="F17" s="45" t="s">
        <v>20</v>
      </c>
      <c r="G17" s="45" t="s">
        <v>22</v>
      </c>
      <c r="H17" s="45" t="s">
        <v>5</v>
      </c>
      <c r="I17" s="45" t="s">
        <v>6</v>
      </c>
      <c r="J17" s="47">
        <v>9561.2000000000007</v>
      </c>
      <c r="K17" s="27">
        <f>0</f>
        <v>0</v>
      </c>
      <c r="L17" s="127">
        <f t="shared" si="1"/>
        <v>0</v>
      </c>
      <c r="M17" s="127">
        <f t="shared" si="0"/>
        <v>0</v>
      </c>
      <c r="N17" s="128"/>
      <c r="O17" s="129">
        <f t="shared" si="2"/>
        <v>0</v>
      </c>
      <c r="P17" s="128"/>
      <c r="Q17" s="128"/>
      <c r="R17" s="128"/>
      <c r="S17" s="167">
        <f t="shared" si="3"/>
        <v>0</v>
      </c>
      <c r="T17" s="25" t="str">
        <f t="shared" si="4"/>
        <v>OK</v>
      </c>
      <c r="U17" s="138"/>
      <c r="V17" s="138"/>
      <c r="W17" s="138"/>
      <c r="X17" s="139"/>
      <c r="Y17" s="139"/>
      <c r="Z17" s="138"/>
      <c r="AA17" s="138"/>
      <c r="AB17" s="138"/>
      <c r="AC17" s="138"/>
      <c r="AD17" s="138"/>
      <c r="AE17" s="138"/>
      <c r="AF17" s="138"/>
      <c r="AG17" s="178"/>
      <c r="AH17" s="178"/>
      <c r="AI17" s="178"/>
      <c r="AJ17" s="178"/>
      <c r="AK17" s="178"/>
      <c r="AL17" s="178"/>
      <c r="AM17" s="178"/>
      <c r="AN17" s="178"/>
      <c r="AO17" s="178"/>
      <c r="AP17" s="138"/>
    </row>
    <row r="18" spans="1:42" ht="30.25" customHeight="1" x14ac:dyDescent="0.35">
      <c r="A18" s="37">
        <v>15</v>
      </c>
      <c r="B18" s="37">
        <v>15</v>
      </c>
      <c r="C18" s="35" t="s">
        <v>63</v>
      </c>
      <c r="D18" s="34" t="s">
        <v>96</v>
      </c>
      <c r="E18" s="35" t="s">
        <v>97</v>
      </c>
      <c r="F18" s="35" t="s">
        <v>20</v>
      </c>
      <c r="G18" s="35" t="s">
        <v>31</v>
      </c>
      <c r="H18" s="35" t="s">
        <v>5</v>
      </c>
      <c r="I18" s="35" t="s">
        <v>6</v>
      </c>
      <c r="J18" s="36">
        <v>7598</v>
      </c>
      <c r="K18" s="27">
        <f>0</f>
        <v>0</v>
      </c>
      <c r="L18" s="127">
        <f t="shared" si="1"/>
        <v>0</v>
      </c>
      <c r="M18" s="127">
        <f t="shared" si="0"/>
        <v>0</v>
      </c>
      <c r="N18" s="128"/>
      <c r="O18" s="129">
        <f t="shared" si="2"/>
        <v>0</v>
      </c>
      <c r="P18" s="128"/>
      <c r="Q18" s="128"/>
      <c r="R18" s="128"/>
      <c r="S18" s="167">
        <f t="shared" si="3"/>
        <v>0</v>
      </c>
      <c r="T18" s="25" t="str">
        <f t="shared" si="4"/>
        <v>OK</v>
      </c>
      <c r="U18" s="138"/>
      <c r="V18" s="138"/>
      <c r="W18" s="138"/>
      <c r="X18" s="139"/>
      <c r="Y18" s="139"/>
      <c r="Z18" s="138"/>
      <c r="AA18" s="138"/>
      <c r="AB18" s="138"/>
      <c r="AC18" s="138"/>
      <c r="AD18" s="138"/>
      <c r="AE18" s="138"/>
      <c r="AF18" s="138"/>
      <c r="AG18" s="178"/>
      <c r="AH18" s="178"/>
      <c r="AI18" s="178"/>
      <c r="AJ18" s="178"/>
      <c r="AK18" s="178"/>
      <c r="AL18" s="178"/>
      <c r="AM18" s="178"/>
      <c r="AN18" s="178"/>
      <c r="AO18" s="178"/>
      <c r="AP18" s="138"/>
    </row>
    <row r="19" spans="1:42" ht="30.25" customHeight="1" x14ac:dyDescent="0.35">
      <c r="A19" s="44">
        <v>16</v>
      </c>
      <c r="B19" s="44">
        <v>16</v>
      </c>
      <c r="C19" s="45" t="s">
        <v>83</v>
      </c>
      <c r="D19" s="46" t="s">
        <v>98</v>
      </c>
      <c r="E19" s="45" t="s">
        <v>99</v>
      </c>
      <c r="F19" s="45" t="s">
        <v>20</v>
      </c>
      <c r="G19" s="45" t="s">
        <v>100</v>
      </c>
      <c r="H19" s="45" t="s">
        <v>5</v>
      </c>
      <c r="I19" s="45" t="s">
        <v>6</v>
      </c>
      <c r="J19" s="47">
        <v>4540.34</v>
      </c>
      <c r="K19" s="27">
        <f>15</f>
        <v>15</v>
      </c>
      <c r="L19" s="127">
        <f t="shared" si="1"/>
        <v>0</v>
      </c>
      <c r="M19" s="127">
        <f t="shared" si="0"/>
        <v>0</v>
      </c>
      <c r="N19" s="128"/>
      <c r="O19" s="129">
        <f t="shared" si="2"/>
        <v>3</v>
      </c>
      <c r="P19" s="128"/>
      <c r="Q19" s="128"/>
      <c r="R19" s="128"/>
      <c r="S19" s="167">
        <f t="shared" si="3"/>
        <v>15</v>
      </c>
      <c r="T19" s="25" t="str">
        <f t="shared" si="4"/>
        <v>OK</v>
      </c>
      <c r="U19" s="138"/>
      <c r="V19" s="138"/>
      <c r="W19" s="138"/>
      <c r="X19" s="139"/>
      <c r="Y19" s="139"/>
      <c r="Z19" s="138"/>
      <c r="AA19" s="138"/>
      <c r="AB19" s="138"/>
      <c r="AC19" s="138"/>
      <c r="AD19" s="138"/>
      <c r="AE19" s="138"/>
      <c r="AF19" s="138"/>
      <c r="AG19" s="178"/>
      <c r="AH19" s="178"/>
      <c r="AI19" s="178"/>
      <c r="AJ19" s="178"/>
      <c r="AK19" s="178"/>
      <c r="AL19" s="178"/>
      <c r="AM19" s="178"/>
      <c r="AN19" s="178"/>
      <c r="AO19" s="178"/>
      <c r="AP19" s="138"/>
    </row>
    <row r="20" spans="1:42" ht="30.25" customHeight="1" x14ac:dyDescent="0.35">
      <c r="A20" s="37">
        <v>17</v>
      </c>
      <c r="B20" s="37">
        <v>17</v>
      </c>
      <c r="C20" s="35" t="s">
        <v>63</v>
      </c>
      <c r="D20" s="38" t="s">
        <v>101</v>
      </c>
      <c r="E20" s="39" t="s">
        <v>102</v>
      </c>
      <c r="F20" s="40" t="s">
        <v>20</v>
      </c>
      <c r="G20" s="40" t="s">
        <v>103</v>
      </c>
      <c r="H20" s="40" t="s">
        <v>5</v>
      </c>
      <c r="I20" s="40" t="s">
        <v>6</v>
      </c>
      <c r="J20" s="36">
        <v>7499</v>
      </c>
      <c r="K20" s="27">
        <f>0</f>
        <v>0</v>
      </c>
      <c r="L20" s="127">
        <f t="shared" si="1"/>
        <v>0</v>
      </c>
      <c r="M20" s="127">
        <f t="shared" si="0"/>
        <v>0</v>
      </c>
      <c r="N20" s="128"/>
      <c r="O20" s="129">
        <f t="shared" si="2"/>
        <v>0</v>
      </c>
      <c r="P20" s="128"/>
      <c r="Q20" s="128"/>
      <c r="R20" s="128"/>
      <c r="S20" s="167">
        <f t="shared" si="3"/>
        <v>0</v>
      </c>
      <c r="T20" s="25" t="str">
        <f t="shared" si="4"/>
        <v>OK</v>
      </c>
      <c r="U20" s="138"/>
      <c r="V20" s="138"/>
      <c r="W20" s="138"/>
      <c r="X20" s="139"/>
      <c r="Y20" s="139"/>
      <c r="Z20" s="138"/>
      <c r="AA20" s="138"/>
      <c r="AB20" s="138"/>
      <c r="AC20" s="138"/>
      <c r="AD20" s="138"/>
      <c r="AE20" s="138"/>
      <c r="AF20" s="138"/>
      <c r="AG20" s="178"/>
      <c r="AH20" s="178"/>
      <c r="AI20" s="178"/>
      <c r="AJ20" s="178"/>
      <c r="AK20" s="178"/>
      <c r="AL20" s="178"/>
      <c r="AM20" s="178"/>
      <c r="AN20" s="178"/>
      <c r="AO20" s="178"/>
      <c r="AP20" s="138"/>
    </row>
    <row r="21" spans="1:42" ht="30.25" customHeight="1" x14ac:dyDescent="0.35">
      <c r="A21" s="44">
        <v>18</v>
      </c>
      <c r="B21" s="44">
        <v>18</v>
      </c>
      <c r="C21" s="45" t="s">
        <v>104</v>
      </c>
      <c r="D21" s="46" t="s">
        <v>105</v>
      </c>
      <c r="E21" s="48" t="s">
        <v>106</v>
      </c>
      <c r="F21" s="49" t="s">
        <v>20</v>
      </c>
      <c r="G21" s="44" t="s">
        <v>107</v>
      </c>
      <c r="H21" s="44" t="s">
        <v>5</v>
      </c>
      <c r="I21" s="44" t="s">
        <v>6</v>
      </c>
      <c r="J21" s="47">
        <v>9553.2000000000007</v>
      </c>
      <c r="K21" s="27">
        <f>10</f>
        <v>10</v>
      </c>
      <c r="L21" s="127">
        <f t="shared" si="1"/>
        <v>2</v>
      </c>
      <c r="M21" s="127">
        <f t="shared" si="0"/>
        <v>2</v>
      </c>
      <c r="N21" s="128"/>
      <c r="O21" s="129">
        <f t="shared" si="2"/>
        <v>2</v>
      </c>
      <c r="P21" s="128"/>
      <c r="Q21" s="128"/>
      <c r="R21" s="128"/>
      <c r="S21" s="167">
        <f t="shared" si="3"/>
        <v>8</v>
      </c>
      <c r="T21" s="25" t="str">
        <f t="shared" si="4"/>
        <v>OK</v>
      </c>
      <c r="U21" s="138"/>
      <c r="V21" s="138"/>
      <c r="W21" s="138"/>
      <c r="X21" s="139"/>
      <c r="Y21" s="139"/>
      <c r="Z21" s="138"/>
      <c r="AA21" s="140">
        <v>2</v>
      </c>
      <c r="AB21" s="138"/>
      <c r="AC21" s="138"/>
      <c r="AD21" s="138"/>
      <c r="AE21" s="138"/>
      <c r="AF21" s="138"/>
      <c r="AG21" s="178"/>
      <c r="AH21" s="178"/>
      <c r="AI21" s="178"/>
      <c r="AJ21" s="178"/>
      <c r="AK21" s="178"/>
      <c r="AL21" s="178"/>
      <c r="AM21" s="178"/>
      <c r="AN21" s="178"/>
      <c r="AO21" s="178"/>
      <c r="AP21" s="138"/>
    </row>
    <row r="22" spans="1:42" ht="30.25" customHeight="1" x14ac:dyDescent="0.35">
      <c r="A22" s="37">
        <v>19</v>
      </c>
      <c r="B22" s="37">
        <v>19</v>
      </c>
      <c r="C22" s="35" t="s">
        <v>63</v>
      </c>
      <c r="D22" s="34" t="s">
        <v>108</v>
      </c>
      <c r="E22" s="41" t="s">
        <v>109</v>
      </c>
      <c r="F22" s="43" t="s">
        <v>20</v>
      </c>
      <c r="G22" s="37" t="s">
        <v>107</v>
      </c>
      <c r="H22" s="37" t="s">
        <v>5</v>
      </c>
      <c r="I22" s="37" t="s">
        <v>6</v>
      </c>
      <c r="J22" s="36">
        <v>8608</v>
      </c>
      <c r="K22" s="27">
        <f>0</f>
        <v>0</v>
      </c>
      <c r="L22" s="127">
        <f t="shared" si="1"/>
        <v>0</v>
      </c>
      <c r="M22" s="127">
        <f t="shared" si="0"/>
        <v>0</v>
      </c>
      <c r="N22" s="128"/>
      <c r="O22" s="129">
        <f t="shared" si="2"/>
        <v>0</v>
      </c>
      <c r="P22" s="128"/>
      <c r="Q22" s="128"/>
      <c r="R22" s="128"/>
      <c r="S22" s="167">
        <f t="shared" si="3"/>
        <v>0</v>
      </c>
      <c r="T22" s="25" t="str">
        <f t="shared" si="4"/>
        <v>OK</v>
      </c>
      <c r="U22" s="138"/>
      <c r="V22" s="138"/>
      <c r="W22" s="138"/>
      <c r="X22" s="139"/>
      <c r="Y22" s="139"/>
      <c r="Z22" s="138"/>
      <c r="AA22" s="138"/>
      <c r="AB22" s="138"/>
      <c r="AC22" s="138"/>
      <c r="AD22" s="138"/>
      <c r="AE22" s="138"/>
      <c r="AF22" s="138"/>
      <c r="AG22" s="178"/>
      <c r="AH22" s="178"/>
      <c r="AI22" s="178"/>
      <c r="AJ22" s="178"/>
      <c r="AK22" s="178"/>
      <c r="AL22" s="178"/>
      <c r="AM22" s="178"/>
      <c r="AN22" s="178"/>
      <c r="AO22" s="178"/>
      <c r="AP22" s="138"/>
    </row>
    <row r="23" spans="1:42" ht="30.25" customHeight="1" x14ac:dyDescent="0.35">
      <c r="A23" s="44">
        <v>20</v>
      </c>
      <c r="B23" s="44">
        <v>20</v>
      </c>
      <c r="C23" s="45" t="s">
        <v>63</v>
      </c>
      <c r="D23" s="46" t="s">
        <v>110</v>
      </c>
      <c r="E23" s="48" t="s">
        <v>111</v>
      </c>
      <c r="F23" s="50" t="s">
        <v>20</v>
      </c>
      <c r="G23" s="44" t="s">
        <v>112</v>
      </c>
      <c r="H23" s="44" t="s">
        <v>5</v>
      </c>
      <c r="I23" s="44" t="s">
        <v>6</v>
      </c>
      <c r="J23" s="47">
        <v>10488</v>
      </c>
      <c r="K23" s="27">
        <f>0</f>
        <v>0</v>
      </c>
      <c r="L23" s="127">
        <f t="shared" si="1"/>
        <v>0</v>
      </c>
      <c r="M23" s="127">
        <f t="shared" si="0"/>
        <v>0</v>
      </c>
      <c r="N23" s="128"/>
      <c r="O23" s="129">
        <f t="shared" si="2"/>
        <v>0</v>
      </c>
      <c r="P23" s="128"/>
      <c r="Q23" s="128"/>
      <c r="R23" s="128"/>
      <c r="S23" s="167">
        <f t="shared" si="3"/>
        <v>0</v>
      </c>
      <c r="T23" s="25" t="str">
        <f t="shared" si="4"/>
        <v>OK</v>
      </c>
      <c r="U23" s="138"/>
      <c r="V23" s="138"/>
      <c r="W23" s="138"/>
      <c r="X23" s="139"/>
      <c r="Y23" s="139"/>
      <c r="Z23" s="138"/>
      <c r="AA23" s="138"/>
      <c r="AB23" s="138"/>
      <c r="AC23" s="138"/>
      <c r="AD23" s="138"/>
      <c r="AE23" s="138"/>
      <c r="AF23" s="138"/>
      <c r="AG23" s="178"/>
      <c r="AH23" s="178"/>
      <c r="AI23" s="178"/>
      <c r="AJ23" s="178"/>
      <c r="AK23" s="178"/>
      <c r="AL23" s="178"/>
      <c r="AM23" s="178"/>
      <c r="AN23" s="178"/>
      <c r="AO23" s="178"/>
      <c r="AP23" s="138"/>
    </row>
    <row r="24" spans="1:42" ht="30.25" customHeight="1" x14ac:dyDescent="0.35">
      <c r="A24" s="37">
        <v>21</v>
      </c>
      <c r="B24" s="37">
        <v>21</v>
      </c>
      <c r="C24" s="35" t="s">
        <v>63</v>
      </c>
      <c r="D24" s="34" t="s">
        <v>113</v>
      </c>
      <c r="E24" s="41" t="s">
        <v>114</v>
      </c>
      <c r="F24" s="43" t="s">
        <v>20</v>
      </c>
      <c r="G24" s="37" t="s">
        <v>115</v>
      </c>
      <c r="H24" s="37" t="s">
        <v>5</v>
      </c>
      <c r="I24" s="37" t="s">
        <v>6</v>
      </c>
      <c r="J24" s="36">
        <v>10968</v>
      </c>
      <c r="K24" s="27">
        <f>0</f>
        <v>0</v>
      </c>
      <c r="L24" s="127">
        <f t="shared" si="1"/>
        <v>0</v>
      </c>
      <c r="M24" s="127">
        <f t="shared" si="0"/>
        <v>0</v>
      </c>
      <c r="N24" s="128"/>
      <c r="O24" s="129">
        <f t="shared" si="2"/>
        <v>0</v>
      </c>
      <c r="P24" s="128"/>
      <c r="Q24" s="128"/>
      <c r="R24" s="128"/>
      <c r="S24" s="167">
        <f t="shared" si="3"/>
        <v>0</v>
      </c>
      <c r="T24" s="25" t="str">
        <f t="shared" si="4"/>
        <v>OK</v>
      </c>
      <c r="U24" s="138"/>
      <c r="V24" s="138"/>
      <c r="W24" s="138"/>
      <c r="X24" s="139"/>
      <c r="Y24" s="139"/>
      <c r="Z24" s="138"/>
      <c r="AA24" s="138"/>
      <c r="AB24" s="138"/>
      <c r="AC24" s="138"/>
      <c r="AD24" s="138"/>
      <c r="AE24" s="138"/>
      <c r="AF24" s="138"/>
      <c r="AG24" s="178"/>
      <c r="AH24" s="178"/>
      <c r="AI24" s="178"/>
      <c r="AJ24" s="178"/>
      <c r="AK24" s="178"/>
      <c r="AL24" s="178"/>
      <c r="AM24" s="178"/>
      <c r="AN24" s="178"/>
      <c r="AO24" s="178"/>
      <c r="AP24" s="138"/>
    </row>
    <row r="25" spans="1:42" ht="30.25" customHeight="1" x14ac:dyDescent="0.35">
      <c r="A25" s="44">
        <v>22</v>
      </c>
      <c r="B25" s="44">
        <v>22</v>
      </c>
      <c r="C25" s="45" t="s">
        <v>32</v>
      </c>
      <c r="D25" s="46" t="s">
        <v>116</v>
      </c>
      <c r="E25" s="48" t="s">
        <v>117</v>
      </c>
      <c r="F25" s="50" t="s">
        <v>20</v>
      </c>
      <c r="G25" s="44" t="s">
        <v>118</v>
      </c>
      <c r="H25" s="44" t="s">
        <v>5</v>
      </c>
      <c r="I25" s="44" t="s">
        <v>6</v>
      </c>
      <c r="J25" s="47">
        <v>13446</v>
      </c>
      <c r="K25" s="27">
        <f>10</f>
        <v>10</v>
      </c>
      <c r="L25" s="127">
        <f t="shared" si="1"/>
        <v>5</v>
      </c>
      <c r="M25" s="127">
        <f t="shared" si="0"/>
        <v>5</v>
      </c>
      <c r="N25" s="128"/>
      <c r="O25" s="129">
        <f t="shared" si="2"/>
        <v>2</v>
      </c>
      <c r="P25" s="128"/>
      <c r="Q25" s="128"/>
      <c r="R25" s="128"/>
      <c r="S25" s="167">
        <f t="shared" si="3"/>
        <v>5</v>
      </c>
      <c r="T25" s="25" t="str">
        <f t="shared" si="4"/>
        <v>OK</v>
      </c>
      <c r="U25" s="138"/>
      <c r="V25" s="138"/>
      <c r="W25" s="138"/>
      <c r="X25" s="139"/>
      <c r="Y25" s="139"/>
      <c r="Z25" s="138"/>
      <c r="AA25" s="138"/>
      <c r="AB25" s="140">
        <v>2</v>
      </c>
      <c r="AC25" s="138"/>
      <c r="AD25" s="138"/>
      <c r="AE25" s="138"/>
      <c r="AF25" s="138"/>
      <c r="AG25" s="178"/>
      <c r="AH25" s="178"/>
      <c r="AI25" s="178"/>
      <c r="AJ25" s="178"/>
      <c r="AK25" s="178">
        <v>1</v>
      </c>
      <c r="AL25" s="178"/>
      <c r="AM25" s="178"/>
      <c r="AN25" s="178">
        <v>2</v>
      </c>
      <c r="AO25" s="178"/>
      <c r="AP25" s="138"/>
    </row>
    <row r="26" spans="1:42" ht="30.25" customHeight="1" x14ac:dyDescent="0.35">
      <c r="A26" s="37">
        <v>23</v>
      </c>
      <c r="B26" s="37">
        <v>23</v>
      </c>
      <c r="C26" s="35" t="s">
        <v>119</v>
      </c>
      <c r="D26" s="34" t="s">
        <v>120</v>
      </c>
      <c r="E26" s="41" t="s">
        <v>121</v>
      </c>
      <c r="F26" s="43" t="s">
        <v>20</v>
      </c>
      <c r="G26" s="37" t="s">
        <v>115</v>
      </c>
      <c r="H26" s="37" t="s">
        <v>5</v>
      </c>
      <c r="I26" s="37" t="s">
        <v>6</v>
      </c>
      <c r="J26" s="36">
        <v>11764.7</v>
      </c>
      <c r="K26" s="27">
        <f>0</f>
        <v>0</v>
      </c>
      <c r="L26" s="127">
        <f t="shared" si="1"/>
        <v>0</v>
      </c>
      <c r="M26" s="127">
        <f t="shared" si="0"/>
        <v>0</v>
      </c>
      <c r="N26" s="128"/>
      <c r="O26" s="129">
        <f t="shared" si="2"/>
        <v>0</v>
      </c>
      <c r="P26" s="128"/>
      <c r="Q26" s="128"/>
      <c r="R26" s="128"/>
      <c r="S26" s="167">
        <f t="shared" si="3"/>
        <v>0</v>
      </c>
      <c r="T26" s="25" t="str">
        <f t="shared" si="4"/>
        <v>OK</v>
      </c>
      <c r="U26" s="138"/>
      <c r="V26" s="138"/>
      <c r="W26" s="138"/>
      <c r="X26" s="139"/>
      <c r="Y26" s="139"/>
      <c r="Z26" s="138"/>
      <c r="AA26" s="138"/>
      <c r="AB26" s="138"/>
      <c r="AC26" s="138"/>
      <c r="AD26" s="138"/>
      <c r="AE26" s="138"/>
      <c r="AF26" s="138"/>
      <c r="AG26" s="178"/>
      <c r="AH26" s="178"/>
      <c r="AI26" s="178"/>
      <c r="AJ26" s="178"/>
      <c r="AK26" s="178"/>
      <c r="AL26" s="178"/>
      <c r="AM26" s="178"/>
      <c r="AN26" s="178"/>
      <c r="AO26" s="178"/>
      <c r="AP26" s="138"/>
    </row>
    <row r="27" spans="1:42" ht="30.25" customHeight="1" x14ac:dyDescent="0.35">
      <c r="A27" s="44">
        <v>24</v>
      </c>
      <c r="B27" s="44">
        <v>24</v>
      </c>
      <c r="C27" s="45" t="s">
        <v>32</v>
      </c>
      <c r="D27" s="46" t="s">
        <v>122</v>
      </c>
      <c r="E27" s="48" t="s">
        <v>123</v>
      </c>
      <c r="F27" s="50" t="s">
        <v>20</v>
      </c>
      <c r="G27" s="44" t="s">
        <v>124</v>
      </c>
      <c r="H27" s="44" t="s">
        <v>60</v>
      </c>
      <c r="I27" s="44" t="s">
        <v>6</v>
      </c>
      <c r="J27" s="47">
        <v>13333.33</v>
      </c>
      <c r="K27" s="27">
        <f>0</f>
        <v>0</v>
      </c>
      <c r="L27" s="127">
        <f t="shared" si="1"/>
        <v>0</v>
      </c>
      <c r="M27" s="127">
        <f t="shared" si="0"/>
        <v>0</v>
      </c>
      <c r="N27" s="128"/>
      <c r="O27" s="129">
        <f t="shared" si="2"/>
        <v>0</v>
      </c>
      <c r="P27" s="128"/>
      <c r="Q27" s="128"/>
      <c r="R27" s="128"/>
      <c r="S27" s="167">
        <f t="shared" si="3"/>
        <v>0</v>
      </c>
      <c r="T27" s="25" t="str">
        <f t="shared" si="4"/>
        <v>OK</v>
      </c>
      <c r="U27" s="138"/>
      <c r="V27" s="138"/>
      <c r="W27" s="138"/>
      <c r="X27" s="139"/>
      <c r="Y27" s="139"/>
      <c r="Z27" s="138"/>
      <c r="AA27" s="138"/>
      <c r="AB27" s="138"/>
      <c r="AC27" s="138"/>
      <c r="AD27" s="138"/>
      <c r="AE27" s="138"/>
      <c r="AF27" s="138"/>
      <c r="AG27" s="178"/>
      <c r="AH27" s="178"/>
      <c r="AI27" s="178"/>
      <c r="AJ27" s="178"/>
      <c r="AK27" s="178"/>
      <c r="AL27" s="178"/>
      <c r="AM27" s="178"/>
      <c r="AN27" s="178"/>
      <c r="AO27" s="178"/>
      <c r="AP27" s="138"/>
    </row>
    <row r="28" spans="1:42" ht="30.25" customHeight="1" x14ac:dyDescent="0.35">
      <c r="A28" s="37">
        <v>25</v>
      </c>
      <c r="B28" s="37">
        <v>25</v>
      </c>
      <c r="C28" s="35" t="s">
        <v>125</v>
      </c>
      <c r="D28" s="34" t="s">
        <v>126</v>
      </c>
      <c r="E28" s="41" t="s">
        <v>127</v>
      </c>
      <c r="F28" s="43" t="s">
        <v>24</v>
      </c>
      <c r="G28" s="37" t="s">
        <v>25</v>
      </c>
      <c r="H28" s="37" t="s">
        <v>5</v>
      </c>
      <c r="I28" s="37" t="s">
        <v>26</v>
      </c>
      <c r="J28" s="36">
        <v>1320</v>
      </c>
      <c r="K28" s="27">
        <f>3</f>
        <v>3</v>
      </c>
      <c r="L28" s="127">
        <f t="shared" si="1"/>
        <v>0</v>
      </c>
      <c r="M28" s="127">
        <f t="shared" si="0"/>
        <v>0</v>
      </c>
      <c r="N28" s="128"/>
      <c r="O28" s="129">
        <f t="shared" si="2"/>
        <v>0</v>
      </c>
      <c r="P28" s="128"/>
      <c r="Q28" s="128"/>
      <c r="R28" s="128"/>
      <c r="S28" s="167">
        <f t="shared" si="3"/>
        <v>3</v>
      </c>
      <c r="T28" s="25" t="str">
        <f t="shared" si="4"/>
        <v>OK</v>
      </c>
      <c r="U28" s="138"/>
      <c r="V28" s="138"/>
      <c r="W28" s="138"/>
      <c r="X28" s="139"/>
      <c r="Y28" s="139"/>
      <c r="Z28" s="138"/>
      <c r="AA28" s="138"/>
      <c r="AB28" s="138"/>
      <c r="AC28" s="138"/>
      <c r="AD28" s="138"/>
      <c r="AE28" s="138"/>
      <c r="AF28" s="138"/>
      <c r="AG28" s="178"/>
      <c r="AH28" s="178"/>
      <c r="AI28" s="178"/>
      <c r="AJ28" s="178"/>
      <c r="AK28" s="178"/>
      <c r="AL28" s="178"/>
      <c r="AM28" s="178"/>
      <c r="AN28" s="178"/>
      <c r="AO28" s="178"/>
      <c r="AP28" s="138"/>
    </row>
    <row r="29" spans="1:42" ht="30.25" customHeight="1" x14ac:dyDescent="0.35">
      <c r="A29" s="44">
        <v>26</v>
      </c>
      <c r="B29" s="44">
        <v>26</v>
      </c>
      <c r="C29" s="45" t="s">
        <v>119</v>
      </c>
      <c r="D29" s="46" t="s">
        <v>14</v>
      </c>
      <c r="E29" s="48" t="s">
        <v>128</v>
      </c>
      <c r="F29" s="50" t="s">
        <v>23</v>
      </c>
      <c r="G29" s="44" t="s">
        <v>129</v>
      </c>
      <c r="H29" s="44" t="s">
        <v>5</v>
      </c>
      <c r="I29" s="44" t="s">
        <v>6</v>
      </c>
      <c r="J29" s="47">
        <v>650</v>
      </c>
      <c r="K29" s="27">
        <f>2</f>
        <v>2</v>
      </c>
      <c r="L29" s="127">
        <f t="shared" si="1"/>
        <v>0</v>
      </c>
      <c r="M29" s="127">
        <f t="shared" si="0"/>
        <v>0</v>
      </c>
      <c r="N29" s="128"/>
      <c r="O29" s="129">
        <f t="shared" si="2"/>
        <v>0</v>
      </c>
      <c r="P29" s="128"/>
      <c r="Q29" s="128"/>
      <c r="R29" s="128"/>
      <c r="S29" s="167">
        <f t="shared" si="3"/>
        <v>2</v>
      </c>
      <c r="T29" s="25" t="str">
        <f t="shared" si="4"/>
        <v>OK</v>
      </c>
      <c r="U29" s="138"/>
      <c r="V29" s="138"/>
      <c r="W29" s="138"/>
      <c r="X29" s="139"/>
      <c r="Y29" s="139"/>
      <c r="Z29" s="138"/>
      <c r="AA29" s="138"/>
      <c r="AB29" s="138"/>
      <c r="AC29" s="138"/>
      <c r="AD29" s="138"/>
      <c r="AE29" s="138"/>
      <c r="AF29" s="138"/>
      <c r="AG29" s="178"/>
      <c r="AH29" s="178"/>
      <c r="AI29" s="178"/>
      <c r="AJ29" s="178"/>
      <c r="AK29" s="178"/>
      <c r="AL29" s="178"/>
      <c r="AM29" s="178"/>
      <c r="AN29" s="178"/>
      <c r="AO29" s="178"/>
      <c r="AP29" s="138"/>
    </row>
    <row r="30" spans="1:42" ht="30.25" customHeight="1" x14ac:dyDescent="0.35">
      <c r="A30" s="37">
        <v>27</v>
      </c>
      <c r="B30" s="37">
        <v>27</v>
      </c>
      <c r="C30" s="35" t="s">
        <v>130</v>
      </c>
      <c r="D30" s="34" t="s">
        <v>131</v>
      </c>
      <c r="E30" s="41" t="s">
        <v>132</v>
      </c>
      <c r="F30" s="43" t="s">
        <v>28</v>
      </c>
      <c r="G30" s="37" t="s">
        <v>29</v>
      </c>
      <c r="H30" s="37" t="s">
        <v>8</v>
      </c>
      <c r="I30" s="37" t="s">
        <v>26</v>
      </c>
      <c r="J30" s="36">
        <v>39.78</v>
      </c>
      <c r="K30" s="27">
        <f>0</f>
        <v>0</v>
      </c>
      <c r="L30" s="127">
        <f t="shared" si="1"/>
        <v>0</v>
      </c>
      <c r="M30" s="127">
        <f t="shared" si="0"/>
        <v>0</v>
      </c>
      <c r="N30" s="128"/>
      <c r="O30" s="129">
        <f t="shared" si="2"/>
        <v>0</v>
      </c>
      <c r="P30" s="128"/>
      <c r="Q30" s="128"/>
      <c r="R30" s="128"/>
      <c r="S30" s="167">
        <f t="shared" si="3"/>
        <v>0</v>
      </c>
      <c r="T30" s="25" t="str">
        <f t="shared" si="4"/>
        <v>OK</v>
      </c>
      <c r="U30" s="138"/>
      <c r="V30" s="138"/>
      <c r="W30" s="138"/>
      <c r="X30" s="139"/>
      <c r="Y30" s="139"/>
      <c r="Z30" s="138"/>
      <c r="AA30" s="138"/>
      <c r="AB30" s="138"/>
      <c r="AC30" s="138"/>
      <c r="AD30" s="138"/>
      <c r="AE30" s="138"/>
      <c r="AF30" s="138"/>
      <c r="AG30" s="178"/>
      <c r="AH30" s="178"/>
      <c r="AI30" s="178"/>
      <c r="AJ30" s="178"/>
      <c r="AK30" s="178"/>
      <c r="AL30" s="178"/>
      <c r="AM30" s="178"/>
      <c r="AN30" s="178"/>
      <c r="AO30" s="178"/>
      <c r="AP30" s="138"/>
    </row>
    <row r="31" spans="1:42" ht="30.25" customHeight="1" x14ac:dyDescent="0.35">
      <c r="A31" s="44">
        <v>28</v>
      </c>
      <c r="B31" s="44">
        <v>28</v>
      </c>
      <c r="C31" s="45" t="s">
        <v>133</v>
      </c>
      <c r="D31" s="46" t="s">
        <v>134</v>
      </c>
      <c r="E31" s="48" t="s">
        <v>135</v>
      </c>
      <c r="F31" s="50" t="s">
        <v>136</v>
      </c>
      <c r="G31" s="44" t="s">
        <v>137</v>
      </c>
      <c r="H31" s="44" t="s">
        <v>5</v>
      </c>
      <c r="I31" s="44" t="s">
        <v>6</v>
      </c>
      <c r="J31" s="47">
        <v>2259.91</v>
      </c>
      <c r="K31" s="27">
        <f>4</f>
        <v>4</v>
      </c>
      <c r="L31" s="127">
        <f t="shared" si="1"/>
        <v>4</v>
      </c>
      <c r="M31" s="127">
        <f t="shared" si="0"/>
        <v>4</v>
      </c>
      <c r="N31" s="128"/>
      <c r="O31" s="129">
        <f t="shared" si="2"/>
        <v>1</v>
      </c>
      <c r="P31" s="128"/>
      <c r="Q31" s="128"/>
      <c r="R31" s="128"/>
      <c r="S31" s="167">
        <f t="shared" si="3"/>
        <v>0</v>
      </c>
      <c r="T31" s="25" t="str">
        <f t="shared" si="4"/>
        <v>OK</v>
      </c>
      <c r="U31" s="140">
        <v>4</v>
      </c>
      <c r="V31" s="138"/>
      <c r="W31" s="138"/>
      <c r="X31" s="139"/>
      <c r="Y31" s="139"/>
      <c r="Z31" s="138"/>
      <c r="AA31" s="138"/>
      <c r="AB31" s="138"/>
      <c r="AC31" s="138"/>
      <c r="AD31" s="138"/>
      <c r="AE31" s="138"/>
      <c r="AF31" s="138"/>
      <c r="AG31" s="178"/>
      <c r="AH31" s="178"/>
      <c r="AI31" s="178"/>
      <c r="AJ31" s="178"/>
      <c r="AK31" s="178"/>
      <c r="AL31" s="178"/>
      <c r="AM31" s="178"/>
      <c r="AN31" s="178"/>
      <c r="AO31" s="178"/>
      <c r="AP31" s="138"/>
    </row>
    <row r="32" spans="1:42" ht="30.25" customHeight="1" x14ac:dyDescent="0.35">
      <c r="A32" s="37">
        <v>29</v>
      </c>
      <c r="B32" s="37">
        <v>29</v>
      </c>
      <c r="C32" s="35" t="s">
        <v>138</v>
      </c>
      <c r="D32" s="34" t="s">
        <v>139</v>
      </c>
      <c r="E32" s="41" t="s">
        <v>140</v>
      </c>
      <c r="F32" s="43" t="s">
        <v>136</v>
      </c>
      <c r="G32" s="37" t="s">
        <v>137</v>
      </c>
      <c r="H32" s="37" t="s">
        <v>5</v>
      </c>
      <c r="I32" s="37" t="s">
        <v>6</v>
      </c>
      <c r="J32" s="36">
        <v>3391.3</v>
      </c>
      <c r="K32" s="27">
        <f>4</f>
        <v>4</v>
      </c>
      <c r="L32" s="127">
        <f t="shared" si="1"/>
        <v>0</v>
      </c>
      <c r="M32" s="127">
        <f t="shared" si="0"/>
        <v>0</v>
      </c>
      <c r="N32" s="128"/>
      <c r="O32" s="129">
        <f t="shared" si="2"/>
        <v>1</v>
      </c>
      <c r="P32" s="128"/>
      <c r="Q32" s="128"/>
      <c r="R32" s="128"/>
      <c r="S32" s="167">
        <f t="shared" si="3"/>
        <v>4</v>
      </c>
      <c r="T32" s="25" t="str">
        <f t="shared" si="4"/>
        <v>OK</v>
      </c>
      <c r="U32" s="138"/>
      <c r="V32" s="138"/>
      <c r="W32" s="138"/>
      <c r="X32" s="139"/>
      <c r="Y32" s="139"/>
      <c r="Z32" s="138"/>
      <c r="AA32" s="138"/>
      <c r="AB32" s="138"/>
      <c r="AC32" s="138"/>
      <c r="AD32" s="138"/>
      <c r="AE32" s="138"/>
      <c r="AF32" s="138"/>
      <c r="AG32" s="178"/>
      <c r="AH32" s="178"/>
      <c r="AI32" s="178"/>
      <c r="AJ32" s="178"/>
      <c r="AK32" s="178"/>
      <c r="AL32" s="178"/>
      <c r="AM32" s="178"/>
      <c r="AN32" s="178"/>
      <c r="AO32" s="178"/>
      <c r="AP32" s="138"/>
    </row>
    <row r="33" spans="1:42" ht="30.25" customHeight="1" x14ac:dyDescent="0.35">
      <c r="A33" s="44">
        <v>30</v>
      </c>
      <c r="B33" s="44">
        <v>30</v>
      </c>
      <c r="C33" s="45" t="s">
        <v>141</v>
      </c>
      <c r="D33" s="46" t="s">
        <v>142</v>
      </c>
      <c r="E33" s="48" t="s">
        <v>143</v>
      </c>
      <c r="F33" s="50" t="s">
        <v>136</v>
      </c>
      <c r="G33" s="44" t="s">
        <v>137</v>
      </c>
      <c r="H33" s="44" t="s">
        <v>5</v>
      </c>
      <c r="I33" s="44" t="s">
        <v>6</v>
      </c>
      <c r="J33" s="47">
        <v>9961.5300000000007</v>
      </c>
      <c r="K33" s="27">
        <f>0</f>
        <v>0</v>
      </c>
      <c r="L33" s="127">
        <f t="shared" si="1"/>
        <v>0</v>
      </c>
      <c r="M33" s="127">
        <f t="shared" si="0"/>
        <v>0</v>
      </c>
      <c r="N33" s="128"/>
      <c r="O33" s="129">
        <f t="shared" si="2"/>
        <v>0</v>
      </c>
      <c r="P33" s="128"/>
      <c r="Q33" s="128"/>
      <c r="R33" s="128"/>
      <c r="S33" s="167">
        <f t="shared" si="3"/>
        <v>0</v>
      </c>
      <c r="T33" s="25" t="str">
        <f t="shared" si="4"/>
        <v>OK</v>
      </c>
      <c r="U33" s="138"/>
      <c r="V33" s="138"/>
      <c r="W33" s="138"/>
      <c r="X33" s="139"/>
      <c r="Y33" s="139"/>
      <c r="Z33" s="138"/>
      <c r="AA33" s="138"/>
      <c r="AB33" s="138"/>
      <c r="AC33" s="138"/>
      <c r="AD33" s="138"/>
      <c r="AE33" s="138"/>
      <c r="AF33" s="138"/>
      <c r="AG33" s="178"/>
      <c r="AH33" s="178"/>
      <c r="AI33" s="178"/>
      <c r="AJ33" s="178"/>
      <c r="AK33" s="178"/>
      <c r="AL33" s="178"/>
      <c r="AM33" s="178"/>
      <c r="AN33" s="178"/>
      <c r="AO33" s="178"/>
      <c r="AP33" s="138"/>
    </row>
    <row r="34" spans="1:42" ht="30.25" customHeight="1" x14ac:dyDescent="0.35">
      <c r="A34" s="37">
        <v>31</v>
      </c>
      <c r="B34" s="37">
        <v>31</v>
      </c>
      <c r="C34" s="35" t="s">
        <v>144</v>
      </c>
      <c r="D34" s="34" t="s">
        <v>145</v>
      </c>
      <c r="E34" s="41" t="s">
        <v>146</v>
      </c>
      <c r="F34" s="43" t="s">
        <v>20</v>
      </c>
      <c r="G34" s="37" t="s">
        <v>147</v>
      </c>
      <c r="H34" s="37" t="s">
        <v>60</v>
      </c>
      <c r="I34" s="37">
        <v>44905212</v>
      </c>
      <c r="J34" s="36">
        <v>630</v>
      </c>
      <c r="K34" s="27">
        <f>0</f>
        <v>0</v>
      </c>
      <c r="L34" s="127">
        <f t="shared" si="1"/>
        <v>0</v>
      </c>
      <c r="M34" s="127">
        <f t="shared" si="0"/>
        <v>0</v>
      </c>
      <c r="N34" s="128"/>
      <c r="O34" s="129">
        <f t="shared" si="2"/>
        <v>0</v>
      </c>
      <c r="P34" s="128"/>
      <c r="Q34" s="128"/>
      <c r="R34" s="128"/>
      <c r="S34" s="167">
        <f t="shared" si="3"/>
        <v>0</v>
      </c>
      <c r="T34" s="25" t="str">
        <f t="shared" si="4"/>
        <v>OK</v>
      </c>
      <c r="U34" s="138"/>
      <c r="V34" s="138"/>
      <c r="W34" s="138"/>
      <c r="X34" s="139"/>
      <c r="Y34" s="139"/>
      <c r="Z34" s="138"/>
      <c r="AA34" s="138"/>
      <c r="AB34" s="138"/>
      <c r="AC34" s="138"/>
      <c r="AD34" s="138"/>
      <c r="AE34" s="138"/>
      <c r="AF34" s="138"/>
      <c r="AG34" s="178"/>
      <c r="AH34" s="178"/>
      <c r="AI34" s="178"/>
      <c r="AJ34" s="178"/>
      <c r="AK34" s="178"/>
      <c r="AL34" s="178"/>
      <c r="AM34" s="178"/>
      <c r="AN34" s="178"/>
      <c r="AO34" s="178"/>
      <c r="AP34" s="138"/>
    </row>
    <row r="35" spans="1:42" ht="30.25" customHeight="1" x14ac:dyDescent="0.35">
      <c r="A35" s="44">
        <v>32</v>
      </c>
      <c r="B35" s="44">
        <v>32</v>
      </c>
      <c r="C35" s="45" t="s">
        <v>144</v>
      </c>
      <c r="D35" s="46" t="s">
        <v>148</v>
      </c>
      <c r="E35" s="48" t="s">
        <v>149</v>
      </c>
      <c r="F35" s="50" t="s">
        <v>20</v>
      </c>
      <c r="G35" s="44" t="s">
        <v>147</v>
      </c>
      <c r="H35" s="44" t="s">
        <v>60</v>
      </c>
      <c r="I35" s="44">
        <v>44905212</v>
      </c>
      <c r="J35" s="47">
        <v>1550</v>
      </c>
      <c r="K35" s="27">
        <f>0</f>
        <v>0</v>
      </c>
      <c r="L35" s="127">
        <f t="shared" si="1"/>
        <v>0</v>
      </c>
      <c r="M35" s="127">
        <f t="shared" si="0"/>
        <v>0</v>
      </c>
      <c r="N35" s="128"/>
      <c r="O35" s="129">
        <f t="shared" si="2"/>
        <v>0</v>
      </c>
      <c r="P35" s="128"/>
      <c r="Q35" s="128"/>
      <c r="R35" s="128"/>
      <c r="S35" s="167">
        <f t="shared" si="3"/>
        <v>0</v>
      </c>
      <c r="T35" s="25" t="str">
        <f t="shared" si="4"/>
        <v>OK</v>
      </c>
      <c r="U35" s="138"/>
      <c r="V35" s="138"/>
      <c r="W35" s="138"/>
      <c r="X35" s="139"/>
      <c r="Y35" s="139"/>
      <c r="Z35" s="138"/>
      <c r="AA35" s="138"/>
      <c r="AB35" s="138"/>
      <c r="AC35" s="138"/>
      <c r="AD35" s="138"/>
      <c r="AE35" s="138"/>
      <c r="AF35" s="138"/>
      <c r="AG35" s="178"/>
      <c r="AH35" s="178"/>
      <c r="AI35" s="178"/>
      <c r="AJ35" s="178"/>
      <c r="AK35" s="178"/>
      <c r="AL35" s="178"/>
      <c r="AM35" s="178"/>
      <c r="AN35" s="178"/>
      <c r="AO35" s="178"/>
      <c r="AP35" s="138"/>
    </row>
    <row r="36" spans="1:42" ht="30.25" customHeight="1" x14ac:dyDescent="0.35">
      <c r="A36" s="37">
        <v>33</v>
      </c>
      <c r="B36" s="37">
        <v>33</v>
      </c>
      <c r="C36" s="35" t="s">
        <v>150</v>
      </c>
      <c r="D36" s="34" t="s">
        <v>151</v>
      </c>
      <c r="E36" s="41" t="s">
        <v>152</v>
      </c>
      <c r="F36" s="43" t="s">
        <v>20</v>
      </c>
      <c r="G36" s="37" t="s">
        <v>147</v>
      </c>
      <c r="H36" s="37" t="s">
        <v>60</v>
      </c>
      <c r="I36" s="37">
        <v>44905212</v>
      </c>
      <c r="J36" s="36">
        <v>930</v>
      </c>
      <c r="K36" s="27">
        <f>0</f>
        <v>0</v>
      </c>
      <c r="L36" s="127">
        <f t="shared" si="1"/>
        <v>0</v>
      </c>
      <c r="M36" s="127">
        <f t="shared" ref="M36:M67" si="5">(SUM(U36:AS36))</f>
        <v>0</v>
      </c>
      <c r="N36" s="128"/>
      <c r="O36" s="129">
        <f t="shared" si="2"/>
        <v>0</v>
      </c>
      <c r="P36" s="128"/>
      <c r="Q36" s="128"/>
      <c r="R36" s="128"/>
      <c r="S36" s="167">
        <f t="shared" si="3"/>
        <v>0</v>
      </c>
      <c r="T36" s="25" t="str">
        <f t="shared" si="4"/>
        <v>OK</v>
      </c>
      <c r="U36" s="138"/>
      <c r="V36" s="138"/>
      <c r="W36" s="138"/>
      <c r="X36" s="139"/>
      <c r="Y36" s="139"/>
      <c r="Z36" s="138"/>
      <c r="AA36" s="138"/>
      <c r="AB36" s="138"/>
      <c r="AC36" s="138"/>
      <c r="AD36" s="138"/>
      <c r="AE36" s="138"/>
      <c r="AF36" s="138"/>
      <c r="AG36" s="178"/>
      <c r="AH36" s="178"/>
      <c r="AI36" s="178"/>
      <c r="AJ36" s="178"/>
      <c r="AK36" s="178"/>
      <c r="AL36" s="178"/>
      <c r="AM36" s="178"/>
      <c r="AN36" s="178"/>
      <c r="AO36" s="178"/>
      <c r="AP36" s="138"/>
    </row>
    <row r="37" spans="1:42" ht="30.25" customHeight="1" x14ac:dyDescent="0.35">
      <c r="A37" s="44">
        <v>34</v>
      </c>
      <c r="B37" s="44">
        <v>34</v>
      </c>
      <c r="C37" s="45" t="s">
        <v>150</v>
      </c>
      <c r="D37" s="46" t="s">
        <v>153</v>
      </c>
      <c r="E37" s="48" t="s">
        <v>154</v>
      </c>
      <c r="F37" s="50" t="s">
        <v>20</v>
      </c>
      <c r="G37" s="44" t="s">
        <v>147</v>
      </c>
      <c r="H37" s="44" t="s">
        <v>60</v>
      </c>
      <c r="I37" s="44">
        <v>44905212</v>
      </c>
      <c r="J37" s="47">
        <v>2560</v>
      </c>
      <c r="K37" s="27">
        <f>0</f>
        <v>0</v>
      </c>
      <c r="L37" s="127">
        <f t="shared" si="1"/>
        <v>0</v>
      </c>
      <c r="M37" s="127">
        <f t="shared" si="5"/>
        <v>0</v>
      </c>
      <c r="N37" s="128"/>
      <c r="O37" s="129">
        <f t="shared" si="2"/>
        <v>0</v>
      </c>
      <c r="P37" s="128"/>
      <c r="Q37" s="128"/>
      <c r="R37" s="128"/>
      <c r="S37" s="167">
        <f t="shared" si="3"/>
        <v>0</v>
      </c>
      <c r="T37" s="25" t="str">
        <f t="shared" si="4"/>
        <v>OK</v>
      </c>
      <c r="U37" s="138"/>
      <c r="V37" s="138"/>
      <c r="W37" s="138"/>
      <c r="X37" s="139"/>
      <c r="Y37" s="139"/>
      <c r="Z37" s="138"/>
      <c r="AA37" s="138"/>
      <c r="AB37" s="138"/>
      <c r="AC37" s="138"/>
      <c r="AD37" s="138"/>
      <c r="AE37" s="138"/>
      <c r="AF37" s="138"/>
      <c r="AG37" s="178"/>
      <c r="AH37" s="178"/>
      <c r="AI37" s="178"/>
      <c r="AJ37" s="178"/>
      <c r="AK37" s="178"/>
      <c r="AL37" s="178"/>
      <c r="AM37" s="178"/>
      <c r="AN37" s="178"/>
      <c r="AO37" s="178"/>
      <c r="AP37" s="138"/>
    </row>
    <row r="38" spans="1:42" ht="30.25" customHeight="1" x14ac:dyDescent="0.35">
      <c r="A38" s="198" t="s">
        <v>155</v>
      </c>
      <c r="B38" s="37">
        <v>35</v>
      </c>
      <c r="C38" s="195" t="s">
        <v>33</v>
      </c>
      <c r="D38" s="34" t="s">
        <v>27</v>
      </c>
      <c r="E38" s="41" t="s">
        <v>8</v>
      </c>
      <c r="F38" s="42" t="s">
        <v>28</v>
      </c>
      <c r="G38" s="37" t="s">
        <v>29</v>
      </c>
      <c r="H38" s="37" t="s">
        <v>8</v>
      </c>
      <c r="I38" s="37" t="s">
        <v>9</v>
      </c>
      <c r="J38" s="36">
        <v>150.13999999999999</v>
      </c>
      <c r="K38" s="27">
        <f>0</f>
        <v>0</v>
      </c>
      <c r="L38" s="127">
        <f t="shared" si="1"/>
        <v>0</v>
      </c>
      <c r="M38" s="127">
        <f t="shared" si="5"/>
        <v>0</v>
      </c>
      <c r="N38" s="128"/>
      <c r="O38" s="129">
        <f t="shared" si="2"/>
        <v>0</v>
      </c>
      <c r="P38" s="128"/>
      <c r="Q38" s="128"/>
      <c r="R38" s="128"/>
      <c r="S38" s="167">
        <f t="shared" si="3"/>
        <v>0</v>
      </c>
      <c r="T38" s="25" t="str">
        <f t="shared" si="4"/>
        <v>OK</v>
      </c>
      <c r="U38" s="138"/>
      <c r="V38" s="138"/>
      <c r="W38" s="138"/>
      <c r="X38" s="139"/>
      <c r="Y38" s="139"/>
      <c r="Z38" s="138"/>
      <c r="AA38" s="138"/>
      <c r="AB38" s="138"/>
      <c r="AC38" s="138"/>
      <c r="AD38" s="138"/>
      <c r="AE38" s="138"/>
      <c r="AF38" s="138"/>
      <c r="AG38" s="178"/>
      <c r="AH38" s="178"/>
      <c r="AI38" s="178"/>
      <c r="AJ38" s="178"/>
      <c r="AK38" s="178"/>
      <c r="AL38" s="178"/>
      <c r="AM38" s="178"/>
      <c r="AN38" s="178"/>
      <c r="AO38" s="178"/>
      <c r="AP38" s="138"/>
    </row>
    <row r="39" spans="1:42" ht="30.25" customHeight="1" x14ac:dyDescent="0.35">
      <c r="A39" s="199"/>
      <c r="B39" s="37">
        <v>36</v>
      </c>
      <c r="C39" s="196"/>
      <c r="D39" s="34" t="s">
        <v>7</v>
      </c>
      <c r="E39" s="41" t="s">
        <v>8</v>
      </c>
      <c r="F39" s="43" t="s">
        <v>28</v>
      </c>
      <c r="G39" s="37" t="s">
        <v>29</v>
      </c>
      <c r="H39" s="37" t="s">
        <v>8</v>
      </c>
      <c r="I39" s="37" t="s">
        <v>9</v>
      </c>
      <c r="J39" s="36">
        <v>1076</v>
      </c>
      <c r="K39" s="27">
        <f>0</f>
        <v>0</v>
      </c>
      <c r="L39" s="127">
        <f t="shared" si="1"/>
        <v>0</v>
      </c>
      <c r="M39" s="127">
        <f t="shared" si="5"/>
        <v>0</v>
      </c>
      <c r="N39" s="128"/>
      <c r="O39" s="129">
        <f t="shared" si="2"/>
        <v>0</v>
      </c>
      <c r="P39" s="128"/>
      <c r="Q39" s="128"/>
      <c r="R39" s="128"/>
      <c r="S39" s="167">
        <f t="shared" si="3"/>
        <v>0</v>
      </c>
      <c r="T39" s="25" t="str">
        <f t="shared" si="4"/>
        <v>OK</v>
      </c>
      <c r="U39" s="138"/>
      <c r="V39" s="138"/>
      <c r="W39" s="138"/>
      <c r="X39" s="139"/>
      <c r="Y39" s="139"/>
      <c r="Z39" s="138"/>
      <c r="AA39" s="138"/>
      <c r="AB39" s="138"/>
      <c r="AC39" s="138"/>
      <c r="AD39" s="138"/>
      <c r="AE39" s="138"/>
      <c r="AF39" s="138"/>
      <c r="AG39" s="178"/>
      <c r="AH39" s="178"/>
      <c r="AI39" s="178"/>
      <c r="AJ39" s="178"/>
      <c r="AK39" s="178"/>
      <c r="AL39" s="178"/>
      <c r="AM39" s="178"/>
      <c r="AN39" s="178"/>
      <c r="AO39" s="178"/>
      <c r="AP39" s="138"/>
    </row>
    <row r="40" spans="1:42" ht="30.25" customHeight="1" x14ac:dyDescent="0.35">
      <c r="A40" s="199"/>
      <c r="B40" s="37">
        <v>37</v>
      </c>
      <c r="C40" s="196"/>
      <c r="D40" s="34" t="s">
        <v>156</v>
      </c>
      <c r="E40" s="41" t="s">
        <v>8</v>
      </c>
      <c r="F40" s="43" t="s">
        <v>28</v>
      </c>
      <c r="G40" s="37" t="s">
        <v>29</v>
      </c>
      <c r="H40" s="37" t="s">
        <v>34</v>
      </c>
      <c r="I40" s="37" t="s">
        <v>9</v>
      </c>
      <c r="J40" s="36">
        <v>75</v>
      </c>
      <c r="K40" s="27">
        <f>0</f>
        <v>0</v>
      </c>
      <c r="L40" s="127">
        <f t="shared" si="1"/>
        <v>0</v>
      </c>
      <c r="M40" s="127">
        <f t="shared" si="5"/>
        <v>0</v>
      </c>
      <c r="N40" s="128"/>
      <c r="O40" s="129">
        <f t="shared" si="2"/>
        <v>0</v>
      </c>
      <c r="P40" s="128"/>
      <c r="Q40" s="128"/>
      <c r="R40" s="128"/>
      <c r="S40" s="167">
        <f t="shared" si="3"/>
        <v>0</v>
      </c>
      <c r="T40" s="25" t="str">
        <f t="shared" si="4"/>
        <v>OK</v>
      </c>
      <c r="U40" s="138"/>
      <c r="V40" s="138"/>
      <c r="W40" s="138"/>
      <c r="X40" s="139"/>
      <c r="Y40" s="139"/>
      <c r="Z40" s="138"/>
      <c r="AA40" s="138"/>
      <c r="AB40" s="138"/>
      <c r="AC40" s="138"/>
      <c r="AD40" s="138"/>
      <c r="AE40" s="138"/>
      <c r="AF40" s="138"/>
      <c r="AG40" s="178"/>
      <c r="AH40" s="178"/>
      <c r="AI40" s="178"/>
      <c r="AJ40" s="178"/>
      <c r="AK40" s="178"/>
      <c r="AL40" s="178"/>
      <c r="AM40" s="178"/>
      <c r="AN40" s="178"/>
      <c r="AO40" s="178"/>
      <c r="AP40" s="138"/>
    </row>
    <row r="41" spans="1:42" ht="30.25" customHeight="1" x14ac:dyDescent="0.35">
      <c r="A41" s="199"/>
      <c r="B41" s="37">
        <v>38</v>
      </c>
      <c r="C41" s="196"/>
      <c r="D41" s="34" t="s">
        <v>11</v>
      </c>
      <c r="E41" s="41" t="s">
        <v>8</v>
      </c>
      <c r="F41" s="43" t="s">
        <v>28</v>
      </c>
      <c r="G41" s="37" t="s">
        <v>29</v>
      </c>
      <c r="H41" s="37" t="s">
        <v>8</v>
      </c>
      <c r="I41" s="37" t="s">
        <v>9</v>
      </c>
      <c r="J41" s="36">
        <v>1400</v>
      </c>
      <c r="K41" s="27">
        <f>0</f>
        <v>0</v>
      </c>
      <c r="L41" s="127">
        <f t="shared" si="1"/>
        <v>0</v>
      </c>
      <c r="M41" s="127">
        <f t="shared" si="5"/>
        <v>0</v>
      </c>
      <c r="N41" s="128"/>
      <c r="O41" s="129">
        <f t="shared" si="2"/>
        <v>0</v>
      </c>
      <c r="P41" s="128"/>
      <c r="Q41" s="128"/>
      <c r="R41" s="128"/>
      <c r="S41" s="167">
        <f t="shared" si="3"/>
        <v>0</v>
      </c>
      <c r="T41" s="25" t="str">
        <f t="shared" si="4"/>
        <v>OK</v>
      </c>
      <c r="U41" s="138"/>
      <c r="V41" s="138"/>
      <c r="W41" s="138"/>
      <c r="X41" s="139"/>
      <c r="Y41" s="139"/>
      <c r="Z41" s="138"/>
      <c r="AA41" s="138"/>
      <c r="AB41" s="138"/>
      <c r="AC41" s="138"/>
      <c r="AD41" s="138"/>
      <c r="AE41" s="138"/>
      <c r="AF41" s="138"/>
      <c r="AG41" s="178"/>
      <c r="AH41" s="178"/>
      <c r="AI41" s="178"/>
      <c r="AJ41" s="178"/>
      <c r="AK41" s="178"/>
      <c r="AL41" s="178"/>
      <c r="AM41" s="178"/>
      <c r="AN41" s="178"/>
      <c r="AO41" s="178"/>
      <c r="AP41" s="138"/>
    </row>
    <row r="42" spans="1:42" ht="30.25" customHeight="1" x14ac:dyDescent="0.35">
      <c r="A42" s="199"/>
      <c r="B42" s="37">
        <v>39</v>
      </c>
      <c r="C42" s="196"/>
      <c r="D42" s="34" t="s">
        <v>12</v>
      </c>
      <c r="E42" s="41" t="s">
        <v>8</v>
      </c>
      <c r="F42" s="43" t="s">
        <v>28</v>
      </c>
      <c r="G42" s="37" t="s">
        <v>29</v>
      </c>
      <c r="H42" s="37" t="s">
        <v>34</v>
      </c>
      <c r="I42" s="37" t="s">
        <v>9</v>
      </c>
      <c r="J42" s="36">
        <v>75.5</v>
      </c>
      <c r="K42" s="27">
        <f>0</f>
        <v>0</v>
      </c>
      <c r="L42" s="127">
        <f t="shared" si="1"/>
        <v>0</v>
      </c>
      <c r="M42" s="127">
        <f t="shared" si="5"/>
        <v>0</v>
      </c>
      <c r="N42" s="128"/>
      <c r="O42" s="129">
        <f t="shared" si="2"/>
        <v>0</v>
      </c>
      <c r="P42" s="128"/>
      <c r="Q42" s="128"/>
      <c r="R42" s="128"/>
      <c r="S42" s="167">
        <f t="shared" si="3"/>
        <v>0</v>
      </c>
      <c r="T42" s="25" t="str">
        <f t="shared" si="4"/>
        <v>OK</v>
      </c>
      <c r="U42" s="138"/>
      <c r="V42" s="138"/>
      <c r="W42" s="138"/>
      <c r="X42" s="139"/>
      <c r="Y42" s="139"/>
      <c r="Z42" s="138"/>
      <c r="AA42" s="138"/>
      <c r="AB42" s="138"/>
      <c r="AC42" s="138"/>
      <c r="AD42" s="138"/>
      <c r="AE42" s="138"/>
      <c r="AF42" s="138"/>
      <c r="AG42" s="178"/>
      <c r="AH42" s="178"/>
      <c r="AI42" s="178"/>
      <c r="AJ42" s="178"/>
      <c r="AK42" s="178"/>
      <c r="AL42" s="178"/>
      <c r="AM42" s="178"/>
      <c r="AN42" s="178"/>
      <c r="AO42" s="178"/>
      <c r="AP42" s="187"/>
    </row>
    <row r="43" spans="1:42" ht="30.25" customHeight="1" x14ac:dyDescent="0.35">
      <c r="A43" s="199"/>
      <c r="B43" s="37">
        <v>40</v>
      </c>
      <c r="C43" s="196"/>
      <c r="D43" s="34" t="s">
        <v>10</v>
      </c>
      <c r="E43" s="41" t="s">
        <v>8</v>
      </c>
      <c r="F43" s="43" t="s">
        <v>28</v>
      </c>
      <c r="G43" s="37" t="s">
        <v>29</v>
      </c>
      <c r="H43" s="37" t="s">
        <v>8</v>
      </c>
      <c r="I43" s="37" t="s">
        <v>9</v>
      </c>
      <c r="J43" s="36">
        <v>1600</v>
      </c>
      <c r="K43" s="27">
        <f>0</f>
        <v>0</v>
      </c>
      <c r="L43" s="127">
        <f t="shared" si="1"/>
        <v>0</v>
      </c>
      <c r="M43" s="127">
        <f t="shared" si="5"/>
        <v>0</v>
      </c>
      <c r="N43" s="128"/>
      <c r="O43" s="129">
        <f t="shared" si="2"/>
        <v>0</v>
      </c>
      <c r="P43" s="128"/>
      <c r="Q43" s="128"/>
      <c r="R43" s="128"/>
      <c r="S43" s="167">
        <f t="shared" si="3"/>
        <v>0</v>
      </c>
      <c r="T43" s="25" t="str">
        <f t="shared" si="4"/>
        <v>OK</v>
      </c>
      <c r="U43" s="138"/>
      <c r="V43" s="138"/>
      <c r="W43" s="138"/>
      <c r="X43" s="139"/>
      <c r="Y43" s="139"/>
      <c r="Z43" s="138"/>
      <c r="AA43" s="138"/>
      <c r="AB43" s="138"/>
      <c r="AC43" s="138"/>
      <c r="AD43" s="138"/>
      <c r="AE43" s="138"/>
      <c r="AF43" s="138"/>
      <c r="AG43" s="178"/>
      <c r="AH43" s="178"/>
      <c r="AI43" s="178"/>
      <c r="AJ43" s="178"/>
      <c r="AK43" s="178"/>
      <c r="AL43" s="178"/>
      <c r="AM43" s="178"/>
      <c r="AN43" s="178"/>
      <c r="AO43" s="178"/>
      <c r="AP43" s="187"/>
    </row>
    <row r="44" spans="1:42" ht="30.25" customHeight="1" x14ac:dyDescent="0.35">
      <c r="A44" s="199"/>
      <c r="B44" s="37">
        <v>41</v>
      </c>
      <c r="C44" s="196"/>
      <c r="D44" s="34" t="s">
        <v>13</v>
      </c>
      <c r="E44" s="41" t="s">
        <v>8</v>
      </c>
      <c r="F44" s="43" t="s">
        <v>28</v>
      </c>
      <c r="G44" s="37" t="s">
        <v>29</v>
      </c>
      <c r="H44" s="37" t="s">
        <v>34</v>
      </c>
      <c r="I44" s="37" t="s">
        <v>9</v>
      </c>
      <c r="J44" s="36">
        <v>75</v>
      </c>
      <c r="K44" s="27">
        <f>0</f>
        <v>0</v>
      </c>
      <c r="L44" s="127">
        <f t="shared" si="1"/>
        <v>0</v>
      </c>
      <c r="M44" s="127">
        <f t="shared" si="5"/>
        <v>0</v>
      </c>
      <c r="N44" s="128"/>
      <c r="O44" s="129">
        <f t="shared" si="2"/>
        <v>0</v>
      </c>
      <c r="P44" s="128"/>
      <c r="Q44" s="128"/>
      <c r="R44" s="128"/>
      <c r="S44" s="167">
        <f t="shared" si="3"/>
        <v>0</v>
      </c>
      <c r="T44" s="25" t="str">
        <f t="shared" si="4"/>
        <v>OK</v>
      </c>
      <c r="U44" s="138"/>
      <c r="V44" s="138"/>
      <c r="W44" s="138"/>
      <c r="X44" s="139"/>
      <c r="Y44" s="139"/>
      <c r="Z44" s="138"/>
      <c r="AA44" s="138"/>
      <c r="AB44" s="138"/>
      <c r="AC44" s="138"/>
      <c r="AD44" s="138"/>
      <c r="AE44" s="138"/>
      <c r="AF44" s="138"/>
      <c r="AG44" s="178"/>
      <c r="AH44" s="178"/>
      <c r="AI44" s="178"/>
      <c r="AJ44" s="178"/>
      <c r="AK44" s="178"/>
      <c r="AL44" s="178"/>
      <c r="AM44" s="178"/>
      <c r="AN44" s="178"/>
      <c r="AO44" s="178"/>
      <c r="AP44" s="187"/>
    </row>
    <row r="45" spans="1:42" ht="30.25" customHeight="1" x14ac:dyDescent="0.35">
      <c r="A45" s="199"/>
      <c r="B45" s="37">
        <v>42</v>
      </c>
      <c r="C45" s="196"/>
      <c r="D45" s="34" t="s">
        <v>157</v>
      </c>
      <c r="E45" s="41" t="s">
        <v>8</v>
      </c>
      <c r="F45" s="43" t="s">
        <v>28</v>
      </c>
      <c r="G45" s="37" t="s">
        <v>29</v>
      </c>
      <c r="H45" s="37" t="s">
        <v>8</v>
      </c>
      <c r="I45" s="37" t="s">
        <v>9</v>
      </c>
      <c r="J45" s="36">
        <v>350</v>
      </c>
      <c r="K45" s="27">
        <f>0</f>
        <v>0</v>
      </c>
      <c r="L45" s="127">
        <f t="shared" si="1"/>
        <v>0</v>
      </c>
      <c r="M45" s="127">
        <f t="shared" si="5"/>
        <v>0</v>
      </c>
      <c r="N45" s="128"/>
      <c r="O45" s="129">
        <f t="shared" si="2"/>
        <v>0</v>
      </c>
      <c r="P45" s="128"/>
      <c r="Q45" s="128"/>
      <c r="R45" s="128"/>
      <c r="S45" s="167">
        <f t="shared" si="3"/>
        <v>0</v>
      </c>
      <c r="T45" s="25" t="str">
        <f t="shared" si="4"/>
        <v>OK</v>
      </c>
      <c r="U45" s="138"/>
      <c r="V45" s="138"/>
      <c r="W45" s="138"/>
      <c r="X45" s="139"/>
      <c r="Y45" s="139"/>
      <c r="Z45" s="138"/>
      <c r="AA45" s="138"/>
      <c r="AB45" s="138"/>
      <c r="AC45" s="138"/>
      <c r="AD45" s="138"/>
      <c r="AE45" s="138"/>
      <c r="AF45" s="138"/>
      <c r="AG45" s="178"/>
      <c r="AH45" s="178"/>
      <c r="AI45" s="178"/>
      <c r="AJ45" s="178"/>
      <c r="AK45" s="178"/>
      <c r="AL45" s="178"/>
      <c r="AM45" s="178"/>
      <c r="AN45" s="178"/>
      <c r="AO45" s="178"/>
      <c r="AP45" s="187"/>
    </row>
    <row r="46" spans="1:42" ht="30.25" customHeight="1" x14ac:dyDescent="0.35">
      <c r="A46" s="199"/>
      <c r="B46" s="37">
        <v>43</v>
      </c>
      <c r="C46" s="196"/>
      <c r="D46" s="34" t="s">
        <v>30</v>
      </c>
      <c r="E46" s="41" t="s">
        <v>8</v>
      </c>
      <c r="F46" s="43" t="s">
        <v>28</v>
      </c>
      <c r="G46" s="37" t="s">
        <v>29</v>
      </c>
      <c r="H46" s="37" t="s">
        <v>8</v>
      </c>
      <c r="I46" s="37" t="s">
        <v>9</v>
      </c>
      <c r="J46" s="36">
        <v>100.25</v>
      </c>
      <c r="K46" s="27">
        <f>0</f>
        <v>0</v>
      </c>
      <c r="L46" s="127">
        <f t="shared" si="1"/>
        <v>0</v>
      </c>
      <c r="M46" s="127">
        <f t="shared" si="5"/>
        <v>0</v>
      </c>
      <c r="N46" s="128"/>
      <c r="O46" s="129">
        <f t="shared" si="2"/>
        <v>0</v>
      </c>
      <c r="P46" s="128"/>
      <c r="Q46" s="128"/>
      <c r="R46" s="128"/>
      <c r="S46" s="167">
        <f t="shared" si="3"/>
        <v>0</v>
      </c>
      <c r="T46" s="25" t="str">
        <f t="shared" si="4"/>
        <v>OK</v>
      </c>
      <c r="U46" s="138"/>
      <c r="V46" s="138"/>
      <c r="W46" s="138"/>
      <c r="X46" s="139"/>
      <c r="Y46" s="139"/>
      <c r="Z46" s="138"/>
      <c r="AA46" s="138"/>
      <c r="AB46" s="138"/>
      <c r="AC46" s="138"/>
      <c r="AD46" s="138"/>
      <c r="AE46" s="138"/>
      <c r="AF46" s="138"/>
      <c r="AG46" s="178"/>
      <c r="AH46" s="178"/>
      <c r="AI46" s="178"/>
      <c r="AJ46" s="178"/>
      <c r="AK46" s="178"/>
      <c r="AL46" s="178"/>
      <c r="AM46" s="178"/>
      <c r="AN46" s="178"/>
      <c r="AO46" s="178"/>
      <c r="AP46" s="187"/>
    </row>
    <row r="47" spans="1:42" ht="30.25" customHeight="1" x14ac:dyDescent="0.35">
      <c r="A47" s="199"/>
      <c r="B47" s="37">
        <v>44</v>
      </c>
      <c r="C47" s="196"/>
      <c r="D47" s="34" t="s">
        <v>158</v>
      </c>
      <c r="E47" s="41" t="s">
        <v>8</v>
      </c>
      <c r="F47" s="42" t="s">
        <v>28</v>
      </c>
      <c r="G47" s="37" t="s">
        <v>159</v>
      </c>
      <c r="H47" s="37" t="s">
        <v>8</v>
      </c>
      <c r="I47" s="37" t="s">
        <v>9</v>
      </c>
      <c r="J47" s="36">
        <v>1424</v>
      </c>
      <c r="K47" s="27">
        <f>0</f>
        <v>0</v>
      </c>
      <c r="L47" s="127">
        <f t="shared" si="1"/>
        <v>0</v>
      </c>
      <c r="M47" s="127">
        <f t="shared" si="5"/>
        <v>0</v>
      </c>
      <c r="N47" s="128"/>
      <c r="O47" s="129">
        <f t="shared" si="2"/>
        <v>0</v>
      </c>
      <c r="P47" s="128"/>
      <c r="Q47" s="128"/>
      <c r="R47" s="128"/>
      <c r="S47" s="167">
        <f t="shared" si="3"/>
        <v>0</v>
      </c>
      <c r="T47" s="25" t="str">
        <f t="shared" si="4"/>
        <v>OK</v>
      </c>
      <c r="U47" s="138"/>
      <c r="V47" s="138"/>
      <c r="W47" s="138"/>
      <c r="X47" s="139"/>
      <c r="Y47" s="139"/>
      <c r="Z47" s="138"/>
      <c r="AA47" s="138"/>
      <c r="AB47" s="138"/>
      <c r="AC47" s="138"/>
      <c r="AD47" s="138"/>
      <c r="AE47" s="138"/>
      <c r="AF47" s="138"/>
      <c r="AG47" s="178"/>
      <c r="AH47" s="178"/>
      <c r="AI47" s="178"/>
      <c r="AJ47" s="178"/>
      <c r="AK47" s="178"/>
      <c r="AL47" s="178"/>
      <c r="AM47" s="178"/>
      <c r="AN47" s="178"/>
      <c r="AO47" s="178"/>
      <c r="AP47" s="187"/>
    </row>
    <row r="48" spans="1:42" ht="30.25" customHeight="1" x14ac:dyDescent="0.35">
      <c r="A48" s="200"/>
      <c r="B48" s="37">
        <v>45</v>
      </c>
      <c r="C48" s="197"/>
      <c r="D48" s="34" t="s">
        <v>160</v>
      </c>
      <c r="E48" s="41" t="s">
        <v>8</v>
      </c>
      <c r="F48" s="43" t="s">
        <v>28</v>
      </c>
      <c r="G48" s="37" t="s">
        <v>29</v>
      </c>
      <c r="H48" s="37" t="s">
        <v>8</v>
      </c>
      <c r="I48" s="37" t="s">
        <v>9</v>
      </c>
      <c r="J48" s="36">
        <v>2503.0100000000002</v>
      </c>
      <c r="K48" s="27">
        <f>0</f>
        <v>0</v>
      </c>
      <c r="L48" s="127">
        <f t="shared" si="1"/>
        <v>0</v>
      </c>
      <c r="M48" s="127">
        <f t="shared" si="5"/>
        <v>0</v>
      </c>
      <c r="N48" s="128"/>
      <c r="O48" s="129">
        <f t="shared" si="2"/>
        <v>0</v>
      </c>
      <c r="P48" s="128"/>
      <c r="Q48" s="128"/>
      <c r="R48" s="128"/>
      <c r="S48" s="167">
        <f t="shared" si="3"/>
        <v>0</v>
      </c>
      <c r="T48" s="25" t="str">
        <f t="shared" si="4"/>
        <v>OK</v>
      </c>
      <c r="U48" s="138"/>
      <c r="V48" s="138"/>
      <c r="W48" s="138"/>
      <c r="X48" s="139"/>
      <c r="Y48" s="139"/>
      <c r="Z48" s="138"/>
      <c r="AA48" s="138"/>
      <c r="AB48" s="138"/>
      <c r="AC48" s="138"/>
      <c r="AD48" s="138"/>
      <c r="AE48" s="138"/>
      <c r="AF48" s="138"/>
      <c r="AG48" s="178"/>
      <c r="AH48" s="178"/>
      <c r="AI48" s="178"/>
      <c r="AJ48" s="178"/>
      <c r="AK48" s="178"/>
      <c r="AL48" s="178"/>
      <c r="AM48" s="178"/>
      <c r="AN48" s="178"/>
      <c r="AO48" s="178"/>
      <c r="AP48" s="187"/>
    </row>
    <row r="49" spans="1:42" ht="30.25" customHeight="1" x14ac:dyDescent="0.35">
      <c r="A49" s="208" t="s">
        <v>161</v>
      </c>
      <c r="B49" s="44">
        <v>46</v>
      </c>
      <c r="C49" s="205" t="s">
        <v>33</v>
      </c>
      <c r="D49" s="46" t="s">
        <v>27</v>
      </c>
      <c r="E49" s="48" t="s">
        <v>8</v>
      </c>
      <c r="F49" s="50" t="s">
        <v>28</v>
      </c>
      <c r="G49" s="44" t="s">
        <v>29</v>
      </c>
      <c r="H49" s="44" t="s">
        <v>8</v>
      </c>
      <c r="I49" s="44" t="s">
        <v>9</v>
      </c>
      <c r="J49" s="47">
        <v>80</v>
      </c>
      <c r="K49" s="27">
        <f>2</f>
        <v>2</v>
      </c>
      <c r="L49" s="127">
        <f t="shared" si="1"/>
        <v>0</v>
      </c>
      <c r="M49" s="127">
        <f t="shared" si="5"/>
        <v>0</v>
      </c>
      <c r="N49" s="128"/>
      <c r="O49" s="129">
        <f t="shared" si="2"/>
        <v>0</v>
      </c>
      <c r="P49" s="128"/>
      <c r="Q49" s="128"/>
      <c r="R49" s="128"/>
      <c r="S49" s="167">
        <f t="shared" si="3"/>
        <v>2</v>
      </c>
      <c r="T49" s="25" t="str">
        <f t="shared" si="4"/>
        <v>OK</v>
      </c>
      <c r="U49" s="138"/>
      <c r="V49" s="138"/>
      <c r="W49" s="138"/>
      <c r="X49" s="139"/>
      <c r="Y49" s="139"/>
      <c r="Z49" s="138"/>
      <c r="AA49" s="138"/>
      <c r="AB49" s="138"/>
      <c r="AC49" s="138"/>
      <c r="AD49" s="138"/>
      <c r="AE49" s="138"/>
      <c r="AF49" s="138"/>
      <c r="AG49" s="178"/>
      <c r="AH49" s="178"/>
      <c r="AI49" s="178"/>
      <c r="AJ49" s="178"/>
      <c r="AK49" s="178"/>
      <c r="AL49" s="178"/>
      <c r="AM49" s="178"/>
      <c r="AN49" s="178"/>
      <c r="AO49" s="178"/>
      <c r="AP49" s="187"/>
    </row>
    <row r="50" spans="1:42" ht="30.25" customHeight="1" x14ac:dyDescent="0.35">
      <c r="A50" s="209"/>
      <c r="B50" s="44">
        <v>47</v>
      </c>
      <c r="C50" s="206"/>
      <c r="D50" s="46" t="s">
        <v>7</v>
      </c>
      <c r="E50" s="48" t="s">
        <v>8</v>
      </c>
      <c r="F50" s="50" t="s">
        <v>28</v>
      </c>
      <c r="G50" s="44" t="s">
        <v>29</v>
      </c>
      <c r="H50" s="44" t="s">
        <v>8</v>
      </c>
      <c r="I50" s="44" t="s">
        <v>9</v>
      </c>
      <c r="J50" s="47">
        <v>550</v>
      </c>
      <c r="K50" s="27">
        <f>65</f>
        <v>65</v>
      </c>
      <c r="L50" s="127">
        <f t="shared" si="1"/>
        <v>49</v>
      </c>
      <c r="M50" s="127">
        <f t="shared" si="5"/>
        <v>49</v>
      </c>
      <c r="N50" s="128"/>
      <c r="O50" s="129">
        <f t="shared" si="2"/>
        <v>16</v>
      </c>
      <c r="P50" s="128"/>
      <c r="Q50" s="128"/>
      <c r="R50" s="128"/>
      <c r="S50" s="167">
        <f t="shared" si="3"/>
        <v>16</v>
      </c>
      <c r="T50" s="25" t="str">
        <f t="shared" si="4"/>
        <v>OK</v>
      </c>
      <c r="U50" s="138"/>
      <c r="V50" s="138"/>
      <c r="W50" s="140">
        <v>15</v>
      </c>
      <c r="X50" s="139"/>
      <c r="Y50" s="141">
        <v>4</v>
      </c>
      <c r="Z50" s="138"/>
      <c r="AA50" s="138"/>
      <c r="AB50" s="138"/>
      <c r="AC50" s="138"/>
      <c r="AD50" s="138"/>
      <c r="AE50" s="152"/>
      <c r="AF50" s="140">
        <v>6</v>
      </c>
      <c r="AG50" s="178">
        <v>23</v>
      </c>
      <c r="AH50" s="178">
        <v>1</v>
      </c>
      <c r="AI50" s="178"/>
      <c r="AJ50" s="178"/>
      <c r="AK50" s="178"/>
      <c r="AL50" s="178"/>
      <c r="AM50" s="178"/>
      <c r="AN50" s="178"/>
      <c r="AO50" s="178"/>
      <c r="AP50" s="188"/>
    </row>
    <row r="51" spans="1:42" ht="30.25" customHeight="1" x14ac:dyDescent="0.35">
      <c r="A51" s="209"/>
      <c r="B51" s="44">
        <v>48</v>
      </c>
      <c r="C51" s="206"/>
      <c r="D51" s="46" t="s">
        <v>10</v>
      </c>
      <c r="E51" s="48" t="s">
        <v>8</v>
      </c>
      <c r="F51" s="50" t="s">
        <v>28</v>
      </c>
      <c r="G51" s="44" t="s">
        <v>29</v>
      </c>
      <c r="H51" s="44" t="s">
        <v>8</v>
      </c>
      <c r="I51" s="44" t="s">
        <v>9</v>
      </c>
      <c r="J51" s="47">
        <v>850</v>
      </c>
      <c r="K51" s="27">
        <f>30</f>
        <v>30</v>
      </c>
      <c r="L51" s="127">
        <f t="shared" si="1"/>
        <v>2</v>
      </c>
      <c r="M51" s="127">
        <f t="shared" si="5"/>
        <v>2</v>
      </c>
      <c r="N51" s="128"/>
      <c r="O51" s="129">
        <f t="shared" si="2"/>
        <v>7</v>
      </c>
      <c r="P51" s="128"/>
      <c r="Q51" s="128"/>
      <c r="R51" s="128"/>
      <c r="S51" s="167">
        <f t="shared" si="3"/>
        <v>28</v>
      </c>
      <c r="T51" s="25" t="str">
        <f t="shared" si="4"/>
        <v>OK</v>
      </c>
      <c r="U51" s="138"/>
      <c r="V51" s="138"/>
      <c r="W51" s="138"/>
      <c r="X51" s="139"/>
      <c r="Y51" s="139"/>
      <c r="Z51" s="138"/>
      <c r="AA51" s="138"/>
      <c r="AB51" s="138"/>
      <c r="AC51" s="138"/>
      <c r="AD51" s="138"/>
      <c r="AE51" s="152"/>
      <c r="AF51" s="152"/>
      <c r="AG51" s="190"/>
      <c r="AH51" s="190"/>
      <c r="AI51" s="190"/>
      <c r="AJ51" s="190"/>
      <c r="AK51" s="190"/>
      <c r="AL51" s="178">
        <v>2</v>
      </c>
      <c r="AM51" s="178"/>
      <c r="AN51" s="178"/>
      <c r="AO51" s="178"/>
      <c r="AP51" s="189"/>
    </row>
    <row r="52" spans="1:42" ht="30.25" customHeight="1" x14ac:dyDescent="0.35">
      <c r="A52" s="209"/>
      <c r="B52" s="44">
        <v>49</v>
      </c>
      <c r="C52" s="206"/>
      <c r="D52" s="46" t="s">
        <v>11</v>
      </c>
      <c r="E52" s="48" t="s">
        <v>8</v>
      </c>
      <c r="F52" s="50" t="s">
        <v>28</v>
      </c>
      <c r="G52" s="44" t="s">
        <v>29</v>
      </c>
      <c r="H52" s="44" t="s">
        <v>8</v>
      </c>
      <c r="I52" s="44" t="s">
        <v>9</v>
      </c>
      <c r="J52" s="47">
        <v>800</v>
      </c>
      <c r="K52" s="27">
        <f>15</f>
        <v>15</v>
      </c>
      <c r="L52" s="127">
        <f t="shared" si="1"/>
        <v>5</v>
      </c>
      <c r="M52" s="127">
        <f t="shared" si="5"/>
        <v>5</v>
      </c>
      <c r="N52" s="128"/>
      <c r="O52" s="129">
        <f t="shared" si="2"/>
        <v>3</v>
      </c>
      <c r="P52" s="128"/>
      <c r="Q52" s="128"/>
      <c r="R52" s="128"/>
      <c r="S52" s="167">
        <f t="shared" si="3"/>
        <v>10</v>
      </c>
      <c r="T52" s="25" t="str">
        <f t="shared" si="4"/>
        <v>OK</v>
      </c>
      <c r="U52" s="138"/>
      <c r="V52" s="138"/>
      <c r="W52" s="138"/>
      <c r="X52" s="139"/>
      <c r="Y52" s="139"/>
      <c r="Z52" s="138"/>
      <c r="AA52" s="138"/>
      <c r="AB52" s="138"/>
      <c r="AC52" s="138"/>
      <c r="AD52" s="138"/>
      <c r="AE52" s="152"/>
      <c r="AF52" s="140">
        <v>3</v>
      </c>
      <c r="AG52" s="178">
        <v>2</v>
      </c>
      <c r="AH52" s="178"/>
      <c r="AI52" s="178"/>
      <c r="AJ52" s="178"/>
      <c r="AK52" s="178"/>
      <c r="AL52" s="178"/>
      <c r="AM52" s="178"/>
      <c r="AN52" s="178"/>
      <c r="AO52" s="178"/>
      <c r="AP52" s="188"/>
    </row>
    <row r="53" spans="1:42" ht="30.25" customHeight="1" x14ac:dyDescent="0.35">
      <c r="A53" s="209"/>
      <c r="B53" s="44">
        <v>50</v>
      </c>
      <c r="C53" s="206"/>
      <c r="D53" s="46" t="s">
        <v>12</v>
      </c>
      <c r="E53" s="48" t="s">
        <v>8</v>
      </c>
      <c r="F53" s="50" t="s">
        <v>28</v>
      </c>
      <c r="G53" s="44" t="s">
        <v>29</v>
      </c>
      <c r="H53" s="44" t="s">
        <v>34</v>
      </c>
      <c r="I53" s="44" t="s">
        <v>9</v>
      </c>
      <c r="J53" s="47">
        <v>50</v>
      </c>
      <c r="K53" s="27">
        <f>30</f>
        <v>30</v>
      </c>
      <c r="L53" s="127">
        <f t="shared" si="1"/>
        <v>13</v>
      </c>
      <c r="M53" s="127">
        <f t="shared" si="5"/>
        <v>13</v>
      </c>
      <c r="N53" s="128"/>
      <c r="O53" s="129">
        <f t="shared" si="2"/>
        <v>7</v>
      </c>
      <c r="P53" s="128"/>
      <c r="Q53" s="128"/>
      <c r="R53" s="128"/>
      <c r="S53" s="167">
        <f t="shared" si="3"/>
        <v>17</v>
      </c>
      <c r="T53" s="25" t="str">
        <f t="shared" si="4"/>
        <v>OK</v>
      </c>
      <c r="U53" s="138"/>
      <c r="V53" s="138"/>
      <c r="W53" s="138"/>
      <c r="X53" s="139"/>
      <c r="Y53" s="141">
        <v>8</v>
      </c>
      <c r="Z53" s="138"/>
      <c r="AA53" s="138"/>
      <c r="AB53" s="138"/>
      <c r="AC53" s="138"/>
      <c r="AD53" s="138"/>
      <c r="AE53" s="138"/>
      <c r="AF53" s="138"/>
      <c r="AG53" s="178"/>
      <c r="AH53" s="178">
        <v>5</v>
      </c>
      <c r="AI53" s="178"/>
      <c r="AJ53" s="178"/>
      <c r="AK53" s="178"/>
      <c r="AL53" s="178"/>
      <c r="AM53" s="178"/>
      <c r="AN53" s="178"/>
      <c r="AO53" s="178"/>
      <c r="AP53" s="187"/>
    </row>
    <row r="54" spans="1:42" ht="30.25" customHeight="1" x14ac:dyDescent="0.35">
      <c r="A54" s="209"/>
      <c r="B54" s="44">
        <v>51</v>
      </c>
      <c r="C54" s="206"/>
      <c r="D54" s="46" t="s">
        <v>156</v>
      </c>
      <c r="E54" s="48" t="s">
        <v>8</v>
      </c>
      <c r="F54" s="50" t="s">
        <v>28</v>
      </c>
      <c r="G54" s="44" t="s">
        <v>29</v>
      </c>
      <c r="H54" s="44" t="s">
        <v>34</v>
      </c>
      <c r="I54" s="44" t="s">
        <v>9</v>
      </c>
      <c r="J54" s="47">
        <v>50</v>
      </c>
      <c r="K54" s="27">
        <f>30</f>
        <v>30</v>
      </c>
      <c r="L54" s="127">
        <f t="shared" si="1"/>
        <v>0</v>
      </c>
      <c r="M54" s="127">
        <f t="shared" si="5"/>
        <v>0</v>
      </c>
      <c r="N54" s="128"/>
      <c r="O54" s="129">
        <f t="shared" si="2"/>
        <v>7</v>
      </c>
      <c r="P54" s="128"/>
      <c r="Q54" s="128"/>
      <c r="R54" s="128"/>
      <c r="S54" s="167">
        <f t="shared" si="3"/>
        <v>30</v>
      </c>
      <c r="T54" s="25" t="str">
        <f t="shared" si="4"/>
        <v>OK</v>
      </c>
      <c r="U54" s="138"/>
      <c r="V54" s="138"/>
      <c r="W54" s="138"/>
      <c r="X54" s="139"/>
      <c r="Y54" s="139"/>
      <c r="Z54" s="138"/>
      <c r="AA54" s="138"/>
      <c r="AB54" s="138"/>
      <c r="AC54" s="138"/>
      <c r="AD54" s="138"/>
      <c r="AE54" s="138"/>
      <c r="AF54" s="138"/>
      <c r="AG54" s="178"/>
      <c r="AH54" s="178"/>
      <c r="AI54" s="178"/>
      <c r="AJ54" s="178"/>
      <c r="AK54" s="178"/>
      <c r="AL54" s="178"/>
      <c r="AM54" s="178"/>
      <c r="AN54" s="178"/>
      <c r="AO54" s="178"/>
      <c r="AP54" s="187"/>
    </row>
    <row r="55" spans="1:42" ht="30.25" customHeight="1" x14ac:dyDescent="0.35">
      <c r="A55" s="209"/>
      <c r="B55" s="44">
        <v>52</v>
      </c>
      <c r="C55" s="206"/>
      <c r="D55" s="46" t="s">
        <v>13</v>
      </c>
      <c r="E55" s="48" t="s">
        <v>8</v>
      </c>
      <c r="F55" s="50" t="s">
        <v>28</v>
      </c>
      <c r="G55" s="44" t="s">
        <v>29</v>
      </c>
      <c r="H55" s="44" t="s">
        <v>34</v>
      </c>
      <c r="I55" s="44" t="s">
        <v>9</v>
      </c>
      <c r="J55" s="47">
        <v>50</v>
      </c>
      <c r="K55" s="27">
        <f>30</f>
        <v>30</v>
      </c>
      <c r="L55" s="127">
        <f t="shared" si="1"/>
        <v>0</v>
      </c>
      <c r="M55" s="127">
        <f t="shared" si="5"/>
        <v>0</v>
      </c>
      <c r="N55" s="128"/>
      <c r="O55" s="129">
        <f t="shared" si="2"/>
        <v>7</v>
      </c>
      <c r="P55" s="128"/>
      <c r="Q55" s="128"/>
      <c r="R55" s="128"/>
      <c r="S55" s="167">
        <f t="shared" si="3"/>
        <v>30</v>
      </c>
      <c r="T55" s="25" t="str">
        <f t="shared" si="4"/>
        <v>OK</v>
      </c>
      <c r="U55" s="138"/>
      <c r="V55" s="138"/>
      <c r="W55" s="138"/>
      <c r="X55" s="139"/>
      <c r="Y55" s="139"/>
      <c r="Z55" s="138"/>
      <c r="AA55" s="138"/>
      <c r="AB55" s="138"/>
      <c r="AC55" s="138"/>
      <c r="AD55" s="138"/>
      <c r="AE55" s="138"/>
      <c r="AF55" s="138"/>
      <c r="AG55" s="178"/>
      <c r="AH55" s="178"/>
      <c r="AI55" s="178"/>
      <c r="AJ55" s="178"/>
      <c r="AK55" s="178"/>
      <c r="AL55" s="178"/>
      <c r="AM55" s="178"/>
      <c r="AN55" s="178"/>
      <c r="AO55" s="178"/>
      <c r="AP55" s="187"/>
    </row>
    <row r="56" spans="1:42" ht="30.25" customHeight="1" x14ac:dyDescent="0.35">
      <c r="A56" s="209"/>
      <c r="B56" s="44">
        <v>53</v>
      </c>
      <c r="C56" s="206"/>
      <c r="D56" s="46" t="s">
        <v>157</v>
      </c>
      <c r="E56" s="48" t="s">
        <v>8</v>
      </c>
      <c r="F56" s="50" t="s">
        <v>28</v>
      </c>
      <c r="G56" s="44" t="s">
        <v>29</v>
      </c>
      <c r="H56" s="44" t="s">
        <v>8</v>
      </c>
      <c r="I56" s="44" t="s">
        <v>9</v>
      </c>
      <c r="J56" s="47">
        <v>50</v>
      </c>
      <c r="K56" s="27">
        <f>35</f>
        <v>35</v>
      </c>
      <c r="L56" s="127">
        <f t="shared" si="1"/>
        <v>10</v>
      </c>
      <c r="M56" s="127">
        <f t="shared" si="5"/>
        <v>10</v>
      </c>
      <c r="N56" s="128"/>
      <c r="O56" s="129">
        <f t="shared" si="2"/>
        <v>8</v>
      </c>
      <c r="P56" s="128"/>
      <c r="Q56" s="128"/>
      <c r="R56" s="128"/>
      <c r="S56" s="167">
        <f t="shared" si="3"/>
        <v>25</v>
      </c>
      <c r="T56" s="25" t="str">
        <f t="shared" si="4"/>
        <v>OK</v>
      </c>
      <c r="U56" s="138"/>
      <c r="V56" s="138"/>
      <c r="W56" s="140">
        <v>4</v>
      </c>
      <c r="X56" s="139"/>
      <c r="Y56" s="141">
        <v>2</v>
      </c>
      <c r="Z56" s="138"/>
      <c r="AA56" s="138"/>
      <c r="AB56" s="138"/>
      <c r="AC56" s="138"/>
      <c r="AD56" s="138"/>
      <c r="AE56" s="138"/>
      <c r="AF56" s="140">
        <v>1</v>
      </c>
      <c r="AG56" s="178">
        <v>2</v>
      </c>
      <c r="AH56" s="178"/>
      <c r="AI56" s="178"/>
      <c r="AJ56" s="178"/>
      <c r="AK56" s="178"/>
      <c r="AL56" s="178"/>
      <c r="AM56" s="178"/>
      <c r="AN56" s="178"/>
      <c r="AO56" s="178">
        <v>1</v>
      </c>
      <c r="AP56" s="188"/>
    </row>
    <row r="57" spans="1:42" ht="30.25" customHeight="1" x14ac:dyDescent="0.35">
      <c r="A57" s="209"/>
      <c r="B57" s="44">
        <v>54</v>
      </c>
      <c r="C57" s="206"/>
      <c r="D57" s="46" t="s">
        <v>30</v>
      </c>
      <c r="E57" s="48" t="s">
        <v>8</v>
      </c>
      <c r="F57" s="50" t="s">
        <v>28</v>
      </c>
      <c r="G57" s="44" t="s">
        <v>29</v>
      </c>
      <c r="H57" s="44" t="s">
        <v>8</v>
      </c>
      <c r="I57" s="44" t="s">
        <v>9</v>
      </c>
      <c r="J57" s="47">
        <v>80</v>
      </c>
      <c r="K57" s="27">
        <f>5</f>
        <v>5</v>
      </c>
      <c r="L57" s="127">
        <f t="shared" si="1"/>
        <v>0</v>
      </c>
      <c r="M57" s="127">
        <f t="shared" si="5"/>
        <v>0</v>
      </c>
      <c r="N57" s="128"/>
      <c r="O57" s="129">
        <f t="shared" si="2"/>
        <v>1</v>
      </c>
      <c r="P57" s="128"/>
      <c r="Q57" s="128"/>
      <c r="R57" s="128"/>
      <c r="S57" s="167">
        <f t="shared" si="3"/>
        <v>5</v>
      </c>
      <c r="T57" s="25" t="str">
        <f t="shared" si="4"/>
        <v>OK</v>
      </c>
      <c r="U57" s="138"/>
      <c r="V57" s="138"/>
      <c r="W57" s="138"/>
      <c r="X57" s="139"/>
      <c r="Y57" s="139"/>
      <c r="Z57" s="138"/>
      <c r="AA57" s="138"/>
      <c r="AB57" s="138"/>
      <c r="AC57" s="138"/>
      <c r="AD57" s="138"/>
      <c r="AE57" s="138"/>
      <c r="AF57" s="138"/>
      <c r="AG57" s="178"/>
      <c r="AH57" s="178"/>
      <c r="AI57" s="178"/>
      <c r="AJ57" s="178"/>
      <c r="AK57" s="178"/>
      <c r="AL57" s="178"/>
      <c r="AM57" s="178"/>
      <c r="AN57" s="178"/>
      <c r="AO57" s="178"/>
      <c r="AP57" s="187"/>
    </row>
    <row r="58" spans="1:42" ht="30.25" customHeight="1" x14ac:dyDescent="0.35">
      <c r="A58" s="209"/>
      <c r="B58" s="44">
        <v>55</v>
      </c>
      <c r="C58" s="206"/>
      <c r="D58" s="46" t="s">
        <v>162</v>
      </c>
      <c r="E58" s="48" t="s">
        <v>8</v>
      </c>
      <c r="F58" s="50" t="s">
        <v>28</v>
      </c>
      <c r="G58" s="44" t="s">
        <v>159</v>
      </c>
      <c r="H58" s="44" t="s">
        <v>8</v>
      </c>
      <c r="I58" s="44" t="s">
        <v>9</v>
      </c>
      <c r="J58" s="47">
        <v>1114</v>
      </c>
      <c r="K58" s="27">
        <f>10</f>
        <v>10</v>
      </c>
      <c r="L58" s="127">
        <f t="shared" si="1"/>
        <v>1</v>
      </c>
      <c r="M58" s="127">
        <f t="shared" si="5"/>
        <v>1</v>
      </c>
      <c r="N58" s="128"/>
      <c r="O58" s="129">
        <f t="shared" si="2"/>
        <v>2</v>
      </c>
      <c r="P58" s="128"/>
      <c r="Q58" s="128"/>
      <c r="R58" s="128"/>
      <c r="S58" s="167">
        <f t="shared" si="3"/>
        <v>9</v>
      </c>
      <c r="T58" s="25" t="str">
        <f t="shared" si="4"/>
        <v>OK</v>
      </c>
      <c r="U58" s="138"/>
      <c r="V58" s="138"/>
      <c r="W58" s="140">
        <v>1</v>
      </c>
      <c r="X58" s="139"/>
      <c r="Y58" s="139"/>
      <c r="Z58" s="138"/>
      <c r="AA58" s="138"/>
      <c r="AB58" s="138"/>
      <c r="AC58" s="138"/>
      <c r="AD58" s="138"/>
      <c r="AE58" s="138"/>
      <c r="AF58" s="138"/>
      <c r="AG58" s="178"/>
      <c r="AH58" s="178"/>
      <c r="AI58" s="178"/>
      <c r="AJ58" s="178"/>
      <c r="AK58" s="178"/>
      <c r="AL58" s="178"/>
      <c r="AM58" s="178"/>
      <c r="AN58" s="178"/>
      <c r="AO58" s="178"/>
      <c r="AP58" s="187"/>
    </row>
    <row r="59" spans="1:42" ht="30.25" customHeight="1" x14ac:dyDescent="0.35">
      <c r="A59" s="210"/>
      <c r="B59" s="44">
        <v>56</v>
      </c>
      <c r="C59" s="207"/>
      <c r="D59" s="46" t="s">
        <v>160</v>
      </c>
      <c r="E59" s="48" t="s">
        <v>8</v>
      </c>
      <c r="F59" s="50" t="s">
        <v>28</v>
      </c>
      <c r="G59" s="44" t="s">
        <v>29</v>
      </c>
      <c r="H59" s="44" t="s">
        <v>8</v>
      </c>
      <c r="I59" s="44" t="s">
        <v>9</v>
      </c>
      <c r="J59" s="47">
        <v>2000</v>
      </c>
      <c r="K59" s="27">
        <f>10</f>
        <v>10</v>
      </c>
      <c r="L59" s="127">
        <f t="shared" si="1"/>
        <v>0</v>
      </c>
      <c r="M59" s="127">
        <f t="shared" si="5"/>
        <v>0</v>
      </c>
      <c r="N59" s="128"/>
      <c r="O59" s="129">
        <f t="shared" si="2"/>
        <v>2</v>
      </c>
      <c r="P59" s="128"/>
      <c r="Q59" s="128"/>
      <c r="R59" s="128"/>
      <c r="S59" s="167">
        <f t="shared" si="3"/>
        <v>10</v>
      </c>
      <c r="T59" s="25" t="str">
        <f t="shared" si="4"/>
        <v>OK</v>
      </c>
      <c r="U59" s="138"/>
      <c r="V59" s="138"/>
      <c r="W59" s="138"/>
      <c r="X59" s="139"/>
      <c r="Y59" s="139"/>
      <c r="Z59" s="138"/>
      <c r="AA59" s="138"/>
      <c r="AB59" s="138"/>
      <c r="AC59" s="138"/>
      <c r="AD59" s="138"/>
      <c r="AE59" s="138"/>
      <c r="AF59" s="138"/>
      <c r="AG59" s="178"/>
      <c r="AH59" s="178"/>
      <c r="AI59" s="178"/>
      <c r="AJ59" s="178"/>
      <c r="AK59" s="178"/>
      <c r="AL59" s="178"/>
      <c r="AM59" s="178"/>
      <c r="AN59" s="178"/>
      <c r="AO59" s="178"/>
      <c r="AP59" s="187"/>
    </row>
    <row r="60" spans="1:42" ht="30.25" customHeight="1" x14ac:dyDescent="0.35">
      <c r="A60" s="198" t="s">
        <v>163</v>
      </c>
      <c r="B60" s="37">
        <v>57</v>
      </c>
      <c r="C60" s="195" t="s">
        <v>33</v>
      </c>
      <c r="D60" s="34" t="s">
        <v>27</v>
      </c>
      <c r="E60" s="41" t="s">
        <v>8</v>
      </c>
      <c r="F60" s="43" t="s">
        <v>28</v>
      </c>
      <c r="G60" s="37" t="s">
        <v>29</v>
      </c>
      <c r="H60" s="37" t="s">
        <v>8</v>
      </c>
      <c r="I60" s="37" t="s">
        <v>9</v>
      </c>
      <c r="J60" s="36">
        <v>250.5</v>
      </c>
      <c r="K60" s="27">
        <f>0</f>
        <v>0</v>
      </c>
      <c r="L60" s="127">
        <f t="shared" si="1"/>
        <v>0</v>
      </c>
      <c r="M60" s="127">
        <f t="shared" si="5"/>
        <v>0</v>
      </c>
      <c r="N60" s="128"/>
      <c r="O60" s="129">
        <f t="shared" si="2"/>
        <v>0</v>
      </c>
      <c r="P60" s="128"/>
      <c r="Q60" s="128"/>
      <c r="R60" s="128"/>
      <c r="S60" s="167">
        <f t="shared" si="3"/>
        <v>0</v>
      </c>
      <c r="T60" s="25" t="str">
        <f t="shared" si="4"/>
        <v>OK</v>
      </c>
      <c r="U60" s="138"/>
      <c r="V60" s="138"/>
      <c r="W60" s="138"/>
      <c r="X60" s="139"/>
      <c r="Y60" s="139"/>
      <c r="Z60" s="138"/>
      <c r="AA60" s="138"/>
      <c r="AB60" s="138"/>
      <c r="AC60" s="138"/>
      <c r="AD60" s="138"/>
      <c r="AE60" s="138"/>
      <c r="AF60" s="138"/>
      <c r="AG60" s="178"/>
      <c r="AH60" s="178"/>
      <c r="AI60" s="178"/>
      <c r="AJ60" s="178"/>
      <c r="AK60" s="178"/>
      <c r="AL60" s="178"/>
      <c r="AM60" s="178"/>
      <c r="AN60" s="178"/>
      <c r="AO60" s="178"/>
      <c r="AP60" s="187"/>
    </row>
    <row r="61" spans="1:42" ht="30.25" customHeight="1" x14ac:dyDescent="0.35">
      <c r="A61" s="199"/>
      <c r="B61" s="37">
        <v>58</v>
      </c>
      <c r="C61" s="196"/>
      <c r="D61" s="34" t="s">
        <v>7</v>
      </c>
      <c r="E61" s="41" t="s">
        <v>8</v>
      </c>
      <c r="F61" s="43" t="s">
        <v>28</v>
      </c>
      <c r="G61" s="37" t="s">
        <v>29</v>
      </c>
      <c r="H61" s="37" t="s">
        <v>8</v>
      </c>
      <c r="I61" s="37" t="s">
        <v>9</v>
      </c>
      <c r="J61" s="36">
        <v>1000</v>
      </c>
      <c r="K61" s="27">
        <f>0</f>
        <v>0</v>
      </c>
      <c r="L61" s="127">
        <f t="shared" si="1"/>
        <v>0</v>
      </c>
      <c r="M61" s="127">
        <f t="shared" si="5"/>
        <v>0</v>
      </c>
      <c r="N61" s="128"/>
      <c r="O61" s="129">
        <f t="shared" si="2"/>
        <v>0</v>
      </c>
      <c r="P61" s="128"/>
      <c r="Q61" s="128"/>
      <c r="R61" s="128"/>
      <c r="S61" s="167">
        <f t="shared" si="3"/>
        <v>0</v>
      </c>
      <c r="T61" s="25" t="str">
        <f t="shared" si="4"/>
        <v>OK</v>
      </c>
      <c r="U61" s="138"/>
      <c r="V61" s="138"/>
      <c r="W61" s="138"/>
      <c r="X61" s="139"/>
      <c r="Y61" s="139"/>
      <c r="Z61" s="138"/>
      <c r="AA61" s="138"/>
      <c r="AB61" s="138"/>
      <c r="AC61" s="138"/>
      <c r="AD61" s="138"/>
      <c r="AE61" s="138"/>
      <c r="AF61" s="138"/>
      <c r="AG61" s="178"/>
      <c r="AH61" s="178"/>
      <c r="AI61" s="178"/>
      <c r="AJ61" s="178"/>
      <c r="AK61" s="178"/>
      <c r="AL61" s="178"/>
      <c r="AM61" s="178"/>
      <c r="AN61" s="178"/>
      <c r="AO61" s="178"/>
      <c r="AP61" s="187"/>
    </row>
    <row r="62" spans="1:42" ht="30.25" customHeight="1" x14ac:dyDescent="0.35">
      <c r="A62" s="199"/>
      <c r="B62" s="37">
        <v>59</v>
      </c>
      <c r="C62" s="196"/>
      <c r="D62" s="34" t="s">
        <v>10</v>
      </c>
      <c r="E62" s="41" t="s">
        <v>8</v>
      </c>
      <c r="F62" s="43" t="s">
        <v>28</v>
      </c>
      <c r="G62" s="37" t="s">
        <v>29</v>
      </c>
      <c r="H62" s="37" t="s">
        <v>8</v>
      </c>
      <c r="I62" s="37" t="s">
        <v>9</v>
      </c>
      <c r="J62" s="36">
        <v>1500</v>
      </c>
      <c r="K62" s="27">
        <f>0</f>
        <v>0</v>
      </c>
      <c r="L62" s="127">
        <f t="shared" si="1"/>
        <v>0</v>
      </c>
      <c r="M62" s="127">
        <f t="shared" si="5"/>
        <v>0</v>
      </c>
      <c r="N62" s="128"/>
      <c r="O62" s="129">
        <f t="shared" si="2"/>
        <v>0</v>
      </c>
      <c r="P62" s="128"/>
      <c r="Q62" s="128"/>
      <c r="R62" s="128"/>
      <c r="S62" s="167">
        <f t="shared" si="3"/>
        <v>0</v>
      </c>
      <c r="T62" s="25" t="str">
        <f t="shared" si="4"/>
        <v>OK</v>
      </c>
      <c r="U62" s="138"/>
      <c r="V62" s="138"/>
      <c r="W62" s="138"/>
      <c r="X62" s="139"/>
      <c r="Y62" s="139"/>
      <c r="Z62" s="138"/>
      <c r="AA62" s="138"/>
      <c r="AB62" s="138"/>
      <c r="AC62" s="138"/>
      <c r="AD62" s="138"/>
      <c r="AE62" s="138"/>
      <c r="AF62" s="138"/>
      <c r="AG62" s="178"/>
      <c r="AH62" s="178"/>
      <c r="AI62" s="178"/>
      <c r="AJ62" s="178"/>
      <c r="AK62" s="178"/>
      <c r="AL62" s="178"/>
      <c r="AM62" s="178"/>
      <c r="AN62" s="178"/>
      <c r="AO62" s="178"/>
      <c r="AP62" s="187"/>
    </row>
    <row r="63" spans="1:42" ht="30.25" customHeight="1" x14ac:dyDescent="0.35">
      <c r="A63" s="199"/>
      <c r="B63" s="37">
        <v>60</v>
      </c>
      <c r="C63" s="196"/>
      <c r="D63" s="34" t="s">
        <v>11</v>
      </c>
      <c r="E63" s="41" t="s">
        <v>8</v>
      </c>
      <c r="F63" s="43" t="s">
        <v>28</v>
      </c>
      <c r="G63" s="37" t="s">
        <v>29</v>
      </c>
      <c r="H63" s="37" t="s">
        <v>8</v>
      </c>
      <c r="I63" s="37" t="s">
        <v>9</v>
      </c>
      <c r="J63" s="36">
        <v>1731</v>
      </c>
      <c r="K63" s="27">
        <f>0</f>
        <v>0</v>
      </c>
      <c r="L63" s="127">
        <f t="shared" si="1"/>
        <v>0</v>
      </c>
      <c r="M63" s="127">
        <f t="shared" si="5"/>
        <v>0</v>
      </c>
      <c r="N63" s="128"/>
      <c r="O63" s="129">
        <f t="shared" si="2"/>
        <v>0</v>
      </c>
      <c r="P63" s="128"/>
      <c r="Q63" s="128"/>
      <c r="R63" s="128"/>
      <c r="S63" s="167">
        <f t="shared" si="3"/>
        <v>0</v>
      </c>
      <c r="T63" s="25" t="str">
        <f t="shared" si="4"/>
        <v>OK</v>
      </c>
      <c r="U63" s="138"/>
      <c r="V63" s="138"/>
      <c r="W63" s="138"/>
      <c r="X63" s="139"/>
      <c r="Y63" s="139"/>
      <c r="Z63" s="138"/>
      <c r="AA63" s="138"/>
      <c r="AB63" s="138"/>
      <c r="AC63" s="138"/>
      <c r="AD63" s="138"/>
      <c r="AE63" s="138"/>
      <c r="AF63" s="138"/>
      <c r="AG63" s="178"/>
      <c r="AH63" s="178"/>
      <c r="AI63" s="178"/>
      <c r="AJ63" s="178"/>
      <c r="AK63" s="178"/>
      <c r="AL63" s="178"/>
      <c r="AM63" s="178"/>
      <c r="AN63" s="178"/>
      <c r="AO63" s="178"/>
      <c r="AP63" s="187"/>
    </row>
    <row r="64" spans="1:42" ht="30.25" customHeight="1" x14ac:dyDescent="0.35">
      <c r="A64" s="199"/>
      <c r="B64" s="37">
        <v>61</v>
      </c>
      <c r="C64" s="196"/>
      <c r="D64" s="34" t="s">
        <v>12</v>
      </c>
      <c r="E64" s="41" t="s">
        <v>8</v>
      </c>
      <c r="F64" s="43" t="s">
        <v>28</v>
      </c>
      <c r="G64" s="37" t="s">
        <v>29</v>
      </c>
      <c r="H64" s="37" t="s">
        <v>34</v>
      </c>
      <c r="I64" s="37" t="s">
        <v>9</v>
      </c>
      <c r="J64" s="36">
        <v>160</v>
      </c>
      <c r="K64" s="27">
        <f>0</f>
        <v>0</v>
      </c>
      <c r="L64" s="127">
        <f t="shared" si="1"/>
        <v>0</v>
      </c>
      <c r="M64" s="127">
        <f t="shared" si="5"/>
        <v>0</v>
      </c>
      <c r="N64" s="128"/>
      <c r="O64" s="129">
        <f t="shared" si="2"/>
        <v>0</v>
      </c>
      <c r="P64" s="128"/>
      <c r="Q64" s="128"/>
      <c r="R64" s="128"/>
      <c r="S64" s="167">
        <f t="shared" si="3"/>
        <v>0</v>
      </c>
      <c r="T64" s="25" t="str">
        <f t="shared" si="4"/>
        <v>OK</v>
      </c>
      <c r="U64" s="138"/>
      <c r="V64" s="138"/>
      <c r="W64" s="138"/>
      <c r="X64" s="139"/>
      <c r="Y64" s="139"/>
      <c r="Z64" s="138"/>
      <c r="AA64" s="138"/>
      <c r="AB64" s="138"/>
      <c r="AC64" s="138"/>
      <c r="AD64" s="138"/>
      <c r="AE64" s="138"/>
      <c r="AF64" s="138"/>
      <c r="AG64" s="178"/>
      <c r="AH64" s="178"/>
      <c r="AI64" s="178"/>
      <c r="AJ64" s="178"/>
      <c r="AK64" s="178"/>
      <c r="AL64" s="178"/>
      <c r="AM64" s="178"/>
      <c r="AN64" s="178"/>
      <c r="AO64" s="178"/>
      <c r="AP64" s="187"/>
    </row>
    <row r="65" spans="1:42" ht="30.25" customHeight="1" x14ac:dyDescent="0.35">
      <c r="A65" s="199"/>
      <c r="B65" s="37">
        <v>62</v>
      </c>
      <c r="C65" s="196"/>
      <c r="D65" s="34" t="s">
        <v>156</v>
      </c>
      <c r="E65" s="41" t="s">
        <v>8</v>
      </c>
      <c r="F65" s="43" t="s">
        <v>28</v>
      </c>
      <c r="G65" s="37" t="s">
        <v>29</v>
      </c>
      <c r="H65" s="37" t="s">
        <v>34</v>
      </c>
      <c r="I65" s="37" t="s">
        <v>9</v>
      </c>
      <c r="J65" s="36">
        <v>135</v>
      </c>
      <c r="K65" s="27">
        <f>0</f>
        <v>0</v>
      </c>
      <c r="L65" s="127">
        <f t="shared" si="1"/>
        <v>0</v>
      </c>
      <c r="M65" s="127">
        <f t="shared" si="5"/>
        <v>0</v>
      </c>
      <c r="N65" s="128"/>
      <c r="O65" s="129">
        <f t="shared" si="2"/>
        <v>0</v>
      </c>
      <c r="P65" s="128"/>
      <c r="Q65" s="128"/>
      <c r="R65" s="128"/>
      <c r="S65" s="167">
        <f t="shared" si="3"/>
        <v>0</v>
      </c>
      <c r="T65" s="25" t="str">
        <f t="shared" si="4"/>
        <v>OK</v>
      </c>
      <c r="U65" s="138"/>
      <c r="V65" s="138"/>
      <c r="W65" s="138"/>
      <c r="X65" s="139"/>
      <c r="Y65" s="139"/>
      <c r="Z65" s="138"/>
      <c r="AA65" s="138"/>
      <c r="AB65" s="138"/>
      <c r="AC65" s="138"/>
      <c r="AD65" s="138"/>
      <c r="AE65" s="138"/>
      <c r="AF65" s="138"/>
      <c r="AG65" s="178"/>
      <c r="AH65" s="178"/>
      <c r="AI65" s="178"/>
      <c r="AJ65" s="178"/>
      <c r="AK65" s="178"/>
      <c r="AL65" s="178"/>
      <c r="AM65" s="178"/>
      <c r="AN65" s="178"/>
      <c r="AO65" s="178"/>
      <c r="AP65" s="187"/>
    </row>
    <row r="66" spans="1:42" ht="30.25" customHeight="1" x14ac:dyDescent="0.35">
      <c r="A66" s="199"/>
      <c r="B66" s="37">
        <v>63</v>
      </c>
      <c r="C66" s="196"/>
      <c r="D66" s="34" t="s">
        <v>13</v>
      </c>
      <c r="E66" s="41" t="s">
        <v>8</v>
      </c>
      <c r="F66" s="43" t="s">
        <v>28</v>
      </c>
      <c r="G66" s="37" t="s">
        <v>29</v>
      </c>
      <c r="H66" s="37" t="s">
        <v>34</v>
      </c>
      <c r="I66" s="37" t="s">
        <v>9</v>
      </c>
      <c r="J66" s="36">
        <v>135</v>
      </c>
      <c r="K66" s="27">
        <f>0</f>
        <v>0</v>
      </c>
      <c r="L66" s="127">
        <f t="shared" si="1"/>
        <v>0</v>
      </c>
      <c r="M66" s="127">
        <f t="shared" si="5"/>
        <v>0</v>
      </c>
      <c r="N66" s="128"/>
      <c r="O66" s="129">
        <f t="shared" si="2"/>
        <v>0</v>
      </c>
      <c r="P66" s="128"/>
      <c r="Q66" s="128"/>
      <c r="R66" s="128"/>
      <c r="S66" s="167">
        <f t="shared" si="3"/>
        <v>0</v>
      </c>
      <c r="T66" s="25" t="str">
        <f t="shared" si="4"/>
        <v>OK</v>
      </c>
      <c r="U66" s="138"/>
      <c r="V66" s="138"/>
      <c r="W66" s="138"/>
      <c r="X66" s="139"/>
      <c r="Y66" s="139"/>
      <c r="Z66" s="138"/>
      <c r="AA66" s="138"/>
      <c r="AB66" s="138"/>
      <c r="AC66" s="138"/>
      <c r="AD66" s="138"/>
      <c r="AE66" s="138"/>
      <c r="AF66" s="138"/>
      <c r="AG66" s="178"/>
      <c r="AH66" s="178"/>
      <c r="AI66" s="178"/>
      <c r="AJ66" s="178"/>
      <c r="AK66" s="178"/>
      <c r="AL66" s="178"/>
      <c r="AM66" s="178"/>
      <c r="AN66" s="178"/>
      <c r="AO66" s="178"/>
      <c r="AP66" s="187"/>
    </row>
    <row r="67" spans="1:42" ht="30.25" customHeight="1" x14ac:dyDescent="0.35">
      <c r="A67" s="199"/>
      <c r="B67" s="37">
        <v>64</v>
      </c>
      <c r="C67" s="196"/>
      <c r="D67" s="34" t="s">
        <v>157</v>
      </c>
      <c r="E67" s="41" t="s">
        <v>8</v>
      </c>
      <c r="F67" s="43" t="s">
        <v>28</v>
      </c>
      <c r="G67" s="37" t="s">
        <v>29</v>
      </c>
      <c r="H67" s="37" t="s">
        <v>8</v>
      </c>
      <c r="I67" s="37" t="s">
        <v>9</v>
      </c>
      <c r="J67" s="36">
        <v>365</v>
      </c>
      <c r="K67" s="27">
        <f>0</f>
        <v>0</v>
      </c>
      <c r="L67" s="127">
        <f t="shared" si="1"/>
        <v>0</v>
      </c>
      <c r="M67" s="127">
        <f t="shared" si="5"/>
        <v>0</v>
      </c>
      <c r="N67" s="128"/>
      <c r="O67" s="129">
        <f t="shared" si="2"/>
        <v>0</v>
      </c>
      <c r="P67" s="128"/>
      <c r="Q67" s="128"/>
      <c r="R67" s="128"/>
      <c r="S67" s="167">
        <f t="shared" si="3"/>
        <v>0</v>
      </c>
      <c r="T67" s="25" t="str">
        <f t="shared" si="4"/>
        <v>OK</v>
      </c>
      <c r="U67" s="138"/>
      <c r="V67" s="138"/>
      <c r="W67" s="138"/>
      <c r="X67" s="139"/>
      <c r="Y67" s="139"/>
      <c r="Z67" s="138"/>
      <c r="AA67" s="138"/>
      <c r="AB67" s="138"/>
      <c r="AC67" s="138"/>
      <c r="AD67" s="138"/>
      <c r="AE67" s="138"/>
      <c r="AF67" s="138"/>
      <c r="AG67" s="178"/>
      <c r="AH67" s="178"/>
      <c r="AI67" s="178"/>
      <c r="AJ67" s="178"/>
      <c r="AK67" s="178"/>
      <c r="AL67" s="178"/>
      <c r="AM67" s="178"/>
      <c r="AN67" s="178"/>
      <c r="AO67" s="178"/>
      <c r="AP67" s="187"/>
    </row>
    <row r="68" spans="1:42" ht="30.25" customHeight="1" x14ac:dyDescent="0.35">
      <c r="A68" s="200"/>
      <c r="B68" s="37">
        <v>65</v>
      </c>
      <c r="C68" s="197"/>
      <c r="D68" s="34" t="s">
        <v>30</v>
      </c>
      <c r="E68" s="41" t="s">
        <v>8</v>
      </c>
      <c r="F68" s="43" t="s">
        <v>28</v>
      </c>
      <c r="G68" s="37" t="s">
        <v>29</v>
      </c>
      <c r="H68" s="37" t="s">
        <v>8</v>
      </c>
      <c r="I68" s="37" t="s">
        <v>9</v>
      </c>
      <c r="J68" s="36">
        <v>100</v>
      </c>
      <c r="K68" s="27">
        <f>0</f>
        <v>0</v>
      </c>
      <c r="L68" s="127">
        <f t="shared" si="1"/>
        <v>0</v>
      </c>
      <c r="M68" s="127">
        <f t="shared" ref="M68:M81" si="6">(SUM(U68:AS68))</f>
        <v>0</v>
      </c>
      <c r="N68" s="128"/>
      <c r="O68" s="129">
        <f t="shared" si="2"/>
        <v>0</v>
      </c>
      <c r="P68" s="128"/>
      <c r="Q68" s="128"/>
      <c r="R68" s="128"/>
      <c r="S68" s="167">
        <f t="shared" si="3"/>
        <v>0</v>
      </c>
      <c r="T68" s="25" t="str">
        <f t="shared" si="4"/>
        <v>OK</v>
      </c>
      <c r="U68" s="138"/>
      <c r="V68" s="138"/>
      <c r="W68" s="138"/>
      <c r="X68" s="139"/>
      <c r="Y68" s="139"/>
      <c r="Z68" s="138"/>
      <c r="AA68" s="138"/>
      <c r="AB68" s="138"/>
      <c r="AC68" s="138"/>
      <c r="AD68" s="138"/>
      <c r="AE68" s="138"/>
      <c r="AF68" s="138"/>
      <c r="AG68" s="178"/>
      <c r="AH68" s="178"/>
      <c r="AI68" s="178"/>
      <c r="AJ68" s="178"/>
      <c r="AK68" s="178"/>
      <c r="AL68" s="178"/>
      <c r="AM68" s="178"/>
      <c r="AN68" s="178"/>
      <c r="AO68" s="178"/>
      <c r="AP68" s="187"/>
    </row>
    <row r="69" spans="1:42" ht="30.25" customHeight="1" x14ac:dyDescent="0.35">
      <c r="A69" s="208" t="s">
        <v>164</v>
      </c>
      <c r="B69" s="44">
        <v>66</v>
      </c>
      <c r="C69" s="205" t="s">
        <v>92</v>
      </c>
      <c r="D69" s="46" t="s">
        <v>27</v>
      </c>
      <c r="E69" s="48" t="s">
        <v>8</v>
      </c>
      <c r="F69" s="50" t="s">
        <v>28</v>
      </c>
      <c r="G69" s="44" t="s">
        <v>29</v>
      </c>
      <c r="H69" s="44" t="s">
        <v>8</v>
      </c>
      <c r="I69" s="44" t="s">
        <v>9</v>
      </c>
      <c r="J69" s="47">
        <v>140</v>
      </c>
      <c r="K69" s="27">
        <f>0</f>
        <v>0</v>
      </c>
      <c r="L69" s="127">
        <f t="shared" ref="L69:L81" si="7">IF(SUM(U69:AU69)&gt;K69+N69,K69+N69,SUM(U69:AU69))</f>
        <v>0</v>
      </c>
      <c r="M69" s="127">
        <f t="shared" si="6"/>
        <v>0</v>
      </c>
      <c r="N69" s="128"/>
      <c r="O69" s="129">
        <f t="shared" ref="O69:O82" si="8">ROUND(IF(K69*0.25-0.5&lt;0,0,K69*0.25-0.5),0)-R69-P69</f>
        <v>0</v>
      </c>
      <c r="P69" s="128"/>
      <c r="Q69" s="128"/>
      <c r="R69" s="128"/>
      <c r="S69" s="167">
        <f t="shared" ref="S69:S81" si="9">K69-SUM(U69:AP69)+N69</f>
        <v>0</v>
      </c>
      <c r="T69" s="25" t="str">
        <f t="shared" ref="T69:T81" si="10">IF(S69&lt;0,"ATENÇÃO","OK")</f>
        <v>OK</v>
      </c>
      <c r="U69" s="138"/>
      <c r="V69" s="138"/>
      <c r="W69" s="138"/>
      <c r="X69" s="139"/>
      <c r="Y69" s="139"/>
      <c r="Z69" s="138"/>
      <c r="AA69" s="138"/>
      <c r="AB69" s="138"/>
      <c r="AC69" s="138"/>
      <c r="AD69" s="138"/>
      <c r="AE69" s="138"/>
      <c r="AF69" s="138"/>
      <c r="AG69" s="178"/>
      <c r="AH69" s="178"/>
      <c r="AI69" s="178"/>
      <c r="AJ69" s="178"/>
      <c r="AK69" s="178"/>
      <c r="AL69" s="178"/>
      <c r="AM69" s="178"/>
      <c r="AN69" s="178"/>
      <c r="AO69" s="178"/>
      <c r="AP69" s="187"/>
    </row>
    <row r="70" spans="1:42" ht="30.25" customHeight="1" x14ac:dyDescent="0.35">
      <c r="A70" s="209"/>
      <c r="B70" s="44">
        <v>67</v>
      </c>
      <c r="C70" s="206"/>
      <c r="D70" s="46" t="s">
        <v>7</v>
      </c>
      <c r="E70" s="48" t="s">
        <v>8</v>
      </c>
      <c r="F70" s="50" t="s">
        <v>28</v>
      </c>
      <c r="G70" s="44" t="s">
        <v>29</v>
      </c>
      <c r="H70" s="44" t="s">
        <v>8</v>
      </c>
      <c r="I70" s="44" t="s">
        <v>9</v>
      </c>
      <c r="J70" s="47">
        <v>530</v>
      </c>
      <c r="K70" s="27">
        <f>0</f>
        <v>0</v>
      </c>
      <c r="L70" s="127">
        <f t="shared" si="7"/>
        <v>0</v>
      </c>
      <c r="M70" s="127">
        <f t="shared" si="6"/>
        <v>0</v>
      </c>
      <c r="N70" s="128"/>
      <c r="O70" s="129">
        <f t="shared" si="8"/>
        <v>0</v>
      </c>
      <c r="P70" s="128"/>
      <c r="Q70" s="128"/>
      <c r="R70" s="128"/>
      <c r="S70" s="167">
        <f t="shared" si="9"/>
        <v>0</v>
      </c>
      <c r="T70" s="25" t="str">
        <f t="shared" si="10"/>
        <v>OK</v>
      </c>
      <c r="U70" s="138"/>
      <c r="V70" s="138"/>
      <c r="W70" s="138"/>
      <c r="X70" s="139"/>
      <c r="Y70" s="139"/>
      <c r="Z70" s="138"/>
      <c r="AA70" s="138"/>
      <c r="AB70" s="138"/>
      <c r="AC70" s="138"/>
      <c r="AD70" s="138"/>
      <c r="AE70" s="138"/>
      <c r="AF70" s="138"/>
      <c r="AG70" s="178"/>
      <c r="AH70" s="178"/>
      <c r="AI70" s="178"/>
      <c r="AJ70" s="178"/>
      <c r="AK70" s="178"/>
      <c r="AL70" s="178"/>
      <c r="AM70" s="178"/>
      <c r="AN70" s="178"/>
      <c r="AO70" s="178"/>
      <c r="AP70" s="187"/>
    </row>
    <row r="71" spans="1:42" ht="30.25" customHeight="1" x14ac:dyDescent="0.35">
      <c r="A71" s="209"/>
      <c r="B71" s="44">
        <v>68</v>
      </c>
      <c r="C71" s="206"/>
      <c r="D71" s="46" t="s">
        <v>10</v>
      </c>
      <c r="E71" s="48" t="s">
        <v>8</v>
      </c>
      <c r="F71" s="50" t="s">
        <v>28</v>
      </c>
      <c r="G71" s="44" t="s">
        <v>29</v>
      </c>
      <c r="H71" s="44" t="s">
        <v>8</v>
      </c>
      <c r="I71" s="44" t="s">
        <v>9</v>
      </c>
      <c r="J71" s="47">
        <v>660</v>
      </c>
      <c r="K71" s="27">
        <f>0</f>
        <v>0</v>
      </c>
      <c r="L71" s="127">
        <f t="shared" si="7"/>
        <v>0</v>
      </c>
      <c r="M71" s="127">
        <f t="shared" si="6"/>
        <v>0</v>
      </c>
      <c r="N71" s="128"/>
      <c r="O71" s="129">
        <f t="shared" si="8"/>
        <v>0</v>
      </c>
      <c r="P71" s="128"/>
      <c r="Q71" s="128"/>
      <c r="R71" s="128"/>
      <c r="S71" s="167">
        <f t="shared" si="9"/>
        <v>0</v>
      </c>
      <c r="T71" s="25" t="str">
        <f t="shared" si="10"/>
        <v>OK</v>
      </c>
      <c r="U71" s="138"/>
      <c r="V71" s="138"/>
      <c r="W71" s="138"/>
      <c r="X71" s="139"/>
      <c r="Y71" s="139"/>
      <c r="Z71" s="138"/>
      <c r="AA71" s="138"/>
      <c r="AB71" s="138"/>
      <c r="AC71" s="138"/>
      <c r="AD71" s="138"/>
      <c r="AE71" s="138"/>
      <c r="AF71" s="138"/>
      <c r="AG71" s="178"/>
      <c r="AH71" s="178"/>
      <c r="AI71" s="178"/>
      <c r="AJ71" s="178"/>
      <c r="AK71" s="178"/>
      <c r="AL71" s="178"/>
      <c r="AM71" s="178"/>
      <c r="AN71" s="178"/>
      <c r="AO71" s="178"/>
      <c r="AP71" s="187"/>
    </row>
    <row r="72" spans="1:42" ht="30.25" customHeight="1" x14ac:dyDescent="0.35">
      <c r="A72" s="209"/>
      <c r="B72" s="44">
        <v>69</v>
      </c>
      <c r="C72" s="206"/>
      <c r="D72" s="46" t="s">
        <v>11</v>
      </c>
      <c r="E72" s="48" t="s">
        <v>8</v>
      </c>
      <c r="F72" s="50" t="s">
        <v>28</v>
      </c>
      <c r="G72" s="44" t="s">
        <v>29</v>
      </c>
      <c r="H72" s="44" t="s">
        <v>8</v>
      </c>
      <c r="I72" s="44" t="s">
        <v>9</v>
      </c>
      <c r="J72" s="47">
        <v>760</v>
      </c>
      <c r="K72" s="27">
        <f>0</f>
        <v>0</v>
      </c>
      <c r="L72" s="127">
        <f t="shared" si="7"/>
        <v>0</v>
      </c>
      <c r="M72" s="127">
        <f t="shared" si="6"/>
        <v>0</v>
      </c>
      <c r="N72" s="128"/>
      <c r="O72" s="129">
        <f t="shared" si="8"/>
        <v>0</v>
      </c>
      <c r="P72" s="128"/>
      <c r="Q72" s="128"/>
      <c r="R72" s="128"/>
      <c r="S72" s="167">
        <f t="shared" si="9"/>
        <v>0</v>
      </c>
      <c r="T72" s="25" t="str">
        <f t="shared" si="10"/>
        <v>OK</v>
      </c>
      <c r="U72" s="138"/>
      <c r="V72" s="138"/>
      <c r="W72" s="138"/>
      <c r="X72" s="139"/>
      <c r="Y72" s="139"/>
      <c r="Z72" s="138"/>
      <c r="AA72" s="138"/>
      <c r="AB72" s="138"/>
      <c r="AC72" s="138"/>
      <c r="AD72" s="138"/>
      <c r="AE72" s="138"/>
      <c r="AF72" s="138"/>
      <c r="AG72" s="178"/>
      <c r="AH72" s="178"/>
      <c r="AI72" s="178"/>
      <c r="AJ72" s="178"/>
      <c r="AK72" s="178"/>
      <c r="AL72" s="178"/>
      <c r="AM72" s="178"/>
      <c r="AN72" s="178"/>
      <c r="AO72" s="178"/>
      <c r="AP72" s="187"/>
    </row>
    <row r="73" spans="1:42" ht="30.25" customHeight="1" x14ac:dyDescent="0.35">
      <c r="A73" s="209"/>
      <c r="B73" s="44">
        <v>70</v>
      </c>
      <c r="C73" s="206"/>
      <c r="D73" s="46" t="s">
        <v>12</v>
      </c>
      <c r="E73" s="48" t="s">
        <v>8</v>
      </c>
      <c r="F73" s="50" t="s">
        <v>28</v>
      </c>
      <c r="G73" s="44" t="s">
        <v>29</v>
      </c>
      <c r="H73" s="44" t="s">
        <v>34</v>
      </c>
      <c r="I73" s="44" t="s">
        <v>9</v>
      </c>
      <c r="J73" s="47">
        <v>70</v>
      </c>
      <c r="K73" s="27">
        <f>0</f>
        <v>0</v>
      </c>
      <c r="L73" s="127">
        <f t="shared" si="7"/>
        <v>0</v>
      </c>
      <c r="M73" s="127">
        <f t="shared" si="6"/>
        <v>0</v>
      </c>
      <c r="N73" s="128"/>
      <c r="O73" s="129">
        <f t="shared" si="8"/>
        <v>0</v>
      </c>
      <c r="P73" s="128"/>
      <c r="Q73" s="128"/>
      <c r="R73" s="128"/>
      <c r="S73" s="167">
        <f t="shared" si="9"/>
        <v>0</v>
      </c>
      <c r="T73" s="25" t="str">
        <f t="shared" si="10"/>
        <v>OK</v>
      </c>
      <c r="U73" s="138"/>
      <c r="V73" s="138"/>
      <c r="W73" s="138"/>
      <c r="X73" s="139"/>
      <c r="Y73" s="139"/>
      <c r="Z73" s="138"/>
      <c r="AA73" s="138"/>
      <c r="AB73" s="138"/>
      <c r="AC73" s="138"/>
      <c r="AD73" s="138"/>
      <c r="AE73" s="138"/>
      <c r="AF73" s="138"/>
      <c r="AG73" s="178"/>
      <c r="AH73" s="178"/>
      <c r="AI73" s="178"/>
      <c r="AJ73" s="178"/>
      <c r="AK73" s="178"/>
      <c r="AL73" s="178"/>
      <c r="AM73" s="178"/>
      <c r="AN73" s="178"/>
      <c r="AO73" s="178"/>
      <c r="AP73" s="187"/>
    </row>
    <row r="74" spans="1:42" ht="30.25" customHeight="1" x14ac:dyDescent="0.35">
      <c r="A74" s="209"/>
      <c r="B74" s="44">
        <v>71</v>
      </c>
      <c r="C74" s="206"/>
      <c r="D74" s="46" t="s">
        <v>156</v>
      </c>
      <c r="E74" s="48" t="s">
        <v>8</v>
      </c>
      <c r="F74" s="50" t="s">
        <v>28</v>
      </c>
      <c r="G74" s="44" t="s">
        <v>29</v>
      </c>
      <c r="H74" s="44" t="s">
        <v>34</v>
      </c>
      <c r="I74" s="44" t="s">
        <v>9</v>
      </c>
      <c r="J74" s="47">
        <v>75</v>
      </c>
      <c r="K74" s="27">
        <f>0</f>
        <v>0</v>
      </c>
      <c r="L74" s="127">
        <f t="shared" si="7"/>
        <v>0</v>
      </c>
      <c r="M74" s="127">
        <f t="shared" si="6"/>
        <v>0</v>
      </c>
      <c r="N74" s="128"/>
      <c r="O74" s="129">
        <f t="shared" si="8"/>
        <v>0</v>
      </c>
      <c r="P74" s="128"/>
      <c r="Q74" s="128"/>
      <c r="R74" s="128"/>
      <c r="S74" s="167">
        <f t="shared" si="9"/>
        <v>0</v>
      </c>
      <c r="T74" s="25" t="str">
        <f t="shared" si="10"/>
        <v>OK</v>
      </c>
      <c r="U74" s="138"/>
      <c r="V74" s="138"/>
      <c r="W74" s="138"/>
      <c r="X74" s="139"/>
      <c r="Y74" s="139"/>
      <c r="Z74" s="138"/>
      <c r="AA74" s="138"/>
      <c r="AB74" s="138"/>
      <c r="AC74" s="138"/>
      <c r="AD74" s="138"/>
      <c r="AE74" s="138"/>
      <c r="AF74" s="138"/>
      <c r="AG74" s="178"/>
      <c r="AH74" s="178"/>
      <c r="AI74" s="178"/>
      <c r="AJ74" s="178"/>
      <c r="AK74" s="178"/>
      <c r="AL74" s="178"/>
      <c r="AM74" s="178"/>
      <c r="AN74" s="178"/>
      <c r="AO74" s="178"/>
      <c r="AP74" s="187"/>
    </row>
    <row r="75" spans="1:42" ht="30.25" customHeight="1" x14ac:dyDescent="0.35">
      <c r="A75" s="209"/>
      <c r="B75" s="44">
        <v>72</v>
      </c>
      <c r="C75" s="206"/>
      <c r="D75" s="46" t="s">
        <v>13</v>
      </c>
      <c r="E75" s="48" t="s">
        <v>8</v>
      </c>
      <c r="F75" s="50" t="s">
        <v>28</v>
      </c>
      <c r="G75" s="44" t="s">
        <v>29</v>
      </c>
      <c r="H75" s="44" t="s">
        <v>34</v>
      </c>
      <c r="I75" s="44" t="s">
        <v>9</v>
      </c>
      <c r="J75" s="47">
        <v>80</v>
      </c>
      <c r="K75" s="27">
        <f>0</f>
        <v>0</v>
      </c>
      <c r="L75" s="127">
        <f t="shared" si="7"/>
        <v>0</v>
      </c>
      <c r="M75" s="127">
        <f t="shared" si="6"/>
        <v>0</v>
      </c>
      <c r="N75" s="128"/>
      <c r="O75" s="129">
        <f t="shared" si="8"/>
        <v>0</v>
      </c>
      <c r="P75" s="128"/>
      <c r="Q75" s="128"/>
      <c r="R75" s="128"/>
      <c r="S75" s="167">
        <f t="shared" si="9"/>
        <v>0</v>
      </c>
      <c r="T75" s="25" t="str">
        <f t="shared" si="10"/>
        <v>OK</v>
      </c>
      <c r="U75" s="138"/>
      <c r="V75" s="138"/>
      <c r="W75" s="138"/>
      <c r="X75" s="139"/>
      <c r="Y75" s="139"/>
      <c r="Z75" s="138"/>
      <c r="AA75" s="138"/>
      <c r="AB75" s="138"/>
      <c r="AC75" s="138"/>
      <c r="AD75" s="138"/>
      <c r="AE75" s="138"/>
      <c r="AF75" s="138"/>
      <c r="AG75" s="178"/>
      <c r="AH75" s="178"/>
      <c r="AI75" s="178"/>
      <c r="AJ75" s="178"/>
      <c r="AK75" s="178"/>
      <c r="AL75" s="178"/>
      <c r="AM75" s="178"/>
      <c r="AN75" s="178"/>
      <c r="AO75" s="178"/>
      <c r="AP75" s="187"/>
    </row>
    <row r="76" spans="1:42" ht="30.25" customHeight="1" x14ac:dyDescent="0.35">
      <c r="A76" s="209"/>
      <c r="B76" s="44">
        <v>73</v>
      </c>
      <c r="C76" s="206"/>
      <c r="D76" s="46" t="s">
        <v>157</v>
      </c>
      <c r="E76" s="48" t="s">
        <v>8</v>
      </c>
      <c r="F76" s="50" t="s">
        <v>28</v>
      </c>
      <c r="G76" s="44" t="s">
        <v>29</v>
      </c>
      <c r="H76" s="44" t="s">
        <v>8</v>
      </c>
      <c r="I76" s="44" t="s">
        <v>9</v>
      </c>
      <c r="J76" s="47">
        <v>150</v>
      </c>
      <c r="K76" s="27">
        <f>0</f>
        <v>0</v>
      </c>
      <c r="L76" s="127">
        <f t="shared" si="7"/>
        <v>0</v>
      </c>
      <c r="M76" s="127">
        <f t="shared" si="6"/>
        <v>0</v>
      </c>
      <c r="N76" s="128"/>
      <c r="O76" s="129">
        <f t="shared" si="8"/>
        <v>0</v>
      </c>
      <c r="P76" s="128"/>
      <c r="Q76" s="128"/>
      <c r="R76" s="128"/>
      <c r="S76" s="167">
        <f t="shared" si="9"/>
        <v>0</v>
      </c>
      <c r="T76" s="25" t="str">
        <f t="shared" si="10"/>
        <v>OK</v>
      </c>
      <c r="U76" s="138"/>
      <c r="V76" s="138"/>
      <c r="W76" s="138"/>
      <c r="X76" s="139"/>
      <c r="Y76" s="139"/>
      <c r="Z76" s="138"/>
      <c r="AA76" s="138"/>
      <c r="AB76" s="138"/>
      <c r="AC76" s="138"/>
      <c r="AD76" s="138"/>
      <c r="AE76" s="138"/>
      <c r="AF76" s="138"/>
      <c r="AG76" s="178"/>
      <c r="AH76" s="178"/>
      <c r="AI76" s="178"/>
      <c r="AJ76" s="178"/>
      <c r="AK76" s="178"/>
      <c r="AL76" s="178"/>
      <c r="AM76" s="178"/>
      <c r="AN76" s="178"/>
      <c r="AO76" s="178"/>
      <c r="AP76" s="187"/>
    </row>
    <row r="77" spans="1:42" ht="30.25" customHeight="1" x14ac:dyDescent="0.35">
      <c r="A77" s="209"/>
      <c r="B77" s="44">
        <v>74</v>
      </c>
      <c r="C77" s="206"/>
      <c r="D77" s="46" t="s">
        <v>30</v>
      </c>
      <c r="E77" s="48" t="s">
        <v>8</v>
      </c>
      <c r="F77" s="50" t="s">
        <v>28</v>
      </c>
      <c r="G77" s="44" t="s">
        <v>29</v>
      </c>
      <c r="H77" s="44" t="s">
        <v>8</v>
      </c>
      <c r="I77" s="44" t="s">
        <v>9</v>
      </c>
      <c r="J77" s="47">
        <v>150</v>
      </c>
      <c r="K77" s="27">
        <f>0</f>
        <v>0</v>
      </c>
      <c r="L77" s="127">
        <f t="shared" si="7"/>
        <v>0</v>
      </c>
      <c r="M77" s="127">
        <f t="shared" si="6"/>
        <v>0</v>
      </c>
      <c r="N77" s="128"/>
      <c r="O77" s="129">
        <f t="shared" si="8"/>
        <v>0</v>
      </c>
      <c r="P77" s="128"/>
      <c r="Q77" s="128"/>
      <c r="R77" s="128"/>
      <c r="S77" s="167">
        <f t="shared" si="9"/>
        <v>0</v>
      </c>
      <c r="T77" s="25" t="str">
        <f t="shared" si="10"/>
        <v>OK</v>
      </c>
      <c r="U77" s="138"/>
      <c r="V77" s="138"/>
      <c r="W77" s="138"/>
      <c r="X77" s="139"/>
      <c r="Y77" s="139"/>
      <c r="Z77" s="138"/>
      <c r="AA77" s="138"/>
      <c r="AB77" s="138"/>
      <c r="AC77" s="138"/>
      <c r="AD77" s="138"/>
      <c r="AE77" s="138"/>
      <c r="AF77" s="138"/>
      <c r="AG77" s="178"/>
      <c r="AH77" s="178"/>
      <c r="AI77" s="178"/>
      <c r="AJ77" s="178"/>
      <c r="AK77" s="178"/>
      <c r="AL77" s="178"/>
      <c r="AM77" s="178"/>
      <c r="AN77" s="178"/>
      <c r="AO77" s="178"/>
      <c r="AP77" s="187"/>
    </row>
    <row r="78" spans="1:42" ht="30.25" customHeight="1" x14ac:dyDescent="0.35">
      <c r="A78" s="210"/>
      <c r="B78" s="44">
        <v>75</v>
      </c>
      <c r="C78" s="207"/>
      <c r="D78" s="46" t="s">
        <v>165</v>
      </c>
      <c r="E78" s="48" t="s">
        <v>8</v>
      </c>
      <c r="F78" s="50" t="s">
        <v>28</v>
      </c>
      <c r="G78" s="44" t="s">
        <v>29</v>
      </c>
      <c r="H78" s="44" t="s">
        <v>8</v>
      </c>
      <c r="I78" s="44" t="s">
        <v>9</v>
      </c>
      <c r="J78" s="47">
        <v>300</v>
      </c>
      <c r="K78" s="27">
        <f>0</f>
        <v>0</v>
      </c>
      <c r="L78" s="127">
        <f t="shared" si="7"/>
        <v>0</v>
      </c>
      <c r="M78" s="127">
        <f t="shared" si="6"/>
        <v>0</v>
      </c>
      <c r="N78" s="128"/>
      <c r="O78" s="129">
        <f t="shared" si="8"/>
        <v>0</v>
      </c>
      <c r="P78" s="128"/>
      <c r="Q78" s="128"/>
      <c r="R78" s="128"/>
      <c r="S78" s="167">
        <f t="shared" si="9"/>
        <v>0</v>
      </c>
      <c r="T78" s="25" t="str">
        <f t="shared" si="10"/>
        <v>OK</v>
      </c>
      <c r="U78" s="138"/>
      <c r="V78" s="138"/>
      <c r="W78" s="138"/>
      <c r="X78" s="139"/>
      <c r="Y78" s="139"/>
      <c r="Z78" s="138"/>
      <c r="AA78" s="138"/>
      <c r="AB78" s="138"/>
      <c r="AC78" s="138"/>
      <c r="AD78" s="138"/>
      <c r="AE78" s="138"/>
      <c r="AF78" s="138"/>
      <c r="AG78" s="178"/>
      <c r="AH78" s="178"/>
      <c r="AI78" s="178"/>
      <c r="AJ78" s="178"/>
      <c r="AK78" s="178"/>
      <c r="AL78" s="178"/>
      <c r="AM78" s="178"/>
      <c r="AN78" s="178"/>
      <c r="AO78" s="178"/>
      <c r="AP78" s="187"/>
    </row>
    <row r="79" spans="1:42" ht="30.25" customHeight="1" x14ac:dyDescent="0.35">
      <c r="A79" s="198" t="s">
        <v>166</v>
      </c>
      <c r="B79" s="37">
        <v>76</v>
      </c>
      <c r="C79" s="195" t="s">
        <v>33</v>
      </c>
      <c r="D79" s="34" t="s">
        <v>7</v>
      </c>
      <c r="E79" s="41" t="s">
        <v>8</v>
      </c>
      <c r="F79" s="43" t="s">
        <v>28</v>
      </c>
      <c r="G79" s="37" t="s">
        <v>29</v>
      </c>
      <c r="H79" s="37" t="s">
        <v>8</v>
      </c>
      <c r="I79" s="37" t="s">
        <v>9</v>
      </c>
      <c r="J79" s="36">
        <v>1001</v>
      </c>
      <c r="K79" s="27">
        <f>0</f>
        <v>0</v>
      </c>
      <c r="L79" s="127">
        <f t="shared" si="7"/>
        <v>0</v>
      </c>
      <c r="M79" s="127">
        <f t="shared" si="6"/>
        <v>0</v>
      </c>
      <c r="N79" s="128"/>
      <c r="O79" s="129">
        <f t="shared" si="8"/>
        <v>0</v>
      </c>
      <c r="P79" s="128"/>
      <c r="Q79" s="128"/>
      <c r="R79" s="128"/>
      <c r="S79" s="167">
        <f t="shared" si="9"/>
        <v>0</v>
      </c>
      <c r="T79" s="25" t="str">
        <f t="shared" si="10"/>
        <v>OK</v>
      </c>
      <c r="U79" s="138"/>
      <c r="V79" s="138"/>
      <c r="W79" s="138"/>
      <c r="X79" s="139"/>
      <c r="Y79" s="139"/>
      <c r="Z79" s="138"/>
      <c r="AA79" s="138"/>
      <c r="AB79" s="138"/>
      <c r="AC79" s="138"/>
      <c r="AD79" s="138"/>
      <c r="AE79" s="138"/>
      <c r="AF79" s="138"/>
      <c r="AG79" s="178"/>
      <c r="AH79" s="178"/>
      <c r="AI79" s="178"/>
      <c r="AJ79" s="178"/>
      <c r="AK79" s="178"/>
      <c r="AL79" s="178"/>
      <c r="AM79" s="178"/>
      <c r="AN79" s="178"/>
      <c r="AO79" s="178"/>
      <c r="AP79" s="187"/>
    </row>
    <row r="80" spans="1:42" ht="30.25" customHeight="1" x14ac:dyDescent="0.35">
      <c r="A80" s="199"/>
      <c r="B80" s="37">
        <v>77</v>
      </c>
      <c r="C80" s="196"/>
      <c r="D80" s="34" t="s">
        <v>12</v>
      </c>
      <c r="E80" s="41" t="s">
        <v>8</v>
      </c>
      <c r="F80" s="43" t="s">
        <v>28</v>
      </c>
      <c r="G80" s="37" t="s">
        <v>29</v>
      </c>
      <c r="H80" s="37" t="s">
        <v>34</v>
      </c>
      <c r="I80" s="37" t="s">
        <v>9</v>
      </c>
      <c r="J80" s="36">
        <v>130</v>
      </c>
      <c r="K80" s="27">
        <f>0</f>
        <v>0</v>
      </c>
      <c r="L80" s="127">
        <f t="shared" si="7"/>
        <v>0</v>
      </c>
      <c r="M80" s="127">
        <f t="shared" si="6"/>
        <v>0</v>
      </c>
      <c r="N80" s="128"/>
      <c r="O80" s="129">
        <f t="shared" si="8"/>
        <v>0</v>
      </c>
      <c r="P80" s="128"/>
      <c r="Q80" s="128"/>
      <c r="R80" s="128"/>
      <c r="S80" s="167">
        <f t="shared" si="9"/>
        <v>0</v>
      </c>
      <c r="T80" s="25" t="str">
        <f t="shared" si="10"/>
        <v>OK</v>
      </c>
      <c r="U80" s="138"/>
      <c r="V80" s="138"/>
      <c r="W80" s="138"/>
      <c r="X80" s="139"/>
      <c r="Y80" s="139"/>
      <c r="Z80" s="138"/>
      <c r="AA80" s="138"/>
      <c r="AB80" s="138"/>
      <c r="AC80" s="138"/>
      <c r="AD80" s="138"/>
      <c r="AE80" s="138"/>
      <c r="AF80" s="138"/>
      <c r="AG80" s="178"/>
      <c r="AH80" s="178"/>
      <c r="AI80" s="178"/>
      <c r="AJ80" s="178"/>
      <c r="AK80" s="178"/>
      <c r="AL80" s="178"/>
      <c r="AM80" s="178"/>
      <c r="AN80" s="178"/>
      <c r="AO80" s="178"/>
      <c r="AP80" s="187"/>
    </row>
    <row r="81" spans="1:42" ht="30.25" customHeight="1" x14ac:dyDescent="0.35">
      <c r="A81" s="200"/>
      <c r="B81" s="37">
        <v>78</v>
      </c>
      <c r="C81" s="197"/>
      <c r="D81" s="34" t="s">
        <v>157</v>
      </c>
      <c r="E81" s="41" t="s">
        <v>8</v>
      </c>
      <c r="F81" s="43" t="s">
        <v>28</v>
      </c>
      <c r="G81" s="37" t="s">
        <v>29</v>
      </c>
      <c r="H81" s="37" t="s">
        <v>8</v>
      </c>
      <c r="I81" s="37" t="s">
        <v>9</v>
      </c>
      <c r="J81" s="36">
        <v>200</v>
      </c>
      <c r="K81" s="27">
        <f>0</f>
        <v>0</v>
      </c>
      <c r="L81" s="127">
        <f t="shared" si="7"/>
        <v>0</v>
      </c>
      <c r="M81" s="127">
        <f t="shared" si="6"/>
        <v>0</v>
      </c>
      <c r="N81" s="128"/>
      <c r="O81" s="129">
        <f t="shared" si="8"/>
        <v>0</v>
      </c>
      <c r="P81" s="128"/>
      <c r="Q81" s="128"/>
      <c r="R81" s="128"/>
      <c r="S81" s="167">
        <f t="shared" si="9"/>
        <v>0</v>
      </c>
      <c r="T81" s="25" t="str">
        <f t="shared" si="10"/>
        <v>OK</v>
      </c>
      <c r="U81" s="138"/>
      <c r="V81" s="138"/>
      <c r="W81" s="138"/>
      <c r="X81" s="139"/>
      <c r="Y81" s="139"/>
      <c r="Z81" s="138"/>
      <c r="AA81" s="138"/>
      <c r="AB81" s="138"/>
      <c r="AC81" s="138"/>
      <c r="AD81" s="138"/>
      <c r="AE81" s="138"/>
      <c r="AF81" s="138"/>
      <c r="AG81" s="178"/>
      <c r="AH81" s="178"/>
      <c r="AI81" s="178"/>
      <c r="AJ81" s="178"/>
      <c r="AK81" s="178"/>
      <c r="AL81" s="178"/>
      <c r="AM81" s="178"/>
      <c r="AN81" s="178"/>
      <c r="AO81" s="178"/>
      <c r="AP81" s="187"/>
    </row>
    <row r="82" spans="1:42" ht="15" thickBot="1" x14ac:dyDescent="0.4">
      <c r="K82" s="4">
        <f>SUM(K4:K81)</f>
        <v>375</v>
      </c>
      <c r="N82" s="132"/>
      <c r="O82" s="132">
        <f t="shared" si="8"/>
        <v>93</v>
      </c>
      <c r="P82" s="132"/>
      <c r="Q82" s="132"/>
      <c r="R82" s="132"/>
      <c r="S82" s="12">
        <f>SUM(S4:S81)</f>
        <v>241</v>
      </c>
      <c r="U82" s="147">
        <f>SUMPRODUCT($J$4:$J$81,U4:U81)</f>
        <v>9039.64</v>
      </c>
      <c r="V82" s="147">
        <f t="shared" ref="V82:AG82" si="11">SUMPRODUCT($J$4:$J$81,V4:V81)</f>
        <v>1651.67</v>
      </c>
      <c r="W82" s="147">
        <f t="shared" si="11"/>
        <v>9564</v>
      </c>
      <c r="X82" s="147">
        <f t="shared" si="11"/>
        <v>1800</v>
      </c>
      <c r="Y82" s="147">
        <f t="shared" si="11"/>
        <v>2700</v>
      </c>
      <c r="Z82" s="147">
        <f t="shared" si="11"/>
        <v>41441.050000000003</v>
      </c>
      <c r="AA82" s="147">
        <f t="shared" si="11"/>
        <v>19106.400000000001</v>
      </c>
      <c r="AB82" s="147">
        <f t="shared" si="11"/>
        <v>26892</v>
      </c>
      <c r="AC82" s="147">
        <f t="shared" si="11"/>
        <v>6606.68</v>
      </c>
      <c r="AD82" s="147">
        <f t="shared" si="11"/>
        <v>1651.67</v>
      </c>
      <c r="AE82" s="147">
        <f t="shared" si="11"/>
        <v>3303.34</v>
      </c>
      <c r="AF82" s="147">
        <f t="shared" si="11"/>
        <v>5750</v>
      </c>
      <c r="AG82" s="111">
        <f t="shared" si="11"/>
        <v>14350</v>
      </c>
      <c r="AH82" s="111">
        <f t="shared" ref="AH82" si="12">SUMPRODUCT($J$4:$J$81,AH4:AH81)</f>
        <v>800</v>
      </c>
      <c r="AI82" s="111">
        <f t="shared" ref="AI82" si="13">SUMPRODUCT($J$4:$J$81,AI4:AI81)</f>
        <v>11561.69</v>
      </c>
      <c r="AJ82" s="111">
        <f t="shared" ref="AJ82" si="14">SUMPRODUCT($J$4:$J$81,AJ4:AJ81)</f>
        <v>3617.48</v>
      </c>
      <c r="AK82" s="111">
        <f t="shared" ref="AK82" si="15">SUMPRODUCT($J$4:$J$81,AK4:AK81)</f>
        <v>13446</v>
      </c>
      <c r="AL82" s="111">
        <f t="shared" ref="AL82" si="16">SUMPRODUCT($J$4:$J$81,AL4:AL81)</f>
        <v>1700</v>
      </c>
      <c r="AM82" s="111">
        <f t="shared" ref="AM82" si="17">SUMPRODUCT($J$4:$J$81,AM4:AM81)</f>
        <v>7234.96</v>
      </c>
      <c r="AN82" s="111">
        <f t="shared" ref="AN82" si="18">SUMPRODUCT($J$4:$J$81,AN4:AN81)</f>
        <v>26892</v>
      </c>
      <c r="AO82" s="111">
        <f t="shared" ref="AO82" si="19">SUMPRODUCT($J$4:$J$81,AO4:AO81)</f>
        <v>50</v>
      </c>
      <c r="AP82" s="111">
        <f t="shared" ref="AP82" si="20">SUMPRODUCT($J$4:$J$81,AP4:AP81)</f>
        <v>0</v>
      </c>
    </row>
    <row r="83" spans="1:42" ht="14.5" x14ac:dyDescent="0.35">
      <c r="D83" s="31" t="s">
        <v>53</v>
      </c>
      <c r="K83" s="132">
        <f>SUMPRODUCT($J$4:$J$81,K4:K81)</f>
        <v>593780.18999999994</v>
      </c>
      <c r="L83" s="132">
        <f>SUMPRODUCT($J$4:$J$81,L4:L81)</f>
        <v>209158.58000000002</v>
      </c>
      <c r="M83" s="132">
        <f>SUMPRODUCT($J$4:$J$81,M4:M81)</f>
        <v>209158.58000000002</v>
      </c>
      <c r="R83" s="126"/>
      <c r="U83" s="142"/>
      <c r="V83" s="142"/>
      <c r="W83" s="142"/>
      <c r="X83" s="142"/>
      <c r="Y83" s="142"/>
      <c r="Z83" s="142"/>
      <c r="AA83" s="142"/>
      <c r="AB83" s="142"/>
      <c r="AC83" s="142"/>
      <c r="AD83" s="142"/>
      <c r="AE83" s="142"/>
      <c r="AF83" s="142"/>
    </row>
    <row r="84" spans="1:42" ht="29" x14ac:dyDescent="0.35">
      <c r="D84" s="32" t="s">
        <v>54</v>
      </c>
      <c r="R84" s="125"/>
      <c r="U84" s="142"/>
      <c r="V84" s="142"/>
      <c r="W84" s="142"/>
      <c r="X84" s="142"/>
      <c r="Y84" s="142"/>
      <c r="Z84" s="142"/>
      <c r="AA84" s="142"/>
      <c r="AB84" s="142"/>
      <c r="AC84" s="142"/>
      <c r="AD84" s="142"/>
      <c r="AE84" s="142"/>
      <c r="AF84" s="142"/>
    </row>
    <row r="85" spans="1:42" ht="15.75" customHeight="1" thickBot="1" x14ac:dyDescent="0.4">
      <c r="D85" s="33" t="s">
        <v>55</v>
      </c>
      <c r="R85" s="125"/>
      <c r="U85" s="142"/>
      <c r="V85" s="142"/>
      <c r="W85" s="142"/>
      <c r="X85" s="142"/>
      <c r="Y85" s="142"/>
      <c r="Z85" s="142"/>
      <c r="AA85" s="142"/>
      <c r="AB85" s="142"/>
      <c r="AC85" s="142"/>
      <c r="AD85" s="142"/>
      <c r="AE85" s="142"/>
      <c r="AF85" s="142"/>
    </row>
    <row r="86" spans="1:42" ht="14.5" x14ac:dyDescent="0.35"/>
    <row r="87" spans="1:42" ht="14.5" x14ac:dyDescent="0.35"/>
    <row r="88" spans="1:42" ht="14.5" x14ac:dyDescent="0.35"/>
    <row r="89" spans="1:42" ht="14.5" x14ac:dyDescent="0.35"/>
    <row r="90" spans="1:42" ht="14.5" x14ac:dyDescent="0.35"/>
    <row r="91" spans="1:42" ht="14.5" x14ac:dyDescent="0.35"/>
    <row r="92" spans="1:42" ht="14.5" x14ac:dyDescent="0.35"/>
  </sheetData>
  <mergeCells count="37">
    <mergeCell ref="A69:A78"/>
    <mergeCell ref="C69:C78"/>
    <mergeCell ref="A79:A81"/>
    <mergeCell ref="C79:C81"/>
    <mergeCell ref="A38:A48"/>
    <mergeCell ref="C38:C48"/>
    <mergeCell ref="A49:A59"/>
    <mergeCell ref="C49:C59"/>
    <mergeCell ref="A60:A68"/>
    <mergeCell ref="C60:C68"/>
    <mergeCell ref="AB1:AB2"/>
    <mergeCell ref="AC1:AC2"/>
    <mergeCell ref="AD1:AD2"/>
    <mergeCell ref="AE1:AE2"/>
    <mergeCell ref="AF1:AF2"/>
    <mergeCell ref="Z1:Z2"/>
    <mergeCell ref="AA1:AA2"/>
    <mergeCell ref="A1:C1"/>
    <mergeCell ref="D1:J1"/>
    <mergeCell ref="K1:T1"/>
    <mergeCell ref="U1:U2"/>
    <mergeCell ref="V1:V2"/>
    <mergeCell ref="A2:J2"/>
    <mergeCell ref="K2:T2"/>
    <mergeCell ref="W1:W2"/>
    <mergeCell ref="X1:X2"/>
    <mergeCell ref="Y1:Y2"/>
    <mergeCell ref="AP1:AP2"/>
    <mergeCell ref="AG1:AG2"/>
    <mergeCell ref="AH1:AH2"/>
    <mergeCell ref="AI1:AI2"/>
    <mergeCell ref="AJ1:AJ2"/>
    <mergeCell ref="AK1:AK2"/>
    <mergeCell ref="AL1:AL2"/>
    <mergeCell ref="AM1:AM2"/>
    <mergeCell ref="AN1:AN2"/>
    <mergeCell ref="AO1:AO2"/>
  </mergeCells>
  <conditionalFormatting sqref="T1 T3:T1048576">
    <cfRule type="cellIs" dxfId="46" priority="8" operator="equal">
      <formula>"ATENÇÃO"</formula>
    </cfRule>
  </conditionalFormatting>
  <conditionalFormatting sqref="AO4:AO81 AL4:AL81">
    <cfRule type="cellIs" dxfId="45" priority="6" operator="greaterThan">
      <formula>0</formula>
    </cfRule>
  </conditionalFormatting>
  <conditionalFormatting sqref="AG4:AH81">
    <cfRule type="cellIs" dxfId="44" priority="5" operator="greaterThan">
      <formula>0</formula>
    </cfRule>
  </conditionalFormatting>
  <conditionalFormatting sqref="AI4:AI81">
    <cfRule type="cellIs" dxfId="43" priority="4" operator="greaterThan">
      <formula>0</formula>
    </cfRule>
  </conditionalFormatting>
  <conditionalFormatting sqref="AJ4:AJ81">
    <cfRule type="cellIs" dxfId="42" priority="3" operator="greaterThan">
      <formula>0</formula>
    </cfRule>
  </conditionalFormatting>
  <conditionalFormatting sqref="AK4:AK81">
    <cfRule type="cellIs" dxfId="41" priority="2" operator="greaterThan">
      <formula>0</formula>
    </cfRule>
  </conditionalFormatting>
  <conditionalFormatting sqref="AM4:AN81">
    <cfRule type="cellIs" dxfId="40" priority="1" operator="greaterThan">
      <formula>0</formula>
    </cfRule>
  </conditionalFormatting>
  <pageMargins left="0.511811024" right="0.511811024" top="0.78740157499999996" bottom="0.78740157499999996" header="0.31496062000000002" footer="0.31496062000000002"/>
  <pageSetup paperSize="9" scale="60" orientation="landscape" r:id="rId1"/>
  <colBreaks count="1" manualBreakCount="1">
    <brk id="23"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33DF9-4D43-4611-88F8-95AB77556FA1}">
  <dimension ref="A1:AE92"/>
  <sheetViews>
    <sheetView topLeftCell="A36" zoomScale="90" zoomScaleNormal="90" workbookViewId="0">
      <selection activeCell="B45" sqref="A45:XFD45"/>
    </sheetView>
  </sheetViews>
  <sheetFormatPr defaultColWidth="9.7265625" defaultRowHeight="30.25" customHeight="1" x14ac:dyDescent="0.35"/>
  <cols>
    <col min="1" max="1" width="6.1796875" style="1" customWidth="1"/>
    <col min="2" max="2" width="6.453125" style="1" customWidth="1"/>
    <col min="3" max="3" width="14.453125" style="1" customWidth="1"/>
    <col min="4" max="4" width="22.54296875" style="3" customWidth="1"/>
    <col min="5" max="5" width="8.453125" style="1" customWidth="1"/>
    <col min="6" max="6" width="8.54296875" style="1" customWidth="1"/>
    <col min="7" max="7" width="8.453125" style="1" customWidth="1"/>
    <col min="8" max="8" width="8.26953125" style="1" customWidth="1"/>
    <col min="9" max="9" width="11.54296875" style="1" customWidth="1"/>
    <col min="10" max="10" width="14.26953125" style="3" customWidth="1"/>
    <col min="11" max="11" width="12.81640625" style="4" customWidth="1"/>
    <col min="12" max="12" width="11.81640625" style="4" customWidth="1"/>
    <col min="13" max="13" width="12.54296875" style="4" customWidth="1"/>
    <col min="14" max="14" width="12.453125" style="4" customWidth="1"/>
    <col min="15" max="15" width="12.1796875" style="4" customWidth="1"/>
    <col min="16" max="17" width="12.453125" style="4" customWidth="1"/>
    <col min="18" max="18" width="16.453125" style="4" bestFit="1" customWidth="1"/>
    <col min="19" max="19" width="13.26953125" style="12" customWidth="1"/>
    <col min="20" max="20" width="12.453125" style="5" customWidth="1"/>
    <col min="21" max="21" width="14.81640625" style="6" customWidth="1"/>
    <col min="22" max="22" width="13.7265625" style="6" customWidth="1"/>
    <col min="23" max="23" width="13.453125" style="6" customWidth="1"/>
    <col min="24" max="25" width="14.1796875" style="6" customWidth="1"/>
    <col min="26" max="26" width="12.453125" style="6" customWidth="1"/>
    <col min="27" max="27" width="14.453125" style="6" customWidth="1"/>
    <col min="28" max="28" width="18.1796875" style="6" bestFit="1" customWidth="1"/>
    <col min="29" max="29" width="12.7265625" style="6" customWidth="1"/>
    <col min="30" max="30" width="12.453125" style="2" customWidth="1"/>
    <col min="31" max="31" width="13.7265625" style="2" customWidth="1"/>
    <col min="32" max="16384" width="9.7265625" style="2"/>
  </cols>
  <sheetData>
    <row r="1" spans="1:31" ht="40.15" customHeight="1" x14ac:dyDescent="0.35">
      <c r="A1" s="202" t="s">
        <v>52</v>
      </c>
      <c r="B1" s="203"/>
      <c r="C1" s="204"/>
      <c r="D1" s="211" t="s">
        <v>48</v>
      </c>
      <c r="E1" s="212"/>
      <c r="F1" s="212"/>
      <c r="G1" s="212"/>
      <c r="H1" s="212"/>
      <c r="I1" s="212"/>
      <c r="J1" s="213"/>
      <c r="K1" s="201" t="s">
        <v>49</v>
      </c>
      <c r="L1" s="201"/>
      <c r="M1" s="201"/>
      <c r="N1" s="201"/>
      <c r="O1" s="201"/>
      <c r="P1" s="201"/>
      <c r="Q1" s="201"/>
      <c r="R1" s="201"/>
      <c r="S1" s="201"/>
      <c r="T1" s="201"/>
      <c r="U1" s="221" t="s">
        <v>269</v>
      </c>
      <c r="V1" s="221" t="s">
        <v>270</v>
      </c>
      <c r="W1" s="221" t="s">
        <v>271</v>
      </c>
      <c r="X1" s="221" t="s">
        <v>272</v>
      </c>
      <c r="Y1" s="221" t="s">
        <v>273</v>
      </c>
      <c r="Z1" s="221" t="s">
        <v>274</v>
      </c>
      <c r="AA1" s="221" t="s">
        <v>275</v>
      </c>
      <c r="AB1" s="219" t="s">
        <v>339</v>
      </c>
      <c r="AC1" s="219" t="s">
        <v>340</v>
      </c>
      <c r="AD1" s="219" t="s">
        <v>328</v>
      </c>
      <c r="AE1" s="219" t="s">
        <v>329</v>
      </c>
    </row>
    <row r="2" spans="1:31" ht="25" customHeight="1" x14ac:dyDescent="0.35">
      <c r="A2" s="211" t="s">
        <v>36</v>
      </c>
      <c r="B2" s="212"/>
      <c r="C2" s="212"/>
      <c r="D2" s="212"/>
      <c r="E2" s="212"/>
      <c r="F2" s="212"/>
      <c r="G2" s="212"/>
      <c r="H2" s="212"/>
      <c r="I2" s="212"/>
      <c r="J2" s="213"/>
      <c r="K2" s="214" t="s">
        <v>62</v>
      </c>
      <c r="L2" s="215"/>
      <c r="M2" s="215"/>
      <c r="N2" s="215"/>
      <c r="O2" s="215"/>
      <c r="P2" s="215"/>
      <c r="Q2" s="215"/>
      <c r="R2" s="215"/>
      <c r="S2" s="215"/>
      <c r="T2" s="216"/>
      <c r="U2" s="222"/>
      <c r="V2" s="222"/>
      <c r="W2" s="222"/>
      <c r="X2" s="222"/>
      <c r="Y2" s="222"/>
      <c r="Z2" s="222"/>
      <c r="AA2" s="222"/>
      <c r="AB2" s="220"/>
      <c r="AC2" s="220"/>
      <c r="AD2" s="220"/>
      <c r="AE2" s="220"/>
    </row>
    <row r="3" spans="1:31" s="3" customFormat="1" ht="30.25" customHeight="1" x14ac:dyDescent="0.25">
      <c r="A3" s="7" t="s">
        <v>3</v>
      </c>
      <c r="B3" s="7" t="s">
        <v>56</v>
      </c>
      <c r="C3" s="7" t="s">
        <v>57</v>
      </c>
      <c r="D3" s="8" t="s">
        <v>58</v>
      </c>
      <c r="E3" s="8" t="s">
        <v>59</v>
      </c>
      <c r="F3" s="8" t="s">
        <v>18</v>
      </c>
      <c r="G3" s="8" t="s">
        <v>19</v>
      </c>
      <c r="H3" s="8" t="s">
        <v>60</v>
      </c>
      <c r="I3" s="8" t="s">
        <v>61</v>
      </c>
      <c r="J3" s="9" t="s">
        <v>50</v>
      </c>
      <c r="K3" s="10" t="s">
        <v>4</v>
      </c>
      <c r="L3" s="52" t="s">
        <v>207</v>
      </c>
      <c r="M3" s="52" t="s">
        <v>208</v>
      </c>
      <c r="N3" s="52" t="s">
        <v>209</v>
      </c>
      <c r="O3" s="52" t="s">
        <v>210</v>
      </c>
      <c r="P3" s="52" t="s">
        <v>211</v>
      </c>
      <c r="Q3" s="52" t="s">
        <v>213</v>
      </c>
      <c r="R3" s="52" t="s">
        <v>214</v>
      </c>
      <c r="S3" s="11" t="s">
        <v>0</v>
      </c>
      <c r="T3" s="7" t="s">
        <v>2</v>
      </c>
      <c r="U3" s="149">
        <v>45456</v>
      </c>
      <c r="V3" s="149">
        <v>45456</v>
      </c>
      <c r="W3" s="149">
        <v>45456</v>
      </c>
      <c r="X3" s="149">
        <v>45519</v>
      </c>
      <c r="Y3" s="149">
        <v>45532</v>
      </c>
      <c r="Z3" s="149">
        <v>45588</v>
      </c>
      <c r="AA3" s="149">
        <v>45588</v>
      </c>
      <c r="AB3" s="58">
        <v>45604</v>
      </c>
      <c r="AC3" s="58">
        <v>45726</v>
      </c>
      <c r="AD3" s="58">
        <v>45757</v>
      </c>
      <c r="AE3" s="58">
        <v>45757</v>
      </c>
    </row>
    <row r="4" spans="1:31" ht="30.25" customHeight="1" x14ac:dyDescent="0.35">
      <c r="A4" s="37">
        <v>1</v>
      </c>
      <c r="B4" s="37">
        <v>1</v>
      </c>
      <c r="C4" s="35" t="s">
        <v>63</v>
      </c>
      <c r="D4" s="34" t="s">
        <v>64</v>
      </c>
      <c r="E4" s="35" t="s">
        <v>65</v>
      </c>
      <c r="F4" s="35" t="s">
        <v>20</v>
      </c>
      <c r="G4" s="35" t="s">
        <v>66</v>
      </c>
      <c r="H4" s="35" t="s">
        <v>5</v>
      </c>
      <c r="I4" s="35" t="s">
        <v>6</v>
      </c>
      <c r="J4" s="36">
        <v>1670</v>
      </c>
      <c r="K4" s="27">
        <f>10</f>
        <v>10</v>
      </c>
      <c r="L4" s="127">
        <f t="shared" ref="L4:L35" si="0">IF(SUM(U4:AI4)&gt;K4+N4,K4+N4,SUM(U4:AI4))</f>
        <v>10</v>
      </c>
      <c r="M4" s="127">
        <f t="shared" ref="M4:M35" si="1">(SUM(U4:AI4))</f>
        <v>10</v>
      </c>
      <c r="N4" s="128"/>
      <c r="O4" s="129">
        <f>ROUND(IF(K4*0.25-0.5&lt;0,0,K4*0.25-0.5),0)-R4-P4</f>
        <v>2</v>
      </c>
      <c r="P4" s="128"/>
      <c r="Q4" s="128"/>
      <c r="R4" s="128"/>
      <c r="S4" s="26">
        <f t="shared" ref="S4:S35" si="2">K4-SUM(U4:AE4)+N4</f>
        <v>0</v>
      </c>
      <c r="T4" s="25" t="str">
        <f>IF(S4&lt;0,"ATENÇÃO","OK")</f>
        <v>OK</v>
      </c>
      <c r="U4" s="150">
        <v>10</v>
      </c>
      <c r="V4" s="138"/>
      <c r="W4" s="138"/>
      <c r="X4" s="138"/>
      <c r="Y4" s="139"/>
      <c r="Z4" s="139"/>
      <c r="AA4" s="139"/>
      <c r="AB4" s="171"/>
      <c r="AC4" s="171"/>
      <c r="AD4" s="171"/>
      <c r="AE4" s="171"/>
    </row>
    <row r="5" spans="1:31" ht="30.25" customHeight="1" x14ac:dyDescent="0.35">
      <c r="A5" s="44">
        <v>2</v>
      </c>
      <c r="B5" s="44">
        <v>2</v>
      </c>
      <c r="C5" s="45" t="s">
        <v>67</v>
      </c>
      <c r="D5" s="46" t="s">
        <v>68</v>
      </c>
      <c r="E5" s="45" t="s">
        <v>69</v>
      </c>
      <c r="F5" s="45" t="s">
        <v>20</v>
      </c>
      <c r="G5" s="45" t="s">
        <v>66</v>
      </c>
      <c r="H5" s="45" t="s">
        <v>5</v>
      </c>
      <c r="I5" s="45" t="s">
        <v>6</v>
      </c>
      <c r="J5" s="47">
        <v>1651.67</v>
      </c>
      <c r="K5" s="27">
        <f>0</f>
        <v>0</v>
      </c>
      <c r="L5" s="127">
        <f t="shared" si="0"/>
        <v>0</v>
      </c>
      <c r="M5" s="127">
        <f t="shared" si="1"/>
        <v>0</v>
      </c>
      <c r="N5" s="128"/>
      <c r="O5" s="129">
        <f t="shared" ref="O5:O68" si="3">ROUND(IF(K5*0.25-0.5&lt;0,0,K5*0.25-0.5),0)-R5-P5</f>
        <v>0</v>
      </c>
      <c r="P5" s="128"/>
      <c r="Q5" s="128"/>
      <c r="R5" s="128"/>
      <c r="S5" s="26">
        <f t="shared" si="2"/>
        <v>0</v>
      </c>
      <c r="T5" s="25" t="str">
        <f t="shared" ref="T5:T68" si="4">IF(S5&lt;0,"ATENÇÃO","OK")</f>
        <v>OK</v>
      </c>
      <c r="U5" s="138"/>
      <c r="V5" s="138"/>
      <c r="W5" s="138"/>
      <c r="X5" s="138"/>
      <c r="Y5" s="139"/>
      <c r="Z5" s="139"/>
      <c r="AA5" s="139"/>
      <c r="AB5" s="171"/>
      <c r="AC5" s="171"/>
      <c r="AD5" s="171"/>
      <c r="AE5" s="171"/>
    </row>
    <row r="6" spans="1:31" ht="30.25" customHeight="1" x14ac:dyDescent="0.35">
      <c r="A6" s="37">
        <v>3</v>
      </c>
      <c r="B6" s="37">
        <v>3</v>
      </c>
      <c r="C6" s="35" t="s">
        <v>63</v>
      </c>
      <c r="D6" s="34" t="s">
        <v>70</v>
      </c>
      <c r="E6" s="35" t="s">
        <v>71</v>
      </c>
      <c r="F6" s="35" t="s">
        <v>20</v>
      </c>
      <c r="G6" s="35" t="s">
        <v>72</v>
      </c>
      <c r="H6" s="35" t="s">
        <v>5</v>
      </c>
      <c r="I6" s="35" t="s">
        <v>6</v>
      </c>
      <c r="J6" s="36">
        <v>1802</v>
      </c>
      <c r="K6" s="27">
        <f>10</f>
        <v>10</v>
      </c>
      <c r="L6" s="127">
        <f t="shared" si="0"/>
        <v>10</v>
      </c>
      <c r="M6" s="127">
        <f t="shared" si="1"/>
        <v>10</v>
      </c>
      <c r="N6" s="128"/>
      <c r="O6" s="129">
        <f t="shared" si="3"/>
        <v>2</v>
      </c>
      <c r="P6" s="128"/>
      <c r="Q6" s="128"/>
      <c r="R6" s="128"/>
      <c r="S6" s="26">
        <f t="shared" si="2"/>
        <v>0</v>
      </c>
      <c r="T6" s="25" t="str">
        <f t="shared" si="4"/>
        <v>OK</v>
      </c>
      <c r="U6" s="150">
        <v>10</v>
      </c>
      <c r="V6" s="138"/>
      <c r="W6" s="138"/>
      <c r="X6" s="138"/>
      <c r="Y6" s="139"/>
      <c r="Z6" s="139"/>
      <c r="AA6" s="139"/>
      <c r="AB6" s="171"/>
      <c r="AC6" s="171"/>
      <c r="AD6" s="171"/>
      <c r="AE6" s="171"/>
    </row>
    <row r="7" spans="1:31" ht="30.25" customHeight="1" x14ac:dyDescent="0.35">
      <c r="A7" s="44">
        <v>4</v>
      </c>
      <c r="B7" s="44">
        <v>4</v>
      </c>
      <c r="C7" s="45" t="s">
        <v>67</v>
      </c>
      <c r="D7" s="46" t="s">
        <v>73</v>
      </c>
      <c r="E7" s="45" t="s">
        <v>74</v>
      </c>
      <c r="F7" s="45" t="s">
        <v>20</v>
      </c>
      <c r="G7" s="45" t="s">
        <v>75</v>
      </c>
      <c r="H7" s="45" t="s">
        <v>5</v>
      </c>
      <c r="I7" s="45" t="s">
        <v>6</v>
      </c>
      <c r="J7" s="47">
        <v>1800</v>
      </c>
      <c r="K7" s="27">
        <f>0</f>
        <v>0</v>
      </c>
      <c r="L7" s="127">
        <f t="shared" si="0"/>
        <v>0</v>
      </c>
      <c r="M7" s="127">
        <f t="shared" si="1"/>
        <v>0</v>
      </c>
      <c r="N7" s="128"/>
      <c r="O7" s="129">
        <f t="shared" si="3"/>
        <v>0</v>
      </c>
      <c r="P7" s="128"/>
      <c r="Q7" s="128"/>
      <c r="R7" s="128"/>
      <c r="S7" s="26">
        <f t="shared" si="2"/>
        <v>0</v>
      </c>
      <c r="T7" s="25" t="str">
        <f t="shared" si="4"/>
        <v>OK</v>
      </c>
      <c r="U7" s="138"/>
      <c r="V7" s="138"/>
      <c r="W7" s="138"/>
      <c r="X7" s="138"/>
      <c r="Y7" s="139"/>
      <c r="Z7" s="139"/>
      <c r="AA7" s="139"/>
      <c r="AB7" s="171"/>
      <c r="AC7" s="171"/>
      <c r="AD7" s="171"/>
      <c r="AE7" s="171"/>
    </row>
    <row r="8" spans="1:31" ht="30.25" customHeight="1" x14ac:dyDescent="0.35">
      <c r="A8" s="37">
        <v>5</v>
      </c>
      <c r="B8" s="37">
        <v>5</v>
      </c>
      <c r="C8" s="35" t="s">
        <v>63</v>
      </c>
      <c r="D8" s="34" t="s">
        <v>76</v>
      </c>
      <c r="E8" s="35" t="s">
        <v>77</v>
      </c>
      <c r="F8" s="35" t="s">
        <v>20</v>
      </c>
      <c r="G8" s="35" t="s">
        <v>78</v>
      </c>
      <c r="H8" s="35" t="s">
        <v>5</v>
      </c>
      <c r="I8" s="35" t="s">
        <v>6</v>
      </c>
      <c r="J8" s="36">
        <v>2686</v>
      </c>
      <c r="K8" s="27">
        <f>10</f>
        <v>10</v>
      </c>
      <c r="L8" s="127">
        <f t="shared" si="0"/>
        <v>10</v>
      </c>
      <c r="M8" s="127">
        <f t="shared" si="1"/>
        <v>10</v>
      </c>
      <c r="N8" s="128"/>
      <c r="O8" s="129">
        <f t="shared" si="3"/>
        <v>2</v>
      </c>
      <c r="P8" s="128"/>
      <c r="Q8" s="128"/>
      <c r="R8" s="128"/>
      <c r="S8" s="26">
        <f t="shared" si="2"/>
        <v>0</v>
      </c>
      <c r="T8" s="25" t="str">
        <f t="shared" si="4"/>
        <v>OK</v>
      </c>
      <c r="U8" s="150">
        <v>10</v>
      </c>
      <c r="V8" s="138"/>
      <c r="W8" s="138"/>
      <c r="X8" s="138"/>
      <c r="Y8" s="139"/>
      <c r="Z8" s="139"/>
      <c r="AA8" s="139"/>
      <c r="AB8" s="171"/>
      <c r="AC8" s="171"/>
      <c r="AD8" s="171"/>
      <c r="AE8" s="171"/>
    </row>
    <row r="9" spans="1:31" ht="55.75" customHeight="1" x14ac:dyDescent="0.35">
      <c r="A9" s="80">
        <v>6</v>
      </c>
      <c r="B9" s="80">
        <v>6</v>
      </c>
      <c r="C9" s="81" t="s">
        <v>67</v>
      </c>
      <c r="D9" s="82" t="s">
        <v>79</v>
      </c>
      <c r="E9" s="87" t="s">
        <v>182</v>
      </c>
      <c r="F9" s="81" t="s">
        <v>20</v>
      </c>
      <c r="G9" s="81" t="s">
        <v>21</v>
      </c>
      <c r="H9" s="81" t="s">
        <v>5</v>
      </c>
      <c r="I9" s="81" t="s">
        <v>6</v>
      </c>
      <c r="J9" s="83">
        <v>2821.51</v>
      </c>
      <c r="K9" s="27">
        <f>0</f>
        <v>0</v>
      </c>
      <c r="L9" s="127">
        <f t="shared" si="0"/>
        <v>0</v>
      </c>
      <c r="M9" s="127">
        <f t="shared" si="1"/>
        <v>0</v>
      </c>
      <c r="N9" s="128"/>
      <c r="O9" s="129">
        <f t="shared" si="3"/>
        <v>0</v>
      </c>
      <c r="P9" s="128"/>
      <c r="Q9" s="128"/>
      <c r="R9" s="128"/>
      <c r="S9" s="26">
        <f t="shared" si="2"/>
        <v>0</v>
      </c>
      <c r="T9" s="25" t="str">
        <f t="shared" si="4"/>
        <v>OK</v>
      </c>
      <c r="U9" s="138"/>
      <c r="V9" s="138"/>
      <c r="W9" s="138"/>
      <c r="X9" s="138"/>
      <c r="Y9" s="139"/>
      <c r="Z9" s="139"/>
      <c r="AA9" s="139"/>
      <c r="AB9" s="171"/>
      <c r="AC9" s="171"/>
      <c r="AD9" s="171"/>
      <c r="AE9" s="171"/>
    </row>
    <row r="10" spans="1:31" ht="30.25" customHeight="1" x14ac:dyDescent="0.35">
      <c r="A10" s="37">
        <v>7</v>
      </c>
      <c r="B10" s="37">
        <v>7</v>
      </c>
      <c r="C10" s="35" t="s">
        <v>63</v>
      </c>
      <c r="D10" s="34" t="s">
        <v>80</v>
      </c>
      <c r="E10" s="35" t="s">
        <v>81</v>
      </c>
      <c r="F10" s="35" t="s">
        <v>20</v>
      </c>
      <c r="G10" s="35" t="s">
        <v>21</v>
      </c>
      <c r="H10" s="35" t="s">
        <v>5</v>
      </c>
      <c r="I10" s="35" t="s">
        <v>6</v>
      </c>
      <c r="J10" s="36">
        <v>7446</v>
      </c>
      <c r="K10" s="27">
        <f>0</f>
        <v>0</v>
      </c>
      <c r="L10" s="127">
        <f t="shared" si="0"/>
        <v>0</v>
      </c>
      <c r="M10" s="127">
        <f t="shared" si="1"/>
        <v>0</v>
      </c>
      <c r="N10" s="128"/>
      <c r="O10" s="129">
        <f t="shared" si="3"/>
        <v>0</v>
      </c>
      <c r="P10" s="128"/>
      <c r="Q10" s="128"/>
      <c r="R10" s="128"/>
      <c r="S10" s="26">
        <f t="shared" si="2"/>
        <v>0</v>
      </c>
      <c r="T10" s="25" t="str">
        <f t="shared" si="4"/>
        <v>OK</v>
      </c>
      <c r="U10" s="138"/>
      <c r="V10" s="138"/>
      <c r="W10" s="138"/>
      <c r="X10" s="138"/>
      <c r="Y10" s="139"/>
      <c r="Z10" s="139"/>
      <c r="AA10" s="139"/>
      <c r="AB10" s="171"/>
      <c r="AC10" s="171"/>
      <c r="AD10" s="171"/>
      <c r="AE10" s="171"/>
    </row>
    <row r="11" spans="1:31" ht="30.25" customHeight="1" x14ac:dyDescent="0.35">
      <c r="A11" s="44">
        <v>8</v>
      </c>
      <c r="B11" s="44">
        <v>8</v>
      </c>
      <c r="C11" s="45" t="s">
        <v>63</v>
      </c>
      <c r="D11" s="46" t="s">
        <v>82</v>
      </c>
      <c r="E11" s="45" t="s">
        <v>81</v>
      </c>
      <c r="F11" s="45" t="s">
        <v>20</v>
      </c>
      <c r="G11" s="45" t="s">
        <v>21</v>
      </c>
      <c r="H11" s="45" t="s">
        <v>5</v>
      </c>
      <c r="I11" s="45" t="s">
        <v>6</v>
      </c>
      <c r="J11" s="47">
        <v>7375</v>
      </c>
      <c r="K11" s="27">
        <f>0</f>
        <v>0</v>
      </c>
      <c r="L11" s="127">
        <f t="shared" si="0"/>
        <v>0</v>
      </c>
      <c r="M11" s="127">
        <f t="shared" si="1"/>
        <v>0</v>
      </c>
      <c r="N11" s="128"/>
      <c r="O11" s="129">
        <f t="shared" si="3"/>
        <v>0</v>
      </c>
      <c r="P11" s="128"/>
      <c r="Q11" s="128"/>
      <c r="R11" s="128"/>
      <c r="S11" s="26">
        <f t="shared" si="2"/>
        <v>0</v>
      </c>
      <c r="T11" s="25" t="str">
        <f t="shared" si="4"/>
        <v>OK</v>
      </c>
      <c r="U11" s="138"/>
      <c r="V11" s="138"/>
      <c r="W11" s="138"/>
      <c r="X11" s="138"/>
      <c r="Y11" s="139"/>
      <c r="Z11" s="139"/>
      <c r="AA11" s="139"/>
      <c r="AB11" s="171"/>
      <c r="AC11" s="171"/>
      <c r="AD11" s="171"/>
      <c r="AE11" s="171"/>
    </row>
    <row r="12" spans="1:31" ht="30.25" customHeight="1" x14ac:dyDescent="0.35">
      <c r="A12" s="37">
        <v>9</v>
      </c>
      <c r="B12" s="37">
        <v>9</v>
      </c>
      <c r="C12" s="35" t="s">
        <v>83</v>
      </c>
      <c r="D12" s="34" t="s">
        <v>84</v>
      </c>
      <c r="E12" s="35" t="s">
        <v>85</v>
      </c>
      <c r="F12" s="35" t="s">
        <v>20</v>
      </c>
      <c r="G12" s="35" t="s">
        <v>22</v>
      </c>
      <c r="H12" s="35" t="s">
        <v>5</v>
      </c>
      <c r="I12" s="35" t="s">
        <v>6</v>
      </c>
      <c r="J12" s="36">
        <v>6213.51</v>
      </c>
      <c r="K12" s="27">
        <f>5</f>
        <v>5</v>
      </c>
      <c r="L12" s="127">
        <f t="shared" si="0"/>
        <v>5</v>
      </c>
      <c r="M12" s="127">
        <f t="shared" si="1"/>
        <v>5</v>
      </c>
      <c r="N12" s="128"/>
      <c r="O12" s="129">
        <f t="shared" si="3"/>
        <v>1</v>
      </c>
      <c r="P12" s="128"/>
      <c r="Q12" s="128"/>
      <c r="R12" s="128"/>
      <c r="S12" s="26">
        <f t="shared" si="2"/>
        <v>0</v>
      </c>
      <c r="T12" s="25" t="str">
        <f t="shared" si="4"/>
        <v>OK</v>
      </c>
      <c r="U12" s="138"/>
      <c r="V12" s="150">
        <v>5</v>
      </c>
      <c r="W12" s="138"/>
      <c r="X12" s="138"/>
      <c r="Y12" s="139"/>
      <c r="Z12" s="139"/>
      <c r="AA12" s="139"/>
      <c r="AB12" s="171"/>
      <c r="AC12" s="171"/>
      <c r="AD12" s="171"/>
      <c r="AE12" s="171"/>
    </row>
    <row r="13" spans="1:31" ht="30.25" customHeight="1" x14ac:dyDescent="0.35">
      <c r="A13" s="44">
        <v>10</v>
      </c>
      <c r="B13" s="44">
        <v>10</v>
      </c>
      <c r="C13" s="45" t="s">
        <v>63</v>
      </c>
      <c r="D13" s="46" t="s">
        <v>86</v>
      </c>
      <c r="E13" s="45" t="s">
        <v>87</v>
      </c>
      <c r="F13" s="45" t="s">
        <v>20</v>
      </c>
      <c r="G13" s="45" t="s">
        <v>22</v>
      </c>
      <c r="H13" s="45" t="s">
        <v>5</v>
      </c>
      <c r="I13" s="45" t="s">
        <v>6</v>
      </c>
      <c r="J13" s="47">
        <v>6689.61</v>
      </c>
      <c r="K13" s="27">
        <f>0</f>
        <v>0</v>
      </c>
      <c r="L13" s="127">
        <f t="shared" si="0"/>
        <v>0</v>
      </c>
      <c r="M13" s="127">
        <f t="shared" si="1"/>
        <v>0</v>
      </c>
      <c r="N13" s="128"/>
      <c r="O13" s="129">
        <f t="shared" si="3"/>
        <v>0</v>
      </c>
      <c r="P13" s="128"/>
      <c r="Q13" s="128"/>
      <c r="R13" s="128"/>
      <c r="S13" s="26">
        <f t="shared" si="2"/>
        <v>0</v>
      </c>
      <c r="T13" s="25" t="str">
        <f t="shared" si="4"/>
        <v>OK</v>
      </c>
      <c r="U13" s="138"/>
      <c r="V13" s="138"/>
      <c r="W13" s="138"/>
      <c r="X13" s="138"/>
      <c r="Y13" s="139"/>
      <c r="Z13" s="139"/>
      <c r="AA13" s="139"/>
      <c r="AB13" s="171"/>
      <c r="AC13" s="171"/>
      <c r="AD13" s="171"/>
      <c r="AE13" s="171"/>
    </row>
    <row r="14" spans="1:31" ht="30.25" customHeight="1" x14ac:dyDescent="0.35">
      <c r="A14" s="37">
        <v>11</v>
      </c>
      <c r="B14" s="37">
        <v>11</v>
      </c>
      <c r="C14" s="35" t="s">
        <v>83</v>
      </c>
      <c r="D14" s="34" t="s">
        <v>88</v>
      </c>
      <c r="E14" s="35" t="s">
        <v>89</v>
      </c>
      <c r="F14" s="37" t="s">
        <v>20</v>
      </c>
      <c r="G14" s="35" t="s">
        <v>22</v>
      </c>
      <c r="H14" s="37" t="s">
        <v>5</v>
      </c>
      <c r="I14" s="35" t="s">
        <v>6</v>
      </c>
      <c r="J14" s="36">
        <v>3445.06</v>
      </c>
      <c r="K14" s="27">
        <f>4</f>
        <v>4</v>
      </c>
      <c r="L14" s="127">
        <f t="shared" si="0"/>
        <v>4</v>
      </c>
      <c r="M14" s="127">
        <f t="shared" si="1"/>
        <v>4</v>
      </c>
      <c r="N14" s="128"/>
      <c r="O14" s="129">
        <f t="shared" si="3"/>
        <v>1</v>
      </c>
      <c r="P14" s="128"/>
      <c r="Q14" s="128"/>
      <c r="R14" s="128"/>
      <c r="S14" s="26">
        <f t="shared" si="2"/>
        <v>0</v>
      </c>
      <c r="T14" s="25" t="str">
        <f t="shared" si="4"/>
        <v>OK</v>
      </c>
      <c r="U14" s="138"/>
      <c r="V14" s="150">
        <v>4</v>
      </c>
      <c r="W14" s="138"/>
      <c r="X14" s="138"/>
      <c r="Y14" s="139"/>
      <c r="Z14" s="139"/>
      <c r="AA14" s="139"/>
      <c r="AB14" s="171"/>
      <c r="AC14" s="171"/>
      <c r="AD14" s="171"/>
      <c r="AE14" s="171"/>
    </row>
    <row r="15" spans="1:31" ht="30.25" customHeight="1" x14ac:dyDescent="0.35">
      <c r="A15" s="44">
        <v>12</v>
      </c>
      <c r="B15" s="44">
        <v>12</v>
      </c>
      <c r="C15" s="45" t="s">
        <v>83</v>
      </c>
      <c r="D15" s="46" t="s">
        <v>90</v>
      </c>
      <c r="E15" s="45" t="s">
        <v>91</v>
      </c>
      <c r="F15" s="44" t="s">
        <v>20</v>
      </c>
      <c r="G15" s="44" t="s">
        <v>22</v>
      </c>
      <c r="H15" s="44" t="s">
        <v>5</v>
      </c>
      <c r="I15" s="45" t="s">
        <v>6</v>
      </c>
      <c r="J15" s="47">
        <v>3617.48</v>
      </c>
      <c r="K15" s="27">
        <f>0</f>
        <v>0</v>
      </c>
      <c r="L15" s="127">
        <f t="shared" si="0"/>
        <v>0</v>
      </c>
      <c r="M15" s="127">
        <f t="shared" si="1"/>
        <v>0</v>
      </c>
      <c r="N15" s="128"/>
      <c r="O15" s="129">
        <f t="shared" si="3"/>
        <v>0</v>
      </c>
      <c r="P15" s="128"/>
      <c r="Q15" s="128"/>
      <c r="R15" s="128"/>
      <c r="S15" s="26">
        <f t="shared" si="2"/>
        <v>0</v>
      </c>
      <c r="T15" s="25" t="str">
        <f t="shared" si="4"/>
        <v>OK</v>
      </c>
      <c r="U15" s="138"/>
      <c r="V15" s="138"/>
      <c r="W15" s="138"/>
      <c r="X15" s="138"/>
      <c r="Y15" s="139"/>
      <c r="Z15" s="139"/>
      <c r="AA15" s="139"/>
      <c r="AB15" s="171"/>
      <c r="AC15" s="171"/>
      <c r="AD15" s="171"/>
      <c r="AE15" s="171"/>
    </row>
    <row r="16" spans="1:31" ht="30.25" customHeight="1" x14ac:dyDescent="0.35">
      <c r="A16" s="37">
        <v>13</v>
      </c>
      <c r="B16" s="37">
        <v>13</v>
      </c>
      <c r="C16" s="35" t="s">
        <v>92</v>
      </c>
      <c r="D16" s="34" t="s">
        <v>93</v>
      </c>
      <c r="E16" s="35" t="s">
        <v>94</v>
      </c>
      <c r="F16" s="37" t="s">
        <v>20</v>
      </c>
      <c r="G16" s="37" t="s">
        <v>22</v>
      </c>
      <c r="H16" s="37" t="s">
        <v>5</v>
      </c>
      <c r="I16" s="35" t="s">
        <v>6</v>
      </c>
      <c r="J16" s="36">
        <v>7453.33</v>
      </c>
      <c r="K16" s="27">
        <f>0</f>
        <v>0</v>
      </c>
      <c r="L16" s="127">
        <f t="shared" si="0"/>
        <v>0</v>
      </c>
      <c r="M16" s="127">
        <f t="shared" si="1"/>
        <v>0</v>
      </c>
      <c r="N16" s="128"/>
      <c r="O16" s="129">
        <f t="shared" si="3"/>
        <v>0</v>
      </c>
      <c r="P16" s="128"/>
      <c r="Q16" s="128"/>
      <c r="R16" s="128"/>
      <c r="S16" s="26">
        <f t="shared" si="2"/>
        <v>0</v>
      </c>
      <c r="T16" s="25" t="str">
        <f t="shared" si="4"/>
        <v>OK</v>
      </c>
      <c r="U16" s="138"/>
      <c r="V16" s="138"/>
      <c r="W16" s="138"/>
      <c r="X16" s="138"/>
      <c r="Y16" s="139"/>
      <c r="Z16" s="139"/>
      <c r="AA16" s="139"/>
      <c r="AB16" s="171"/>
      <c r="AC16" s="171"/>
      <c r="AD16" s="171"/>
      <c r="AE16" s="171"/>
    </row>
    <row r="17" spans="1:31" ht="30.25" customHeight="1" x14ac:dyDescent="0.35">
      <c r="A17" s="44">
        <v>14</v>
      </c>
      <c r="B17" s="44">
        <v>14</v>
      </c>
      <c r="C17" s="45" t="s">
        <v>92</v>
      </c>
      <c r="D17" s="46" t="s">
        <v>95</v>
      </c>
      <c r="E17" s="45" t="s">
        <v>94</v>
      </c>
      <c r="F17" s="45" t="s">
        <v>20</v>
      </c>
      <c r="G17" s="45" t="s">
        <v>22</v>
      </c>
      <c r="H17" s="45" t="s">
        <v>5</v>
      </c>
      <c r="I17" s="45" t="s">
        <v>6</v>
      </c>
      <c r="J17" s="47">
        <v>9561.2000000000007</v>
      </c>
      <c r="K17" s="27">
        <f>0</f>
        <v>0</v>
      </c>
      <c r="L17" s="127">
        <f t="shared" si="0"/>
        <v>0</v>
      </c>
      <c r="M17" s="127">
        <f t="shared" si="1"/>
        <v>0</v>
      </c>
      <c r="N17" s="128"/>
      <c r="O17" s="129">
        <f t="shared" si="3"/>
        <v>0</v>
      </c>
      <c r="P17" s="128"/>
      <c r="Q17" s="128"/>
      <c r="R17" s="128"/>
      <c r="S17" s="26">
        <f t="shared" si="2"/>
        <v>0</v>
      </c>
      <c r="T17" s="25" t="str">
        <f t="shared" si="4"/>
        <v>OK</v>
      </c>
      <c r="U17" s="138"/>
      <c r="V17" s="138"/>
      <c r="W17" s="138"/>
      <c r="X17" s="138"/>
      <c r="Y17" s="139"/>
      <c r="Z17" s="139"/>
      <c r="AA17" s="139"/>
      <c r="AB17" s="171"/>
      <c r="AC17" s="171"/>
      <c r="AD17" s="171"/>
      <c r="AE17" s="171"/>
    </row>
    <row r="18" spans="1:31" ht="30.25" customHeight="1" x14ac:dyDescent="0.35">
      <c r="A18" s="37">
        <v>15</v>
      </c>
      <c r="B18" s="37">
        <v>15</v>
      </c>
      <c r="C18" s="35" t="s">
        <v>63</v>
      </c>
      <c r="D18" s="34" t="s">
        <v>96</v>
      </c>
      <c r="E18" s="35" t="s">
        <v>97</v>
      </c>
      <c r="F18" s="35" t="s">
        <v>20</v>
      </c>
      <c r="G18" s="35" t="s">
        <v>31</v>
      </c>
      <c r="H18" s="35" t="s">
        <v>5</v>
      </c>
      <c r="I18" s="35" t="s">
        <v>6</v>
      </c>
      <c r="J18" s="36">
        <v>7598</v>
      </c>
      <c r="K18" s="27">
        <f>0</f>
        <v>0</v>
      </c>
      <c r="L18" s="127">
        <f t="shared" si="0"/>
        <v>0</v>
      </c>
      <c r="M18" s="127">
        <f t="shared" si="1"/>
        <v>0</v>
      </c>
      <c r="N18" s="128"/>
      <c r="O18" s="129">
        <f t="shared" si="3"/>
        <v>0</v>
      </c>
      <c r="P18" s="128"/>
      <c r="Q18" s="128"/>
      <c r="R18" s="128"/>
      <c r="S18" s="26">
        <f t="shared" si="2"/>
        <v>0</v>
      </c>
      <c r="T18" s="25" t="str">
        <f t="shared" si="4"/>
        <v>OK</v>
      </c>
      <c r="U18" s="138"/>
      <c r="V18" s="138"/>
      <c r="W18" s="138"/>
      <c r="X18" s="138"/>
      <c r="Y18" s="139"/>
      <c r="Z18" s="139"/>
      <c r="AA18" s="139"/>
      <c r="AB18" s="171"/>
      <c r="AC18" s="171"/>
      <c r="AD18" s="171"/>
      <c r="AE18" s="171"/>
    </row>
    <row r="19" spans="1:31" ht="30.25" customHeight="1" x14ac:dyDescent="0.35">
      <c r="A19" s="44">
        <v>16</v>
      </c>
      <c r="B19" s="44">
        <v>16</v>
      </c>
      <c r="C19" s="45" t="s">
        <v>83</v>
      </c>
      <c r="D19" s="46" t="s">
        <v>98</v>
      </c>
      <c r="E19" s="45" t="s">
        <v>99</v>
      </c>
      <c r="F19" s="45" t="s">
        <v>20</v>
      </c>
      <c r="G19" s="45" t="s">
        <v>100</v>
      </c>
      <c r="H19" s="45" t="s">
        <v>5</v>
      </c>
      <c r="I19" s="45" t="s">
        <v>6</v>
      </c>
      <c r="J19" s="47">
        <v>4540.34</v>
      </c>
      <c r="K19" s="27">
        <f>0</f>
        <v>0</v>
      </c>
      <c r="L19" s="127">
        <f t="shared" si="0"/>
        <v>0</v>
      </c>
      <c r="M19" s="127">
        <f t="shared" si="1"/>
        <v>0</v>
      </c>
      <c r="N19" s="128"/>
      <c r="O19" s="129">
        <f t="shared" si="3"/>
        <v>0</v>
      </c>
      <c r="P19" s="128"/>
      <c r="Q19" s="128"/>
      <c r="R19" s="128"/>
      <c r="S19" s="26">
        <f t="shared" si="2"/>
        <v>0</v>
      </c>
      <c r="T19" s="25" t="str">
        <f t="shared" si="4"/>
        <v>OK</v>
      </c>
      <c r="U19" s="138"/>
      <c r="V19" s="138"/>
      <c r="W19" s="138"/>
      <c r="X19" s="138"/>
      <c r="Y19" s="139"/>
      <c r="Z19" s="139"/>
      <c r="AA19" s="139"/>
      <c r="AB19" s="171"/>
      <c r="AC19" s="171"/>
      <c r="AD19" s="171"/>
      <c r="AE19" s="171"/>
    </row>
    <row r="20" spans="1:31" ht="30.25" customHeight="1" x14ac:dyDescent="0.35">
      <c r="A20" s="37">
        <v>17</v>
      </c>
      <c r="B20" s="37">
        <v>17</v>
      </c>
      <c r="C20" s="35" t="s">
        <v>63</v>
      </c>
      <c r="D20" s="38" t="s">
        <v>101</v>
      </c>
      <c r="E20" s="39" t="s">
        <v>102</v>
      </c>
      <c r="F20" s="40" t="s">
        <v>20</v>
      </c>
      <c r="G20" s="40" t="s">
        <v>103</v>
      </c>
      <c r="H20" s="40" t="s">
        <v>5</v>
      </c>
      <c r="I20" s="40" t="s">
        <v>6</v>
      </c>
      <c r="J20" s="36">
        <v>7499</v>
      </c>
      <c r="K20" s="27">
        <f>3</f>
        <v>3</v>
      </c>
      <c r="L20" s="127">
        <f t="shared" si="0"/>
        <v>9</v>
      </c>
      <c r="M20" s="127">
        <f t="shared" si="1"/>
        <v>9</v>
      </c>
      <c r="N20" s="128">
        <v>6</v>
      </c>
      <c r="O20" s="129">
        <f t="shared" si="3"/>
        <v>0</v>
      </c>
      <c r="P20" s="128"/>
      <c r="Q20" s="128"/>
      <c r="R20" s="128"/>
      <c r="S20" s="26">
        <f t="shared" si="2"/>
        <v>0</v>
      </c>
      <c r="T20" s="25" t="str">
        <f t="shared" si="4"/>
        <v>OK</v>
      </c>
      <c r="U20" s="150">
        <v>3</v>
      </c>
      <c r="V20" s="138"/>
      <c r="W20" s="138"/>
      <c r="X20" s="138"/>
      <c r="Y20" s="139"/>
      <c r="Z20" s="139"/>
      <c r="AA20" s="139"/>
      <c r="AB20" s="171"/>
      <c r="AC20" s="171"/>
      <c r="AD20" s="171">
        <v>6</v>
      </c>
      <c r="AE20" s="171"/>
    </row>
    <row r="21" spans="1:31" ht="30.25" customHeight="1" x14ac:dyDescent="0.35">
      <c r="A21" s="44">
        <v>18</v>
      </c>
      <c r="B21" s="44">
        <v>18</v>
      </c>
      <c r="C21" s="45" t="s">
        <v>104</v>
      </c>
      <c r="D21" s="46" t="s">
        <v>105</v>
      </c>
      <c r="E21" s="48" t="s">
        <v>106</v>
      </c>
      <c r="F21" s="49" t="s">
        <v>20</v>
      </c>
      <c r="G21" s="44" t="s">
        <v>107</v>
      </c>
      <c r="H21" s="44" t="s">
        <v>5</v>
      </c>
      <c r="I21" s="44" t="s">
        <v>6</v>
      </c>
      <c r="J21" s="47">
        <v>9553.2000000000007</v>
      </c>
      <c r="K21" s="27">
        <f>0</f>
        <v>0</v>
      </c>
      <c r="L21" s="127">
        <f t="shared" si="0"/>
        <v>0</v>
      </c>
      <c r="M21" s="127">
        <f t="shared" si="1"/>
        <v>0</v>
      </c>
      <c r="N21" s="128"/>
      <c r="O21" s="129">
        <f t="shared" si="3"/>
        <v>0</v>
      </c>
      <c r="P21" s="128"/>
      <c r="Q21" s="128"/>
      <c r="R21" s="128"/>
      <c r="S21" s="26">
        <f t="shared" si="2"/>
        <v>0</v>
      </c>
      <c r="T21" s="25" t="str">
        <f t="shared" si="4"/>
        <v>OK</v>
      </c>
      <c r="U21" s="138"/>
      <c r="V21" s="138"/>
      <c r="W21" s="138"/>
      <c r="X21" s="138"/>
      <c r="Y21" s="139"/>
      <c r="Z21" s="139"/>
      <c r="AA21" s="139"/>
      <c r="AB21" s="171"/>
      <c r="AC21" s="171"/>
      <c r="AD21" s="171"/>
      <c r="AE21" s="171"/>
    </row>
    <row r="22" spans="1:31" ht="30.25" customHeight="1" x14ac:dyDescent="0.35">
      <c r="A22" s="37">
        <v>19</v>
      </c>
      <c r="B22" s="37">
        <v>19</v>
      </c>
      <c r="C22" s="35" t="s">
        <v>63</v>
      </c>
      <c r="D22" s="34" t="s">
        <v>108</v>
      </c>
      <c r="E22" s="41" t="s">
        <v>109</v>
      </c>
      <c r="F22" s="43" t="s">
        <v>20</v>
      </c>
      <c r="G22" s="37" t="s">
        <v>107</v>
      </c>
      <c r="H22" s="37" t="s">
        <v>5</v>
      </c>
      <c r="I22" s="37" t="s">
        <v>6</v>
      </c>
      <c r="J22" s="36">
        <v>8608</v>
      </c>
      <c r="K22" s="27">
        <f>0</f>
        <v>0</v>
      </c>
      <c r="L22" s="127">
        <f t="shared" si="0"/>
        <v>0</v>
      </c>
      <c r="M22" s="127">
        <f t="shared" si="1"/>
        <v>0</v>
      </c>
      <c r="N22" s="128"/>
      <c r="O22" s="129">
        <f t="shared" si="3"/>
        <v>0</v>
      </c>
      <c r="P22" s="128"/>
      <c r="Q22" s="128"/>
      <c r="R22" s="128"/>
      <c r="S22" s="26">
        <f t="shared" si="2"/>
        <v>0</v>
      </c>
      <c r="T22" s="25" t="str">
        <f t="shared" si="4"/>
        <v>OK</v>
      </c>
      <c r="U22" s="138"/>
      <c r="V22" s="138"/>
      <c r="W22" s="138"/>
      <c r="X22" s="138"/>
      <c r="Y22" s="139"/>
      <c r="Z22" s="139"/>
      <c r="AA22" s="139"/>
      <c r="AB22" s="171"/>
      <c r="AC22" s="171"/>
      <c r="AD22" s="171"/>
      <c r="AE22" s="171"/>
    </row>
    <row r="23" spans="1:31" ht="30.25" customHeight="1" x14ac:dyDescent="0.35">
      <c r="A23" s="44">
        <v>20</v>
      </c>
      <c r="B23" s="44">
        <v>20</v>
      </c>
      <c r="C23" s="45" t="s">
        <v>63</v>
      </c>
      <c r="D23" s="46" t="s">
        <v>110</v>
      </c>
      <c r="E23" s="48" t="s">
        <v>111</v>
      </c>
      <c r="F23" s="50" t="s">
        <v>20</v>
      </c>
      <c r="G23" s="44" t="s">
        <v>112</v>
      </c>
      <c r="H23" s="44" t="s">
        <v>5</v>
      </c>
      <c r="I23" s="44" t="s">
        <v>6</v>
      </c>
      <c r="J23" s="47">
        <v>10488</v>
      </c>
      <c r="K23" s="27">
        <f>4</f>
        <v>4</v>
      </c>
      <c r="L23" s="127">
        <f t="shared" si="0"/>
        <v>12</v>
      </c>
      <c r="M23" s="127">
        <f t="shared" si="1"/>
        <v>12</v>
      </c>
      <c r="N23" s="128">
        <v>8</v>
      </c>
      <c r="O23" s="129">
        <f t="shared" si="3"/>
        <v>1</v>
      </c>
      <c r="P23" s="128"/>
      <c r="Q23" s="128"/>
      <c r="R23" s="128"/>
      <c r="S23" s="26">
        <f t="shared" si="2"/>
        <v>0</v>
      </c>
      <c r="T23" s="25" t="str">
        <f t="shared" si="4"/>
        <v>OK</v>
      </c>
      <c r="U23" s="150">
        <v>4</v>
      </c>
      <c r="V23" s="138"/>
      <c r="W23" s="138"/>
      <c r="X23" s="138"/>
      <c r="Y23" s="139"/>
      <c r="Z23" s="139"/>
      <c r="AA23" s="139"/>
      <c r="AB23" s="171"/>
      <c r="AC23" s="171"/>
      <c r="AD23" s="171">
        <v>8</v>
      </c>
      <c r="AE23" s="171"/>
    </row>
    <row r="24" spans="1:31" ht="30.25" customHeight="1" x14ac:dyDescent="0.35">
      <c r="A24" s="84">
        <v>21</v>
      </c>
      <c r="B24" s="84">
        <v>21</v>
      </c>
      <c r="C24" s="59" t="s">
        <v>63</v>
      </c>
      <c r="D24" s="85" t="s">
        <v>113</v>
      </c>
      <c r="E24" s="114" t="s">
        <v>114</v>
      </c>
      <c r="F24" s="115" t="s">
        <v>20</v>
      </c>
      <c r="G24" s="84" t="s">
        <v>115</v>
      </c>
      <c r="H24" s="84" t="s">
        <v>5</v>
      </c>
      <c r="I24" s="84" t="s">
        <v>6</v>
      </c>
      <c r="J24" s="86">
        <v>10968</v>
      </c>
      <c r="K24" s="27">
        <f>4</f>
        <v>4</v>
      </c>
      <c r="L24" s="127">
        <f t="shared" si="0"/>
        <v>6</v>
      </c>
      <c r="M24" s="127">
        <f t="shared" si="1"/>
        <v>6</v>
      </c>
      <c r="N24" s="128">
        <v>2</v>
      </c>
      <c r="O24" s="129">
        <f t="shared" si="3"/>
        <v>1</v>
      </c>
      <c r="P24" s="128"/>
      <c r="Q24" s="128"/>
      <c r="R24" s="128"/>
      <c r="S24" s="26">
        <f t="shared" si="2"/>
        <v>0</v>
      </c>
      <c r="T24" s="25" t="str">
        <f t="shared" si="4"/>
        <v>OK</v>
      </c>
      <c r="U24" s="150">
        <v>4</v>
      </c>
      <c r="V24" s="138"/>
      <c r="W24" s="138"/>
      <c r="X24" s="138"/>
      <c r="Y24" s="139"/>
      <c r="Z24" s="139"/>
      <c r="AA24" s="139"/>
      <c r="AB24" s="171">
        <v>2</v>
      </c>
      <c r="AC24" s="171"/>
      <c r="AD24" s="171"/>
      <c r="AE24" s="171"/>
    </row>
    <row r="25" spans="1:31" ht="30.25" customHeight="1" x14ac:dyDescent="0.35">
      <c r="A25" s="44">
        <v>22</v>
      </c>
      <c r="B25" s="44">
        <v>22</v>
      </c>
      <c r="C25" s="45" t="s">
        <v>32</v>
      </c>
      <c r="D25" s="46" t="s">
        <v>116</v>
      </c>
      <c r="E25" s="48" t="s">
        <v>117</v>
      </c>
      <c r="F25" s="50" t="s">
        <v>20</v>
      </c>
      <c r="G25" s="44" t="s">
        <v>118</v>
      </c>
      <c r="H25" s="44" t="s">
        <v>5</v>
      </c>
      <c r="I25" s="44" t="s">
        <v>6</v>
      </c>
      <c r="J25" s="47">
        <v>13446</v>
      </c>
      <c r="K25" s="27">
        <f>0</f>
        <v>0</v>
      </c>
      <c r="L25" s="127">
        <f t="shared" si="0"/>
        <v>0</v>
      </c>
      <c r="M25" s="127">
        <f t="shared" si="1"/>
        <v>0</v>
      </c>
      <c r="N25" s="128"/>
      <c r="O25" s="129">
        <f t="shared" si="3"/>
        <v>0</v>
      </c>
      <c r="P25" s="128"/>
      <c r="Q25" s="128"/>
      <c r="R25" s="128"/>
      <c r="S25" s="26">
        <f t="shared" si="2"/>
        <v>0</v>
      </c>
      <c r="T25" s="25" t="str">
        <f t="shared" si="4"/>
        <v>OK</v>
      </c>
      <c r="U25" s="138"/>
      <c r="V25" s="138"/>
      <c r="W25" s="138"/>
      <c r="X25" s="138"/>
      <c r="Y25" s="139"/>
      <c r="Z25" s="139"/>
      <c r="AA25" s="139"/>
      <c r="AB25" s="171"/>
      <c r="AC25" s="171"/>
      <c r="AD25" s="171"/>
      <c r="AE25" s="171"/>
    </row>
    <row r="26" spans="1:31" ht="30.25" customHeight="1" x14ac:dyDescent="0.35">
      <c r="A26" s="37">
        <v>23</v>
      </c>
      <c r="B26" s="37">
        <v>23</v>
      </c>
      <c r="C26" s="35" t="s">
        <v>119</v>
      </c>
      <c r="D26" s="34" t="s">
        <v>120</v>
      </c>
      <c r="E26" s="41" t="s">
        <v>121</v>
      </c>
      <c r="F26" s="43" t="s">
        <v>20</v>
      </c>
      <c r="G26" s="37" t="s">
        <v>115</v>
      </c>
      <c r="H26" s="37" t="s">
        <v>5</v>
      </c>
      <c r="I26" s="37" t="s">
        <v>6</v>
      </c>
      <c r="J26" s="36">
        <v>11764.7</v>
      </c>
      <c r="K26" s="27">
        <f>0</f>
        <v>0</v>
      </c>
      <c r="L26" s="127">
        <f t="shared" si="0"/>
        <v>0</v>
      </c>
      <c r="M26" s="127">
        <f t="shared" si="1"/>
        <v>0</v>
      </c>
      <c r="N26" s="128"/>
      <c r="O26" s="129">
        <f t="shared" si="3"/>
        <v>0</v>
      </c>
      <c r="P26" s="128"/>
      <c r="Q26" s="128"/>
      <c r="R26" s="128"/>
      <c r="S26" s="26">
        <f t="shared" si="2"/>
        <v>0</v>
      </c>
      <c r="T26" s="25" t="str">
        <f t="shared" si="4"/>
        <v>OK</v>
      </c>
      <c r="U26" s="138"/>
      <c r="V26" s="138"/>
      <c r="W26" s="138"/>
      <c r="X26" s="138"/>
      <c r="Y26" s="139"/>
      <c r="Z26" s="139"/>
      <c r="AA26" s="139"/>
      <c r="AB26" s="171"/>
      <c r="AC26" s="171"/>
      <c r="AD26" s="171"/>
      <c r="AE26" s="171"/>
    </row>
    <row r="27" spans="1:31" ht="30.25" customHeight="1" x14ac:dyDescent="0.35">
      <c r="A27" s="44">
        <v>24</v>
      </c>
      <c r="B27" s="44">
        <v>24</v>
      </c>
      <c r="C27" s="45" t="s">
        <v>32</v>
      </c>
      <c r="D27" s="46" t="s">
        <v>122</v>
      </c>
      <c r="E27" s="48" t="s">
        <v>123</v>
      </c>
      <c r="F27" s="50" t="s">
        <v>20</v>
      </c>
      <c r="G27" s="44" t="s">
        <v>124</v>
      </c>
      <c r="H27" s="44" t="s">
        <v>60</v>
      </c>
      <c r="I27" s="44" t="s">
        <v>6</v>
      </c>
      <c r="J27" s="47">
        <v>13333.33</v>
      </c>
      <c r="K27" s="27">
        <f>0</f>
        <v>0</v>
      </c>
      <c r="L27" s="127">
        <f t="shared" si="0"/>
        <v>0</v>
      </c>
      <c r="M27" s="127">
        <f t="shared" si="1"/>
        <v>0</v>
      </c>
      <c r="N27" s="128"/>
      <c r="O27" s="129">
        <f t="shared" si="3"/>
        <v>0</v>
      </c>
      <c r="P27" s="128"/>
      <c r="Q27" s="128"/>
      <c r="R27" s="128"/>
      <c r="S27" s="26">
        <f t="shared" si="2"/>
        <v>0</v>
      </c>
      <c r="T27" s="25" t="str">
        <f t="shared" si="4"/>
        <v>OK</v>
      </c>
      <c r="U27" s="138"/>
      <c r="V27" s="138"/>
      <c r="W27" s="138"/>
      <c r="X27" s="138"/>
      <c r="Y27" s="139"/>
      <c r="Z27" s="139"/>
      <c r="AA27" s="139"/>
      <c r="AB27" s="171"/>
      <c r="AC27" s="171"/>
      <c r="AD27" s="171"/>
      <c r="AE27" s="171"/>
    </row>
    <row r="28" spans="1:31" ht="30.25" customHeight="1" x14ac:dyDescent="0.35">
      <c r="A28" s="37">
        <v>25</v>
      </c>
      <c r="B28" s="37">
        <v>25</v>
      </c>
      <c r="C28" s="35" t="s">
        <v>125</v>
      </c>
      <c r="D28" s="34" t="s">
        <v>126</v>
      </c>
      <c r="E28" s="41" t="s">
        <v>127</v>
      </c>
      <c r="F28" s="43" t="s">
        <v>24</v>
      </c>
      <c r="G28" s="37" t="s">
        <v>25</v>
      </c>
      <c r="H28" s="37" t="s">
        <v>5</v>
      </c>
      <c r="I28" s="37" t="s">
        <v>26</v>
      </c>
      <c r="J28" s="36">
        <v>1320</v>
      </c>
      <c r="K28" s="27">
        <f>0</f>
        <v>0</v>
      </c>
      <c r="L28" s="127">
        <f t="shared" si="0"/>
        <v>0</v>
      </c>
      <c r="M28" s="127">
        <f t="shared" si="1"/>
        <v>0</v>
      </c>
      <c r="N28" s="128"/>
      <c r="O28" s="129">
        <f t="shared" si="3"/>
        <v>0</v>
      </c>
      <c r="P28" s="128"/>
      <c r="Q28" s="128"/>
      <c r="R28" s="128"/>
      <c r="S28" s="26">
        <f t="shared" si="2"/>
        <v>0</v>
      </c>
      <c r="T28" s="25" t="str">
        <f t="shared" si="4"/>
        <v>OK</v>
      </c>
      <c r="U28" s="138"/>
      <c r="V28" s="138"/>
      <c r="W28" s="138"/>
      <c r="X28" s="138"/>
      <c r="Y28" s="139"/>
      <c r="Z28" s="139"/>
      <c r="AA28" s="139"/>
      <c r="AB28" s="171"/>
      <c r="AC28" s="171"/>
      <c r="AD28" s="171"/>
      <c r="AE28" s="171"/>
    </row>
    <row r="29" spans="1:31" ht="30.25" customHeight="1" x14ac:dyDescent="0.35">
      <c r="A29" s="44">
        <v>26</v>
      </c>
      <c r="B29" s="44">
        <v>26</v>
      </c>
      <c r="C29" s="45" t="s">
        <v>119</v>
      </c>
      <c r="D29" s="46" t="s">
        <v>14</v>
      </c>
      <c r="E29" s="48" t="s">
        <v>128</v>
      </c>
      <c r="F29" s="50" t="s">
        <v>23</v>
      </c>
      <c r="G29" s="44" t="s">
        <v>129</v>
      </c>
      <c r="H29" s="44" t="s">
        <v>5</v>
      </c>
      <c r="I29" s="44" t="s">
        <v>6</v>
      </c>
      <c r="J29" s="47">
        <v>650</v>
      </c>
      <c r="K29" s="27">
        <f>2</f>
        <v>2</v>
      </c>
      <c r="L29" s="127">
        <f t="shared" si="0"/>
        <v>2</v>
      </c>
      <c r="M29" s="127">
        <f t="shared" si="1"/>
        <v>2</v>
      </c>
      <c r="N29" s="128"/>
      <c r="O29" s="129">
        <f t="shared" si="3"/>
        <v>0</v>
      </c>
      <c r="P29" s="128"/>
      <c r="Q29" s="128"/>
      <c r="R29" s="128"/>
      <c r="S29" s="26">
        <f t="shared" si="2"/>
        <v>0</v>
      </c>
      <c r="T29" s="25" t="str">
        <f t="shared" si="4"/>
        <v>OK</v>
      </c>
      <c r="U29" s="138"/>
      <c r="V29" s="138"/>
      <c r="W29" s="150">
        <v>2</v>
      </c>
      <c r="X29" s="138"/>
      <c r="Y29" s="139"/>
      <c r="Z29" s="139"/>
      <c r="AA29" s="139"/>
      <c r="AB29" s="171"/>
      <c r="AC29" s="171"/>
      <c r="AD29" s="171"/>
      <c r="AE29" s="171"/>
    </row>
    <row r="30" spans="1:31" ht="30.25" customHeight="1" x14ac:dyDescent="0.35">
      <c r="A30" s="37">
        <v>27</v>
      </c>
      <c r="B30" s="37">
        <v>27</v>
      </c>
      <c r="C30" s="35" t="s">
        <v>130</v>
      </c>
      <c r="D30" s="34" t="s">
        <v>131</v>
      </c>
      <c r="E30" s="41" t="s">
        <v>132</v>
      </c>
      <c r="F30" s="43" t="s">
        <v>28</v>
      </c>
      <c r="G30" s="37" t="s">
        <v>29</v>
      </c>
      <c r="H30" s="37" t="s">
        <v>8</v>
      </c>
      <c r="I30" s="37" t="s">
        <v>26</v>
      </c>
      <c r="J30" s="36">
        <v>39.78</v>
      </c>
      <c r="K30" s="27">
        <f>20</f>
        <v>20</v>
      </c>
      <c r="L30" s="127">
        <f t="shared" si="0"/>
        <v>20</v>
      </c>
      <c r="M30" s="127">
        <f t="shared" si="1"/>
        <v>20</v>
      </c>
      <c r="N30" s="128"/>
      <c r="O30" s="129">
        <f t="shared" si="3"/>
        <v>5</v>
      </c>
      <c r="P30" s="128"/>
      <c r="Q30" s="128"/>
      <c r="R30" s="128"/>
      <c r="S30" s="26">
        <f t="shared" si="2"/>
        <v>0</v>
      </c>
      <c r="T30" s="25" t="str">
        <f t="shared" si="4"/>
        <v>OK</v>
      </c>
      <c r="U30" s="138"/>
      <c r="V30" s="138"/>
      <c r="W30" s="138"/>
      <c r="X30" s="138"/>
      <c r="Y30" s="139"/>
      <c r="Z30" s="151">
        <v>20</v>
      </c>
      <c r="AA30" s="139"/>
      <c r="AB30" s="171"/>
      <c r="AC30" s="171"/>
      <c r="AD30" s="171"/>
      <c r="AE30" s="171"/>
    </row>
    <row r="31" spans="1:31" ht="30.25" customHeight="1" x14ac:dyDescent="0.35">
      <c r="A31" s="44">
        <v>28</v>
      </c>
      <c r="B31" s="44">
        <v>28</v>
      </c>
      <c r="C31" s="45" t="s">
        <v>133</v>
      </c>
      <c r="D31" s="46" t="s">
        <v>134</v>
      </c>
      <c r="E31" s="48" t="s">
        <v>135</v>
      </c>
      <c r="F31" s="50" t="s">
        <v>136</v>
      </c>
      <c r="G31" s="44" t="s">
        <v>137</v>
      </c>
      <c r="H31" s="44" t="s">
        <v>5</v>
      </c>
      <c r="I31" s="44" t="s">
        <v>6</v>
      </c>
      <c r="J31" s="47">
        <v>2259.91</v>
      </c>
      <c r="K31" s="27">
        <f>0</f>
        <v>0</v>
      </c>
      <c r="L31" s="127">
        <f t="shared" si="0"/>
        <v>0</v>
      </c>
      <c r="M31" s="127">
        <f t="shared" si="1"/>
        <v>0</v>
      </c>
      <c r="N31" s="128"/>
      <c r="O31" s="129">
        <f t="shared" si="3"/>
        <v>0</v>
      </c>
      <c r="P31" s="128"/>
      <c r="Q31" s="128"/>
      <c r="R31" s="128"/>
      <c r="S31" s="26">
        <f t="shared" si="2"/>
        <v>0</v>
      </c>
      <c r="T31" s="25" t="str">
        <f t="shared" si="4"/>
        <v>OK</v>
      </c>
      <c r="U31" s="138"/>
      <c r="V31" s="138"/>
      <c r="W31" s="138"/>
      <c r="X31" s="138"/>
      <c r="Y31" s="139"/>
      <c r="Z31" s="139"/>
      <c r="AA31" s="139"/>
      <c r="AB31" s="171"/>
      <c r="AC31" s="171"/>
      <c r="AD31" s="171"/>
      <c r="AE31" s="171"/>
    </row>
    <row r="32" spans="1:31" ht="30.25" customHeight="1" x14ac:dyDescent="0.35">
      <c r="A32" s="37">
        <v>29</v>
      </c>
      <c r="B32" s="37">
        <v>29</v>
      </c>
      <c r="C32" s="35" t="s">
        <v>138</v>
      </c>
      <c r="D32" s="34" t="s">
        <v>139</v>
      </c>
      <c r="E32" s="41" t="s">
        <v>140</v>
      </c>
      <c r="F32" s="43" t="s">
        <v>136</v>
      </c>
      <c r="G32" s="37" t="s">
        <v>137</v>
      </c>
      <c r="H32" s="37" t="s">
        <v>5</v>
      </c>
      <c r="I32" s="37" t="s">
        <v>6</v>
      </c>
      <c r="J32" s="36">
        <v>3391.3</v>
      </c>
      <c r="K32" s="27">
        <f>0</f>
        <v>0</v>
      </c>
      <c r="L32" s="127">
        <f t="shared" si="0"/>
        <v>0</v>
      </c>
      <c r="M32" s="127">
        <f t="shared" si="1"/>
        <v>0</v>
      </c>
      <c r="N32" s="128"/>
      <c r="O32" s="129">
        <f t="shared" si="3"/>
        <v>0</v>
      </c>
      <c r="P32" s="128"/>
      <c r="Q32" s="128"/>
      <c r="R32" s="128"/>
      <c r="S32" s="26">
        <f t="shared" si="2"/>
        <v>0</v>
      </c>
      <c r="T32" s="25" t="str">
        <f t="shared" si="4"/>
        <v>OK</v>
      </c>
      <c r="U32" s="138"/>
      <c r="V32" s="138"/>
      <c r="W32" s="138"/>
      <c r="X32" s="138"/>
      <c r="Y32" s="139"/>
      <c r="Z32" s="139"/>
      <c r="AA32" s="139"/>
      <c r="AB32" s="171"/>
      <c r="AC32" s="171"/>
      <c r="AD32" s="171"/>
      <c r="AE32" s="171"/>
    </row>
    <row r="33" spans="1:31" ht="30.25" customHeight="1" x14ac:dyDescent="0.35">
      <c r="A33" s="44">
        <v>30</v>
      </c>
      <c r="B33" s="44">
        <v>30</v>
      </c>
      <c r="C33" s="45" t="s">
        <v>141</v>
      </c>
      <c r="D33" s="46" t="s">
        <v>142</v>
      </c>
      <c r="E33" s="48" t="s">
        <v>143</v>
      </c>
      <c r="F33" s="50" t="s">
        <v>136</v>
      </c>
      <c r="G33" s="44" t="s">
        <v>137</v>
      </c>
      <c r="H33" s="44" t="s">
        <v>5</v>
      </c>
      <c r="I33" s="44" t="s">
        <v>6</v>
      </c>
      <c r="J33" s="47">
        <v>9961.5300000000007</v>
      </c>
      <c r="K33" s="27">
        <f>1</f>
        <v>1</v>
      </c>
      <c r="L33" s="127">
        <f t="shared" si="0"/>
        <v>0</v>
      </c>
      <c r="M33" s="127">
        <f t="shared" si="1"/>
        <v>0</v>
      </c>
      <c r="N33" s="128"/>
      <c r="O33" s="129">
        <f t="shared" si="3"/>
        <v>0</v>
      </c>
      <c r="P33" s="128"/>
      <c r="Q33" s="128"/>
      <c r="R33" s="128"/>
      <c r="S33" s="26">
        <f t="shared" si="2"/>
        <v>1</v>
      </c>
      <c r="T33" s="25" t="str">
        <f t="shared" si="4"/>
        <v>OK</v>
      </c>
      <c r="U33" s="138"/>
      <c r="V33" s="138"/>
      <c r="W33" s="138"/>
      <c r="X33" s="138"/>
      <c r="Y33" s="139"/>
      <c r="Z33" s="139"/>
      <c r="AA33" s="139"/>
      <c r="AB33" s="171"/>
      <c r="AC33" s="171"/>
      <c r="AD33" s="171"/>
      <c r="AE33" s="171"/>
    </row>
    <row r="34" spans="1:31" ht="30.25" customHeight="1" x14ac:dyDescent="0.35">
      <c r="A34" s="37">
        <v>31</v>
      </c>
      <c r="B34" s="37">
        <v>31</v>
      </c>
      <c r="C34" s="35" t="s">
        <v>144</v>
      </c>
      <c r="D34" s="34" t="s">
        <v>145</v>
      </c>
      <c r="E34" s="41" t="s">
        <v>146</v>
      </c>
      <c r="F34" s="43" t="s">
        <v>20</v>
      </c>
      <c r="G34" s="37" t="s">
        <v>147</v>
      </c>
      <c r="H34" s="37" t="s">
        <v>60</v>
      </c>
      <c r="I34" s="37">
        <v>44905212</v>
      </c>
      <c r="J34" s="36">
        <v>630</v>
      </c>
      <c r="K34" s="27">
        <f>0</f>
        <v>0</v>
      </c>
      <c r="L34" s="127">
        <f t="shared" si="0"/>
        <v>0</v>
      </c>
      <c r="M34" s="127">
        <f t="shared" si="1"/>
        <v>0</v>
      </c>
      <c r="N34" s="128"/>
      <c r="O34" s="129">
        <f t="shared" si="3"/>
        <v>0</v>
      </c>
      <c r="P34" s="128"/>
      <c r="Q34" s="128"/>
      <c r="R34" s="128"/>
      <c r="S34" s="26">
        <f t="shared" si="2"/>
        <v>0</v>
      </c>
      <c r="T34" s="25" t="str">
        <f t="shared" si="4"/>
        <v>OK</v>
      </c>
      <c r="U34" s="138"/>
      <c r="V34" s="138"/>
      <c r="W34" s="138"/>
      <c r="X34" s="138"/>
      <c r="Y34" s="139"/>
      <c r="Z34" s="139"/>
      <c r="AA34" s="139"/>
      <c r="AB34" s="171"/>
      <c r="AC34" s="171"/>
      <c r="AD34" s="171"/>
      <c r="AE34" s="171"/>
    </row>
    <row r="35" spans="1:31" ht="30.25" customHeight="1" x14ac:dyDescent="0.35">
      <c r="A35" s="44">
        <v>32</v>
      </c>
      <c r="B35" s="44">
        <v>32</v>
      </c>
      <c r="C35" s="45" t="s">
        <v>144</v>
      </c>
      <c r="D35" s="46" t="s">
        <v>148</v>
      </c>
      <c r="E35" s="48" t="s">
        <v>149</v>
      </c>
      <c r="F35" s="50" t="s">
        <v>20</v>
      </c>
      <c r="G35" s="44" t="s">
        <v>147</v>
      </c>
      <c r="H35" s="44" t="s">
        <v>60</v>
      </c>
      <c r="I35" s="44">
        <v>44905212</v>
      </c>
      <c r="J35" s="47">
        <v>1550</v>
      </c>
      <c r="K35" s="27">
        <f>0</f>
        <v>0</v>
      </c>
      <c r="L35" s="127">
        <f t="shared" si="0"/>
        <v>0</v>
      </c>
      <c r="M35" s="127">
        <f t="shared" si="1"/>
        <v>0</v>
      </c>
      <c r="N35" s="128"/>
      <c r="O35" s="129">
        <f t="shared" si="3"/>
        <v>0</v>
      </c>
      <c r="P35" s="128"/>
      <c r="Q35" s="128"/>
      <c r="R35" s="128"/>
      <c r="S35" s="26">
        <f t="shared" si="2"/>
        <v>0</v>
      </c>
      <c r="T35" s="25" t="str">
        <f t="shared" si="4"/>
        <v>OK</v>
      </c>
      <c r="U35" s="138"/>
      <c r="V35" s="138"/>
      <c r="W35" s="138"/>
      <c r="X35" s="138"/>
      <c r="Y35" s="139"/>
      <c r="Z35" s="139"/>
      <c r="AA35" s="139"/>
      <c r="AB35" s="171"/>
      <c r="AC35" s="171"/>
      <c r="AD35" s="171"/>
      <c r="AE35" s="171"/>
    </row>
    <row r="36" spans="1:31" ht="30.25" customHeight="1" x14ac:dyDescent="0.35">
      <c r="A36" s="37">
        <v>33</v>
      </c>
      <c r="B36" s="37">
        <v>33</v>
      </c>
      <c r="C36" s="35" t="s">
        <v>150</v>
      </c>
      <c r="D36" s="34" t="s">
        <v>151</v>
      </c>
      <c r="E36" s="41" t="s">
        <v>152</v>
      </c>
      <c r="F36" s="43" t="s">
        <v>20</v>
      </c>
      <c r="G36" s="37" t="s">
        <v>147</v>
      </c>
      <c r="H36" s="37" t="s">
        <v>60</v>
      </c>
      <c r="I36" s="37">
        <v>44905212</v>
      </c>
      <c r="J36" s="36">
        <v>930</v>
      </c>
      <c r="K36" s="27">
        <f>0</f>
        <v>0</v>
      </c>
      <c r="L36" s="127">
        <f t="shared" ref="L36:L67" si="5">IF(SUM(U36:AI36)&gt;K36+N36,K36+N36,SUM(U36:AI36))</f>
        <v>0</v>
      </c>
      <c r="M36" s="127">
        <f t="shared" ref="M36:M67" si="6">(SUM(U36:AI36))</f>
        <v>0</v>
      </c>
      <c r="N36" s="128"/>
      <c r="O36" s="129">
        <f t="shared" si="3"/>
        <v>0</v>
      </c>
      <c r="P36" s="128"/>
      <c r="Q36" s="128"/>
      <c r="R36" s="128"/>
      <c r="S36" s="26">
        <f t="shared" ref="S36:S67" si="7">K36-SUM(U36:AE36)+N36</f>
        <v>0</v>
      </c>
      <c r="T36" s="25" t="str">
        <f t="shared" si="4"/>
        <v>OK</v>
      </c>
      <c r="U36" s="138"/>
      <c r="V36" s="138"/>
      <c r="W36" s="138"/>
      <c r="X36" s="138"/>
      <c r="Y36" s="139"/>
      <c r="Z36" s="139"/>
      <c r="AA36" s="139"/>
      <c r="AB36" s="171"/>
      <c r="AC36" s="171"/>
      <c r="AD36" s="171"/>
      <c r="AE36" s="171"/>
    </row>
    <row r="37" spans="1:31" ht="30.25" customHeight="1" x14ac:dyDescent="0.35">
      <c r="A37" s="44">
        <v>34</v>
      </c>
      <c r="B37" s="44">
        <v>34</v>
      </c>
      <c r="C37" s="45" t="s">
        <v>150</v>
      </c>
      <c r="D37" s="46" t="s">
        <v>153</v>
      </c>
      <c r="E37" s="48" t="s">
        <v>154</v>
      </c>
      <c r="F37" s="50" t="s">
        <v>20</v>
      </c>
      <c r="G37" s="44" t="s">
        <v>147</v>
      </c>
      <c r="H37" s="44" t="s">
        <v>60</v>
      </c>
      <c r="I37" s="44">
        <v>44905212</v>
      </c>
      <c r="J37" s="47">
        <v>2560</v>
      </c>
      <c r="K37" s="27">
        <f>0</f>
        <v>0</v>
      </c>
      <c r="L37" s="127">
        <f t="shared" si="5"/>
        <v>0</v>
      </c>
      <c r="M37" s="127">
        <f t="shared" si="6"/>
        <v>0</v>
      </c>
      <c r="N37" s="128"/>
      <c r="O37" s="129">
        <f t="shared" si="3"/>
        <v>0</v>
      </c>
      <c r="P37" s="128"/>
      <c r="Q37" s="128"/>
      <c r="R37" s="128"/>
      <c r="S37" s="26">
        <f t="shared" si="7"/>
        <v>0</v>
      </c>
      <c r="T37" s="25" t="str">
        <f t="shared" si="4"/>
        <v>OK</v>
      </c>
      <c r="U37" s="138"/>
      <c r="V37" s="138"/>
      <c r="W37" s="138"/>
      <c r="X37" s="138"/>
      <c r="Y37" s="139"/>
      <c r="Z37" s="139"/>
      <c r="AA37" s="139"/>
      <c r="AB37" s="171"/>
      <c r="AC37" s="171"/>
      <c r="AD37" s="171"/>
      <c r="AE37" s="171"/>
    </row>
    <row r="38" spans="1:31" ht="30.25" customHeight="1" x14ac:dyDescent="0.35">
      <c r="A38" s="198" t="s">
        <v>155</v>
      </c>
      <c r="B38" s="37">
        <v>35</v>
      </c>
      <c r="C38" s="195" t="s">
        <v>33</v>
      </c>
      <c r="D38" s="34" t="s">
        <v>27</v>
      </c>
      <c r="E38" s="41" t="s">
        <v>8</v>
      </c>
      <c r="F38" s="42" t="s">
        <v>28</v>
      </c>
      <c r="G38" s="37" t="s">
        <v>29</v>
      </c>
      <c r="H38" s="37" t="s">
        <v>8</v>
      </c>
      <c r="I38" s="37" t="s">
        <v>9</v>
      </c>
      <c r="J38" s="36">
        <v>150.13999999999999</v>
      </c>
      <c r="K38" s="27">
        <f>0</f>
        <v>0</v>
      </c>
      <c r="L38" s="127">
        <f t="shared" si="5"/>
        <v>0</v>
      </c>
      <c r="M38" s="127">
        <f t="shared" si="6"/>
        <v>0</v>
      </c>
      <c r="N38" s="128"/>
      <c r="O38" s="129">
        <f t="shared" si="3"/>
        <v>0</v>
      </c>
      <c r="P38" s="128"/>
      <c r="Q38" s="128"/>
      <c r="R38" s="128"/>
      <c r="S38" s="26">
        <f t="shared" si="7"/>
        <v>0</v>
      </c>
      <c r="T38" s="25" t="str">
        <f t="shared" si="4"/>
        <v>OK</v>
      </c>
      <c r="U38" s="138"/>
      <c r="V38" s="138"/>
      <c r="W38" s="138"/>
      <c r="X38" s="138"/>
      <c r="Y38" s="139"/>
      <c r="Z38" s="139"/>
      <c r="AA38" s="139"/>
      <c r="AB38" s="171"/>
      <c r="AC38" s="171"/>
      <c r="AD38" s="171"/>
      <c r="AE38" s="171"/>
    </row>
    <row r="39" spans="1:31" ht="30.25" customHeight="1" x14ac:dyDescent="0.35">
      <c r="A39" s="199"/>
      <c r="B39" s="37">
        <v>36</v>
      </c>
      <c r="C39" s="196"/>
      <c r="D39" s="34" t="s">
        <v>7</v>
      </c>
      <c r="E39" s="41" t="s">
        <v>8</v>
      </c>
      <c r="F39" s="43" t="s">
        <v>28</v>
      </c>
      <c r="G39" s="37" t="s">
        <v>29</v>
      </c>
      <c r="H39" s="37" t="s">
        <v>8</v>
      </c>
      <c r="I39" s="37" t="s">
        <v>9</v>
      </c>
      <c r="J39" s="36">
        <v>1076</v>
      </c>
      <c r="K39" s="27">
        <f>0</f>
        <v>0</v>
      </c>
      <c r="L39" s="127">
        <f t="shared" si="5"/>
        <v>5</v>
      </c>
      <c r="M39" s="127">
        <f t="shared" si="6"/>
        <v>5</v>
      </c>
      <c r="N39" s="128">
        <v>5</v>
      </c>
      <c r="O39" s="129">
        <f t="shared" si="3"/>
        <v>0</v>
      </c>
      <c r="P39" s="128"/>
      <c r="Q39" s="128"/>
      <c r="R39" s="128"/>
      <c r="S39" s="26">
        <f t="shared" si="7"/>
        <v>0</v>
      </c>
      <c r="T39" s="25" t="str">
        <f t="shared" si="4"/>
        <v>OK</v>
      </c>
      <c r="U39" s="138"/>
      <c r="V39" s="138"/>
      <c r="W39" s="138"/>
      <c r="X39" s="138"/>
      <c r="Y39" s="139"/>
      <c r="Z39" s="139"/>
      <c r="AA39" s="139"/>
      <c r="AB39" s="171"/>
      <c r="AC39" s="171"/>
      <c r="AD39" s="171"/>
      <c r="AE39" s="171">
        <v>5</v>
      </c>
    </row>
    <row r="40" spans="1:31" ht="30.25" customHeight="1" x14ac:dyDescent="0.35">
      <c r="A40" s="199"/>
      <c r="B40" s="37">
        <v>37</v>
      </c>
      <c r="C40" s="196"/>
      <c r="D40" s="34" t="s">
        <v>156</v>
      </c>
      <c r="E40" s="41" t="s">
        <v>8</v>
      </c>
      <c r="F40" s="43" t="s">
        <v>28</v>
      </c>
      <c r="G40" s="37" t="s">
        <v>29</v>
      </c>
      <c r="H40" s="37" t="s">
        <v>34</v>
      </c>
      <c r="I40" s="37" t="s">
        <v>9</v>
      </c>
      <c r="J40" s="36">
        <v>75</v>
      </c>
      <c r="K40" s="27">
        <f>0</f>
        <v>0</v>
      </c>
      <c r="L40" s="127">
        <f t="shared" si="5"/>
        <v>0</v>
      </c>
      <c r="M40" s="127">
        <f t="shared" si="6"/>
        <v>0</v>
      </c>
      <c r="N40" s="128"/>
      <c r="O40" s="129">
        <f t="shared" si="3"/>
        <v>0</v>
      </c>
      <c r="P40" s="128"/>
      <c r="Q40" s="128"/>
      <c r="R40" s="128"/>
      <c r="S40" s="26">
        <f t="shared" si="7"/>
        <v>0</v>
      </c>
      <c r="T40" s="25" t="str">
        <f t="shared" si="4"/>
        <v>OK</v>
      </c>
      <c r="U40" s="138"/>
      <c r="V40" s="138"/>
      <c r="W40" s="138"/>
      <c r="X40" s="138"/>
      <c r="Y40" s="139"/>
      <c r="Z40" s="139"/>
      <c r="AA40" s="139"/>
      <c r="AB40" s="171"/>
      <c r="AC40" s="171"/>
      <c r="AD40" s="171"/>
      <c r="AE40" s="171"/>
    </row>
    <row r="41" spans="1:31" ht="30.25" customHeight="1" x14ac:dyDescent="0.35">
      <c r="A41" s="199"/>
      <c r="B41" s="37">
        <v>38</v>
      </c>
      <c r="C41" s="196"/>
      <c r="D41" s="34" t="s">
        <v>11</v>
      </c>
      <c r="E41" s="41" t="s">
        <v>8</v>
      </c>
      <c r="F41" s="43" t="s">
        <v>28</v>
      </c>
      <c r="G41" s="37" t="s">
        <v>29</v>
      </c>
      <c r="H41" s="37" t="s">
        <v>8</v>
      </c>
      <c r="I41" s="37" t="s">
        <v>9</v>
      </c>
      <c r="J41" s="36">
        <v>1400</v>
      </c>
      <c r="K41" s="27">
        <f>0</f>
        <v>0</v>
      </c>
      <c r="L41" s="127">
        <f t="shared" si="5"/>
        <v>0</v>
      </c>
      <c r="M41" s="127">
        <f t="shared" si="6"/>
        <v>0</v>
      </c>
      <c r="N41" s="128"/>
      <c r="O41" s="129">
        <f t="shared" si="3"/>
        <v>0</v>
      </c>
      <c r="P41" s="128"/>
      <c r="Q41" s="128"/>
      <c r="R41" s="128"/>
      <c r="S41" s="26">
        <f t="shared" si="7"/>
        <v>0</v>
      </c>
      <c r="T41" s="25" t="str">
        <f t="shared" si="4"/>
        <v>OK</v>
      </c>
      <c r="U41" s="138"/>
      <c r="V41" s="138"/>
      <c r="W41" s="138"/>
      <c r="X41" s="138"/>
      <c r="Y41" s="139"/>
      <c r="Z41" s="139"/>
      <c r="AA41" s="139"/>
      <c r="AB41" s="171"/>
      <c r="AC41" s="171"/>
      <c r="AD41" s="171"/>
      <c r="AE41" s="171"/>
    </row>
    <row r="42" spans="1:31" ht="30.25" customHeight="1" x14ac:dyDescent="0.35">
      <c r="A42" s="199"/>
      <c r="B42" s="37">
        <v>39</v>
      </c>
      <c r="C42" s="196"/>
      <c r="D42" s="34" t="s">
        <v>12</v>
      </c>
      <c r="E42" s="41" t="s">
        <v>8</v>
      </c>
      <c r="F42" s="43" t="s">
        <v>28</v>
      </c>
      <c r="G42" s="37" t="s">
        <v>29</v>
      </c>
      <c r="H42" s="37" t="s">
        <v>34</v>
      </c>
      <c r="I42" s="37" t="s">
        <v>9</v>
      </c>
      <c r="J42" s="36">
        <v>75.5</v>
      </c>
      <c r="K42" s="27">
        <f>0</f>
        <v>0</v>
      </c>
      <c r="L42" s="127">
        <f t="shared" si="5"/>
        <v>0</v>
      </c>
      <c r="M42" s="127">
        <f t="shared" si="6"/>
        <v>0</v>
      </c>
      <c r="N42" s="128"/>
      <c r="O42" s="129">
        <f t="shared" si="3"/>
        <v>0</v>
      </c>
      <c r="P42" s="128"/>
      <c r="Q42" s="128"/>
      <c r="R42" s="128"/>
      <c r="S42" s="26">
        <f t="shared" si="7"/>
        <v>0</v>
      </c>
      <c r="T42" s="25" t="str">
        <f t="shared" si="4"/>
        <v>OK</v>
      </c>
      <c r="U42" s="138"/>
      <c r="V42" s="138"/>
      <c r="W42" s="138"/>
      <c r="X42" s="138"/>
      <c r="Y42" s="139"/>
      <c r="Z42" s="139"/>
      <c r="AA42" s="139"/>
      <c r="AB42" s="171"/>
      <c r="AC42" s="171"/>
      <c r="AD42" s="171"/>
      <c r="AE42" s="171"/>
    </row>
    <row r="43" spans="1:31" ht="30.25" customHeight="1" x14ac:dyDescent="0.35">
      <c r="A43" s="199"/>
      <c r="B43" s="37">
        <v>40</v>
      </c>
      <c r="C43" s="196"/>
      <c r="D43" s="34" t="s">
        <v>10</v>
      </c>
      <c r="E43" s="41" t="s">
        <v>8</v>
      </c>
      <c r="F43" s="43" t="s">
        <v>28</v>
      </c>
      <c r="G43" s="37" t="s">
        <v>29</v>
      </c>
      <c r="H43" s="37" t="s">
        <v>8</v>
      </c>
      <c r="I43" s="37" t="s">
        <v>9</v>
      </c>
      <c r="J43" s="36">
        <v>1600</v>
      </c>
      <c r="K43" s="27">
        <f>0</f>
        <v>0</v>
      </c>
      <c r="L43" s="127">
        <f t="shared" si="5"/>
        <v>0</v>
      </c>
      <c r="M43" s="127">
        <f t="shared" si="6"/>
        <v>0</v>
      </c>
      <c r="N43" s="128"/>
      <c r="O43" s="129">
        <f t="shared" si="3"/>
        <v>0</v>
      </c>
      <c r="P43" s="128"/>
      <c r="Q43" s="128"/>
      <c r="R43" s="128"/>
      <c r="S43" s="26">
        <f t="shared" si="7"/>
        <v>0</v>
      </c>
      <c r="T43" s="25" t="str">
        <f t="shared" si="4"/>
        <v>OK</v>
      </c>
      <c r="U43" s="138"/>
      <c r="V43" s="138"/>
      <c r="W43" s="138"/>
      <c r="X43" s="138"/>
      <c r="Y43" s="139"/>
      <c r="Z43" s="139"/>
      <c r="AA43" s="139"/>
      <c r="AB43" s="171"/>
      <c r="AC43" s="171"/>
      <c r="AD43" s="171"/>
      <c r="AE43" s="171"/>
    </row>
    <row r="44" spans="1:31" ht="30.25" customHeight="1" x14ac:dyDescent="0.35">
      <c r="A44" s="199"/>
      <c r="B44" s="37">
        <v>41</v>
      </c>
      <c r="C44" s="196"/>
      <c r="D44" s="34" t="s">
        <v>13</v>
      </c>
      <c r="E44" s="41" t="s">
        <v>8</v>
      </c>
      <c r="F44" s="43" t="s">
        <v>28</v>
      </c>
      <c r="G44" s="37" t="s">
        <v>29</v>
      </c>
      <c r="H44" s="37" t="s">
        <v>34</v>
      </c>
      <c r="I44" s="37" t="s">
        <v>9</v>
      </c>
      <c r="J44" s="36">
        <v>75</v>
      </c>
      <c r="K44" s="27">
        <f>0</f>
        <v>0</v>
      </c>
      <c r="L44" s="127">
        <f t="shared" si="5"/>
        <v>0</v>
      </c>
      <c r="M44" s="127">
        <f t="shared" si="6"/>
        <v>0</v>
      </c>
      <c r="N44" s="128"/>
      <c r="O44" s="129">
        <f t="shared" si="3"/>
        <v>0</v>
      </c>
      <c r="P44" s="128"/>
      <c r="Q44" s="128"/>
      <c r="R44" s="128"/>
      <c r="S44" s="26">
        <f t="shared" si="7"/>
        <v>0</v>
      </c>
      <c r="T44" s="25" t="str">
        <f t="shared" si="4"/>
        <v>OK</v>
      </c>
      <c r="U44" s="138"/>
      <c r="V44" s="138"/>
      <c r="W44" s="138"/>
      <c r="X44" s="138"/>
      <c r="Y44" s="139"/>
      <c r="Z44" s="139"/>
      <c r="AA44" s="139"/>
      <c r="AB44" s="171"/>
      <c r="AC44" s="171"/>
      <c r="AD44" s="171"/>
      <c r="AE44" s="171"/>
    </row>
    <row r="45" spans="1:31" ht="30.25" customHeight="1" x14ac:dyDescent="0.35">
      <c r="A45" s="199"/>
      <c r="B45" s="37">
        <v>42</v>
      </c>
      <c r="C45" s="196"/>
      <c r="D45" s="34" t="s">
        <v>157</v>
      </c>
      <c r="E45" s="41" t="s">
        <v>8</v>
      </c>
      <c r="F45" s="43" t="s">
        <v>28</v>
      </c>
      <c r="G45" s="37" t="s">
        <v>29</v>
      </c>
      <c r="H45" s="37" t="s">
        <v>8</v>
      </c>
      <c r="I45" s="37" t="s">
        <v>9</v>
      </c>
      <c r="J45" s="36">
        <v>350</v>
      </c>
      <c r="K45" s="27">
        <f>0</f>
        <v>0</v>
      </c>
      <c r="L45" s="127">
        <f t="shared" si="5"/>
        <v>0</v>
      </c>
      <c r="M45" s="127">
        <f t="shared" si="6"/>
        <v>0</v>
      </c>
      <c r="N45" s="128"/>
      <c r="O45" s="129">
        <f t="shared" si="3"/>
        <v>0</v>
      </c>
      <c r="P45" s="128"/>
      <c r="Q45" s="128"/>
      <c r="R45" s="128"/>
      <c r="S45" s="26">
        <f t="shared" si="7"/>
        <v>0</v>
      </c>
      <c r="T45" s="25" t="str">
        <f t="shared" si="4"/>
        <v>OK</v>
      </c>
      <c r="U45" s="138"/>
      <c r="V45" s="138"/>
      <c r="W45" s="138"/>
      <c r="X45" s="138"/>
      <c r="Y45" s="139"/>
      <c r="Z45" s="139"/>
      <c r="AA45" s="139"/>
      <c r="AB45" s="171"/>
      <c r="AC45" s="171"/>
      <c r="AD45" s="171"/>
      <c r="AE45" s="171"/>
    </row>
    <row r="46" spans="1:31" ht="30.25" customHeight="1" x14ac:dyDescent="0.35">
      <c r="A46" s="199"/>
      <c r="B46" s="37">
        <v>43</v>
      </c>
      <c r="C46" s="196"/>
      <c r="D46" s="34" t="s">
        <v>30</v>
      </c>
      <c r="E46" s="41" t="s">
        <v>8</v>
      </c>
      <c r="F46" s="43" t="s">
        <v>28</v>
      </c>
      <c r="G46" s="37" t="s">
        <v>29</v>
      </c>
      <c r="H46" s="37" t="s">
        <v>8</v>
      </c>
      <c r="I46" s="37" t="s">
        <v>9</v>
      </c>
      <c r="J46" s="36">
        <v>100.25</v>
      </c>
      <c r="K46" s="27">
        <f>0</f>
        <v>0</v>
      </c>
      <c r="L46" s="127">
        <f t="shared" si="5"/>
        <v>0</v>
      </c>
      <c r="M46" s="127">
        <f t="shared" si="6"/>
        <v>0</v>
      </c>
      <c r="N46" s="128"/>
      <c r="O46" s="129">
        <f t="shared" si="3"/>
        <v>0</v>
      </c>
      <c r="P46" s="128"/>
      <c r="Q46" s="128"/>
      <c r="R46" s="128"/>
      <c r="S46" s="26">
        <f t="shared" si="7"/>
        <v>0</v>
      </c>
      <c r="T46" s="25" t="str">
        <f t="shared" si="4"/>
        <v>OK</v>
      </c>
      <c r="U46" s="138"/>
      <c r="V46" s="138"/>
      <c r="W46" s="138"/>
      <c r="X46" s="138"/>
      <c r="Y46" s="139"/>
      <c r="Z46" s="139"/>
      <c r="AA46" s="139"/>
      <c r="AB46" s="171"/>
      <c r="AC46" s="171"/>
      <c r="AD46" s="171"/>
      <c r="AE46" s="171"/>
    </row>
    <row r="47" spans="1:31" ht="30.25" customHeight="1" x14ac:dyDescent="0.35">
      <c r="A47" s="199"/>
      <c r="B47" s="37">
        <v>44</v>
      </c>
      <c r="C47" s="196"/>
      <c r="D47" s="34" t="s">
        <v>158</v>
      </c>
      <c r="E47" s="41" t="s">
        <v>8</v>
      </c>
      <c r="F47" s="42" t="s">
        <v>28</v>
      </c>
      <c r="G47" s="37" t="s">
        <v>159</v>
      </c>
      <c r="H47" s="37" t="s">
        <v>8</v>
      </c>
      <c r="I47" s="37" t="s">
        <v>9</v>
      </c>
      <c r="J47" s="36">
        <v>1424</v>
      </c>
      <c r="K47" s="27">
        <f>0</f>
        <v>0</v>
      </c>
      <c r="L47" s="127">
        <f t="shared" si="5"/>
        <v>0</v>
      </c>
      <c r="M47" s="127">
        <f t="shared" si="6"/>
        <v>0</v>
      </c>
      <c r="N47" s="128"/>
      <c r="O47" s="129">
        <f t="shared" si="3"/>
        <v>0</v>
      </c>
      <c r="P47" s="128"/>
      <c r="Q47" s="128"/>
      <c r="R47" s="128"/>
      <c r="S47" s="26">
        <f t="shared" si="7"/>
        <v>0</v>
      </c>
      <c r="T47" s="25" t="str">
        <f t="shared" si="4"/>
        <v>OK</v>
      </c>
      <c r="U47" s="138"/>
      <c r="V47" s="138"/>
      <c r="W47" s="138"/>
      <c r="X47" s="138"/>
      <c r="Y47" s="139"/>
      <c r="Z47" s="139"/>
      <c r="AA47" s="139"/>
      <c r="AB47" s="171"/>
      <c r="AC47" s="171"/>
      <c r="AD47" s="171"/>
      <c r="AE47" s="171"/>
    </row>
    <row r="48" spans="1:31" ht="30.25" customHeight="1" x14ac:dyDescent="0.35">
      <c r="A48" s="200"/>
      <c r="B48" s="37">
        <v>45</v>
      </c>
      <c r="C48" s="197"/>
      <c r="D48" s="34" t="s">
        <v>160</v>
      </c>
      <c r="E48" s="41" t="s">
        <v>8</v>
      </c>
      <c r="F48" s="43" t="s">
        <v>28</v>
      </c>
      <c r="G48" s="37" t="s">
        <v>29</v>
      </c>
      <c r="H48" s="37" t="s">
        <v>8</v>
      </c>
      <c r="I48" s="37" t="s">
        <v>9</v>
      </c>
      <c r="J48" s="36">
        <v>2503.0100000000002</v>
      </c>
      <c r="K48" s="27">
        <f>0</f>
        <v>0</v>
      </c>
      <c r="L48" s="127">
        <f t="shared" si="5"/>
        <v>0</v>
      </c>
      <c r="M48" s="127">
        <f t="shared" si="6"/>
        <v>0</v>
      </c>
      <c r="N48" s="128"/>
      <c r="O48" s="129">
        <f t="shared" si="3"/>
        <v>0</v>
      </c>
      <c r="P48" s="128"/>
      <c r="Q48" s="128"/>
      <c r="R48" s="128"/>
      <c r="S48" s="26">
        <f t="shared" si="7"/>
        <v>0</v>
      </c>
      <c r="T48" s="25" t="str">
        <f t="shared" si="4"/>
        <v>OK</v>
      </c>
      <c r="U48" s="138"/>
      <c r="V48" s="138"/>
      <c r="W48" s="138"/>
      <c r="X48" s="138"/>
      <c r="Y48" s="139"/>
      <c r="Z48" s="139"/>
      <c r="AA48" s="139"/>
      <c r="AB48" s="171"/>
      <c r="AC48" s="171"/>
      <c r="AD48" s="171"/>
      <c r="AE48" s="171"/>
    </row>
    <row r="49" spans="1:31" ht="30.25" customHeight="1" x14ac:dyDescent="0.35">
      <c r="A49" s="208" t="s">
        <v>161</v>
      </c>
      <c r="B49" s="44">
        <v>46</v>
      </c>
      <c r="C49" s="205" t="s">
        <v>33</v>
      </c>
      <c r="D49" s="46" t="s">
        <v>27</v>
      </c>
      <c r="E49" s="48" t="s">
        <v>8</v>
      </c>
      <c r="F49" s="50" t="s">
        <v>28</v>
      </c>
      <c r="G49" s="44" t="s">
        <v>29</v>
      </c>
      <c r="H49" s="44" t="s">
        <v>8</v>
      </c>
      <c r="I49" s="44" t="s">
        <v>9</v>
      </c>
      <c r="J49" s="47">
        <v>80</v>
      </c>
      <c r="K49" s="27">
        <f>0</f>
        <v>0</v>
      </c>
      <c r="L49" s="127">
        <f t="shared" si="5"/>
        <v>0</v>
      </c>
      <c r="M49" s="127">
        <f t="shared" si="6"/>
        <v>0</v>
      </c>
      <c r="N49" s="128"/>
      <c r="O49" s="129">
        <f t="shared" si="3"/>
        <v>0</v>
      </c>
      <c r="P49" s="128"/>
      <c r="Q49" s="128"/>
      <c r="R49" s="128"/>
      <c r="S49" s="26">
        <f t="shared" si="7"/>
        <v>0</v>
      </c>
      <c r="T49" s="25" t="str">
        <f t="shared" si="4"/>
        <v>OK</v>
      </c>
      <c r="U49" s="138"/>
      <c r="V49" s="138"/>
      <c r="W49" s="138"/>
      <c r="X49" s="138"/>
      <c r="Y49" s="139"/>
      <c r="Z49" s="139"/>
      <c r="AA49" s="139"/>
      <c r="AB49" s="171"/>
      <c r="AC49" s="171"/>
      <c r="AD49" s="171"/>
      <c r="AE49" s="171"/>
    </row>
    <row r="50" spans="1:31" ht="30.25" customHeight="1" x14ac:dyDescent="0.35">
      <c r="A50" s="209"/>
      <c r="B50" s="44">
        <v>47</v>
      </c>
      <c r="C50" s="206"/>
      <c r="D50" s="46" t="s">
        <v>7</v>
      </c>
      <c r="E50" s="48" t="s">
        <v>8</v>
      </c>
      <c r="F50" s="50" t="s">
        <v>28</v>
      </c>
      <c r="G50" s="44" t="s">
        <v>29</v>
      </c>
      <c r="H50" s="44" t="s">
        <v>8</v>
      </c>
      <c r="I50" s="44" t="s">
        <v>9</v>
      </c>
      <c r="J50" s="47">
        <v>550</v>
      </c>
      <c r="K50" s="27">
        <f>0</f>
        <v>0</v>
      </c>
      <c r="L50" s="127">
        <f t="shared" si="5"/>
        <v>0</v>
      </c>
      <c r="M50" s="127">
        <f t="shared" si="6"/>
        <v>0</v>
      </c>
      <c r="N50" s="128"/>
      <c r="O50" s="129">
        <f t="shared" si="3"/>
        <v>0</v>
      </c>
      <c r="P50" s="128"/>
      <c r="Q50" s="128"/>
      <c r="R50" s="128"/>
      <c r="S50" s="26">
        <f t="shared" si="7"/>
        <v>0</v>
      </c>
      <c r="T50" s="25" t="str">
        <f t="shared" si="4"/>
        <v>OK</v>
      </c>
      <c r="U50" s="138"/>
      <c r="V50" s="138"/>
      <c r="W50" s="138"/>
      <c r="X50" s="138"/>
      <c r="Y50" s="139"/>
      <c r="Z50" s="139"/>
      <c r="AA50" s="139"/>
      <c r="AB50" s="171"/>
      <c r="AC50" s="171"/>
      <c r="AD50" s="171"/>
      <c r="AE50" s="171"/>
    </row>
    <row r="51" spans="1:31" ht="30.25" customHeight="1" x14ac:dyDescent="0.35">
      <c r="A51" s="209"/>
      <c r="B51" s="44">
        <v>48</v>
      </c>
      <c r="C51" s="206"/>
      <c r="D51" s="46" t="s">
        <v>10</v>
      </c>
      <c r="E51" s="48" t="s">
        <v>8</v>
      </c>
      <c r="F51" s="50" t="s">
        <v>28</v>
      </c>
      <c r="G51" s="44" t="s">
        <v>29</v>
      </c>
      <c r="H51" s="44" t="s">
        <v>8</v>
      </c>
      <c r="I51" s="44" t="s">
        <v>9</v>
      </c>
      <c r="J51" s="47">
        <v>850</v>
      </c>
      <c r="K51" s="27">
        <f>0</f>
        <v>0</v>
      </c>
      <c r="L51" s="127">
        <f t="shared" si="5"/>
        <v>0</v>
      </c>
      <c r="M51" s="127">
        <f t="shared" si="6"/>
        <v>0</v>
      </c>
      <c r="N51" s="128"/>
      <c r="O51" s="129">
        <f t="shared" si="3"/>
        <v>0</v>
      </c>
      <c r="P51" s="128"/>
      <c r="Q51" s="128"/>
      <c r="R51" s="128"/>
      <c r="S51" s="26">
        <f t="shared" si="7"/>
        <v>0</v>
      </c>
      <c r="T51" s="25" t="str">
        <f t="shared" si="4"/>
        <v>OK</v>
      </c>
      <c r="U51" s="138"/>
      <c r="V51" s="138"/>
      <c r="W51" s="138"/>
      <c r="X51" s="138"/>
      <c r="Y51" s="139"/>
      <c r="Z51" s="139"/>
      <c r="AA51" s="139"/>
      <c r="AB51" s="171"/>
      <c r="AC51" s="171"/>
      <c r="AD51" s="171"/>
      <c r="AE51" s="171"/>
    </row>
    <row r="52" spans="1:31" ht="30.25" customHeight="1" x14ac:dyDescent="0.35">
      <c r="A52" s="209"/>
      <c r="B52" s="44">
        <v>49</v>
      </c>
      <c r="C52" s="206"/>
      <c r="D52" s="46" t="s">
        <v>11</v>
      </c>
      <c r="E52" s="48" t="s">
        <v>8</v>
      </c>
      <c r="F52" s="50" t="s">
        <v>28</v>
      </c>
      <c r="G52" s="44" t="s">
        <v>29</v>
      </c>
      <c r="H52" s="44" t="s">
        <v>8</v>
      </c>
      <c r="I52" s="44" t="s">
        <v>9</v>
      </c>
      <c r="J52" s="47">
        <v>800</v>
      </c>
      <c r="K52" s="27">
        <f>0</f>
        <v>0</v>
      </c>
      <c r="L52" s="127">
        <f t="shared" si="5"/>
        <v>0</v>
      </c>
      <c r="M52" s="127">
        <f t="shared" si="6"/>
        <v>0</v>
      </c>
      <c r="N52" s="128"/>
      <c r="O52" s="129">
        <f t="shared" si="3"/>
        <v>0</v>
      </c>
      <c r="P52" s="128"/>
      <c r="Q52" s="128"/>
      <c r="R52" s="128"/>
      <c r="S52" s="26">
        <f t="shared" si="7"/>
        <v>0</v>
      </c>
      <c r="T52" s="25" t="str">
        <f t="shared" si="4"/>
        <v>OK</v>
      </c>
      <c r="U52" s="138"/>
      <c r="V52" s="138"/>
      <c r="W52" s="138"/>
      <c r="X52" s="138"/>
      <c r="Y52" s="139"/>
      <c r="Z52" s="139"/>
      <c r="AA52" s="139"/>
      <c r="AB52" s="171"/>
      <c r="AC52" s="171"/>
      <c r="AD52" s="171"/>
      <c r="AE52" s="171"/>
    </row>
    <row r="53" spans="1:31" ht="30.25" customHeight="1" x14ac:dyDescent="0.35">
      <c r="A53" s="209"/>
      <c r="B53" s="44">
        <v>50</v>
      </c>
      <c r="C53" s="206"/>
      <c r="D53" s="46" t="s">
        <v>12</v>
      </c>
      <c r="E53" s="48" t="s">
        <v>8</v>
      </c>
      <c r="F53" s="50" t="s">
        <v>28</v>
      </c>
      <c r="G53" s="44" t="s">
        <v>29</v>
      </c>
      <c r="H53" s="44" t="s">
        <v>34</v>
      </c>
      <c r="I53" s="44" t="s">
        <v>9</v>
      </c>
      <c r="J53" s="47">
        <v>50</v>
      </c>
      <c r="K53" s="27">
        <f>0</f>
        <v>0</v>
      </c>
      <c r="L53" s="127">
        <f t="shared" si="5"/>
        <v>0</v>
      </c>
      <c r="M53" s="127">
        <f t="shared" si="6"/>
        <v>0</v>
      </c>
      <c r="N53" s="128"/>
      <c r="O53" s="129">
        <f t="shared" si="3"/>
        <v>0</v>
      </c>
      <c r="P53" s="128"/>
      <c r="Q53" s="128"/>
      <c r="R53" s="128"/>
      <c r="S53" s="26">
        <f t="shared" si="7"/>
        <v>0</v>
      </c>
      <c r="T53" s="25" t="str">
        <f t="shared" si="4"/>
        <v>OK</v>
      </c>
      <c r="U53" s="138"/>
      <c r="V53" s="138"/>
      <c r="W53" s="138"/>
      <c r="X53" s="138"/>
      <c r="Y53" s="139"/>
      <c r="Z53" s="139"/>
      <c r="AA53" s="139"/>
      <c r="AB53" s="171"/>
      <c r="AC53" s="171"/>
      <c r="AD53" s="171"/>
      <c r="AE53" s="171"/>
    </row>
    <row r="54" spans="1:31" ht="30.25" customHeight="1" x14ac:dyDescent="0.35">
      <c r="A54" s="209"/>
      <c r="B54" s="44">
        <v>51</v>
      </c>
      <c r="C54" s="206"/>
      <c r="D54" s="46" t="s">
        <v>156</v>
      </c>
      <c r="E54" s="48" t="s">
        <v>8</v>
      </c>
      <c r="F54" s="50" t="s">
        <v>28</v>
      </c>
      <c r="G54" s="44" t="s">
        <v>29</v>
      </c>
      <c r="H54" s="44" t="s">
        <v>34</v>
      </c>
      <c r="I54" s="44" t="s">
        <v>9</v>
      </c>
      <c r="J54" s="47">
        <v>50</v>
      </c>
      <c r="K54" s="27">
        <f>0</f>
        <v>0</v>
      </c>
      <c r="L54" s="127">
        <f t="shared" si="5"/>
        <v>0</v>
      </c>
      <c r="M54" s="127">
        <f t="shared" si="6"/>
        <v>0</v>
      </c>
      <c r="N54" s="128"/>
      <c r="O54" s="129">
        <f t="shared" si="3"/>
        <v>0</v>
      </c>
      <c r="P54" s="128"/>
      <c r="Q54" s="128"/>
      <c r="R54" s="128"/>
      <c r="S54" s="26">
        <f t="shared" si="7"/>
        <v>0</v>
      </c>
      <c r="T54" s="25" t="str">
        <f t="shared" si="4"/>
        <v>OK</v>
      </c>
      <c r="U54" s="138"/>
      <c r="V54" s="138"/>
      <c r="W54" s="138"/>
      <c r="X54" s="138"/>
      <c r="Y54" s="139"/>
      <c r="Z54" s="139"/>
      <c r="AA54" s="139"/>
      <c r="AB54" s="171"/>
      <c r="AC54" s="171"/>
      <c r="AD54" s="171"/>
      <c r="AE54" s="171"/>
    </row>
    <row r="55" spans="1:31" ht="30.25" customHeight="1" x14ac:dyDescent="0.35">
      <c r="A55" s="209"/>
      <c r="B55" s="44">
        <v>52</v>
      </c>
      <c r="C55" s="206"/>
      <c r="D55" s="46" t="s">
        <v>13</v>
      </c>
      <c r="E55" s="48" t="s">
        <v>8</v>
      </c>
      <c r="F55" s="50" t="s">
        <v>28</v>
      </c>
      <c r="G55" s="44" t="s">
        <v>29</v>
      </c>
      <c r="H55" s="44" t="s">
        <v>34</v>
      </c>
      <c r="I55" s="44" t="s">
        <v>9</v>
      </c>
      <c r="J55" s="47">
        <v>50</v>
      </c>
      <c r="K55" s="27">
        <f>0</f>
        <v>0</v>
      </c>
      <c r="L55" s="127">
        <f t="shared" si="5"/>
        <v>0</v>
      </c>
      <c r="M55" s="127">
        <f t="shared" si="6"/>
        <v>0</v>
      </c>
      <c r="N55" s="128"/>
      <c r="O55" s="129">
        <f t="shared" si="3"/>
        <v>0</v>
      </c>
      <c r="P55" s="128"/>
      <c r="Q55" s="128"/>
      <c r="R55" s="128"/>
      <c r="S55" s="26">
        <f t="shared" si="7"/>
        <v>0</v>
      </c>
      <c r="T55" s="25" t="str">
        <f t="shared" si="4"/>
        <v>OK</v>
      </c>
      <c r="U55" s="138"/>
      <c r="V55" s="138"/>
      <c r="W55" s="138"/>
      <c r="X55" s="138"/>
      <c r="Y55" s="139"/>
      <c r="Z55" s="139"/>
      <c r="AA55" s="139"/>
      <c r="AB55" s="171"/>
      <c r="AC55" s="171"/>
      <c r="AD55" s="171"/>
      <c r="AE55" s="171"/>
    </row>
    <row r="56" spans="1:31" ht="30.25" customHeight="1" x14ac:dyDescent="0.35">
      <c r="A56" s="209"/>
      <c r="B56" s="44">
        <v>53</v>
      </c>
      <c r="C56" s="206"/>
      <c r="D56" s="46" t="s">
        <v>157</v>
      </c>
      <c r="E56" s="48" t="s">
        <v>8</v>
      </c>
      <c r="F56" s="50" t="s">
        <v>28</v>
      </c>
      <c r="G56" s="44" t="s">
        <v>29</v>
      </c>
      <c r="H56" s="44" t="s">
        <v>8</v>
      </c>
      <c r="I56" s="44" t="s">
        <v>9</v>
      </c>
      <c r="J56" s="47">
        <v>50</v>
      </c>
      <c r="K56" s="27">
        <f>0</f>
        <v>0</v>
      </c>
      <c r="L56" s="127">
        <f t="shared" si="5"/>
        <v>0</v>
      </c>
      <c r="M56" s="127">
        <f t="shared" si="6"/>
        <v>0</v>
      </c>
      <c r="N56" s="128"/>
      <c r="O56" s="129">
        <f t="shared" si="3"/>
        <v>0</v>
      </c>
      <c r="P56" s="128"/>
      <c r="Q56" s="128"/>
      <c r="R56" s="128"/>
      <c r="S56" s="26">
        <f t="shared" si="7"/>
        <v>0</v>
      </c>
      <c r="T56" s="25" t="str">
        <f t="shared" si="4"/>
        <v>OK</v>
      </c>
      <c r="U56" s="138"/>
      <c r="V56" s="138"/>
      <c r="W56" s="138"/>
      <c r="X56" s="138"/>
      <c r="Y56" s="139"/>
      <c r="Z56" s="139"/>
      <c r="AA56" s="139"/>
      <c r="AB56" s="171"/>
      <c r="AC56" s="171"/>
      <c r="AD56" s="171"/>
      <c r="AE56" s="171"/>
    </row>
    <row r="57" spans="1:31" ht="30.25" customHeight="1" x14ac:dyDescent="0.35">
      <c r="A57" s="209"/>
      <c r="B57" s="44">
        <v>54</v>
      </c>
      <c r="C57" s="206"/>
      <c r="D57" s="46" t="s">
        <v>30</v>
      </c>
      <c r="E57" s="48" t="s">
        <v>8</v>
      </c>
      <c r="F57" s="50" t="s">
        <v>28</v>
      </c>
      <c r="G57" s="44" t="s">
        <v>29</v>
      </c>
      <c r="H57" s="44" t="s">
        <v>8</v>
      </c>
      <c r="I57" s="44" t="s">
        <v>9</v>
      </c>
      <c r="J57" s="47">
        <v>80</v>
      </c>
      <c r="K57" s="27">
        <f>0</f>
        <v>0</v>
      </c>
      <c r="L57" s="127">
        <f t="shared" si="5"/>
        <v>0</v>
      </c>
      <c r="M57" s="127">
        <f t="shared" si="6"/>
        <v>0</v>
      </c>
      <c r="N57" s="128"/>
      <c r="O57" s="129">
        <f t="shared" si="3"/>
        <v>0</v>
      </c>
      <c r="P57" s="128"/>
      <c r="Q57" s="128"/>
      <c r="R57" s="128"/>
      <c r="S57" s="26">
        <f t="shared" si="7"/>
        <v>0</v>
      </c>
      <c r="T57" s="25" t="str">
        <f t="shared" si="4"/>
        <v>OK</v>
      </c>
      <c r="U57" s="138"/>
      <c r="V57" s="138"/>
      <c r="W57" s="138"/>
      <c r="X57" s="138"/>
      <c r="Y57" s="139"/>
      <c r="Z57" s="139"/>
      <c r="AA57" s="139"/>
      <c r="AB57" s="171"/>
      <c r="AC57" s="171"/>
      <c r="AD57" s="171"/>
      <c r="AE57" s="171"/>
    </row>
    <row r="58" spans="1:31" ht="30.25" customHeight="1" x14ac:dyDescent="0.35">
      <c r="A58" s="209"/>
      <c r="B58" s="44">
        <v>55</v>
      </c>
      <c r="C58" s="206"/>
      <c r="D58" s="46" t="s">
        <v>162</v>
      </c>
      <c r="E58" s="48" t="s">
        <v>8</v>
      </c>
      <c r="F58" s="50" t="s">
        <v>28</v>
      </c>
      <c r="G58" s="44" t="s">
        <v>159</v>
      </c>
      <c r="H58" s="44" t="s">
        <v>8</v>
      </c>
      <c r="I58" s="44" t="s">
        <v>9</v>
      </c>
      <c r="J58" s="47">
        <v>1114</v>
      </c>
      <c r="K58" s="27">
        <f>0</f>
        <v>0</v>
      </c>
      <c r="L58" s="127">
        <f t="shared" si="5"/>
        <v>0</v>
      </c>
      <c r="M58" s="127">
        <f t="shared" si="6"/>
        <v>0</v>
      </c>
      <c r="N58" s="128"/>
      <c r="O58" s="129">
        <f t="shared" si="3"/>
        <v>0</v>
      </c>
      <c r="P58" s="128"/>
      <c r="Q58" s="128"/>
      <c r="R58" s="128"/>
      <c r="S58" s="26">
        <f t="shared" si="7"/>
        <v>0</v>
      </c>
      <c r="T58" s="25" t="str">
        <f t="shared" si="4"/>
        <v>OK</v>
      </c>
      <c r="U58" s="138"/>
      <c r="V58" s="138"/>
      <c r="W58" s="138"/>
      <c r="X58" s="138"/>
      <c r="Y58" s="139"/>
      <c r="Z58" s="139"/>
      <c r="AA58" s="139"/>
      <c r="AB58" s="171"/>
      <c r="AC58" s="171"/>
      <c r="AD58" s="171"/>
      <c r="AE58" s="171"/>
    </row>
    <row r="59" spans="1:31" ht="30.25" customHeight="1" x14ac:dyDescent="0.35">
      <c r="A59" s="210"/>
      <c r="B59" s="44">
        <v>56</v>
      </c>
      <c r="C59" s="207"/>
      <c r="D59" s="46" t="s">
        <v>160</v>
      </c>
      <c r="E59" s="48" t="s">
        <v>8</v>
      </c>
      <c r="F59" s="50" t="s">
        <v>28</v>
      </c>
      <c r="G59" s="44" t="s">
        <v>29</v>
      </c>
      <c r="H59" s="44" t="s">
        <v>8</v>
      </c>
      <c r="I59" s="44" t="s">
        <v>9</v>
      </c>
      <c r="J59" s="47">
        <v>2000</v>
      </c>
      <c r="K59" s="27">
        <f>0</f>
        <v>0</v>
      </c>
      <c r="L59" s="127">
        <f t="shared" si="5"/>
        <v>0</v>
      </c>
      <c r="M59" s="127">
        <f t="shared" si="6"/>
        <v>0</v>
      </c>
      <c r="N59" s="128"/>
      <c r="O59" s="129">
        <f t="shared" si="3"/>
        <v>0</v>
      </c>
      <c r="P59" s="128"/>
      <c r="Q59" s="128"/>
      <c r="R59" s="128"/>
      <c r="S59" s="26">
        <f t="shared" si="7"/>
        <v>0</v>
      </c>
      <c r="T59" s="25" t="str">
        <f t="shared" si="4"/>
        <v>OK</v>
      </c>
      <c r="U59" s="138"/>
      <c r="V59" s="138"/>
      <c r="W59" s="138"/>
      <c r="X59" s="138"/>
      <c r="Y59" s="139"/>
      <c r="Z59" s="139"/>
      <c r="AA59" s="139"/>
      <c r="AB59" s="171"/>
      <c r="AC59" s="171"/>
      <c r="AD59" s="171"/>
      <c r="AE59" s="171"/>
    </row>
    <row r="60" spans="1:31" ht="30.25" customHeight="1" x14ac:dyDescent="0.35">
      <c r="A60" s="198" t="s">
        <v>163</v>
      </c>
      <c r="B60" s="37">
        <v>57</v>
      </c>
      <c r="C60" s="195" t="s">
        <v>33</v>
      </c>
      <c r="D60" s="34" t="s">
        <v>27</v>
      </c>
      <c r="E60" s="41" t="s">
        <v>8</v>
      </c>
      <c r="F60" s="43" t="s">
        <v>28</v>
      </c>
      <c r="G60" s="37" t="s">
        <v>29</v>
      </c>
      <c r="H60" s="37" t="s">
        <v>8</v>
      </c>
      <c r="I60" s="37" t="s">
        <v>9</v>
      </c>
      <c r="J60" s="36">
        <v>250.5</v>
      </c>
      <c r="K60" s="27">
        <f>2</f>
        <v>2</v>
      </c>
      <c r="L60" s="127">
        <f t="shared" si="5"/>
        <v>2</v>
      </c>
      <c r="M60" s="127">
        <f t="shared" si="6"/>
        <v>2</v>
      </c>
      <c r="N60" s="128"/>
      <c r="O60" s="129">
        <f t="shared" si="3"/>
        <v>0</v>
      </c>
      <c r="P60" s="128"/>
      <c r="Q60" s="128"/>
      <c r="R60" s="128"/>
      <c r="S60" s="26">
        <f t="shared" si="7"/>
        <v>0</v>
      </c>
      <c r="T60" s="25" t="str">
        <f t="shared" si="4"/>
        <v>OK</v>
      </c>
      <c r="U60" s="138"/>
      <c r="V60" s="138"/>
      <c r="W60" s="138"/>
      <c r="X60" s="150">
        <v>2</v>
      </c>
      <c r="Y60" s="139"/>
      <c r="Z60" s="139"/>
      <c r="AA60" s="139"/>
      <c r="AB60" s="171"/>
      <c r="AC60" s="171"/>
      <c r="AD60" s="171"/>
      <c r="AE60" s="171"/>
    </row>
    <row r="61" spans="1:31" ht="30.25" customHeight="1" x14ac:dyDescent="0.35">
      <c r="A61" s="199"/>
      <c r="B61" s="37">
        <v>58</v>
      </c>
      <c r="C61" s="196"/>
      <c r="D61" s="34" t="s">
        <v>7</v>
      </c>
      <c r="E61" s="41" t="s">
        <v>8</v>
      </c>
      <c r="F61" s="43" t="s">
        <v>28</v>
      </c>
      <c r="G61" s="37" t="s">
        <v>29</v>
      </c>
      <c r="H61" s="37" t="s">
        <v>8</v>
      </c>
      <c r="I61" s="37" t="s">
        <v>9</v>
      </c>
      <c r="J61" s="36">
        <v>1000</v>
      </c>
      <c r="K61" s="27">
        <f>38</f>
        <v>38</v>
      </c>
      <c r="L61" s="127">
        <f t="shared" si="5"/>
        <v>38</v>
      </c>
      <c r="M61" s="127">
        <f t="shared" si="6"/>
        <v>38</v>
      </c>
      <c r="N61" s="128"/>
      <c r="O61" s="129">
        <f t="shared" si="3"/>
        <v>9</v>
      </c>
      <c r="P61" s="128"/>
      <c r="Q61" s="128"/>
      <c r="R61" s="128"/>
      <c r="S61" s="26">
        <f t="shared" si="7"/>
        <v>0</v>
      </c>
      <c r="T61" s="25" t="str">
        <f t="shared" si="4"/>
        <v>OK</v>
      </c>
      <c r="U61" s="138"/>
      <c r="V61" s="138"/>
      <c r="W61" s="138"/>
      <c r="X61" s="150">
        <v>20</v>
      </c>
      <c r="Y61" s="139"/>
      <c r="Z61" s="139"/>
      <c r="AA61" s="151">
        <v>4</v>
      </c>
      <c r="AB61" s="171"/>
      <c r="AC61" s="171">
        <v>14</v>
      </c>
      <c r="AD61" s="171"/>
      <c r="AE61" s="171"/>
    </row>
    <row r="62" spans="1:31" ht="30.25" customHeight="1" x14ac:dyDescent="0.35">
      <c r="A62" s="199"/>
      <c r="B62" s="37">
        <v>59</v>
      </c>
      <c r="C62" s="196"/>
      <c r="D62" s="34" t="s">
        <v>10</v>
      </c>
      <c r="E62" s="41" t="s">
        <v>8</v>
      </c>
      <c r="F62" s="43" t="s">
        <v>28</v>
      </c>
      <c r="G62" s="37" t="s">
        <v>29</v>
      </c>
      <c r="H62" s="37" t="s">
        <v>8</v>
      </c>
      <c r="I62" s="37" t="s">
        <v>9</v>
      </c>
      <c r="J62" s="36">
        <v>1500</v>
      </c>
      <c r="K62" s="27">
        <f>8</f>
        <v>8</v>
      </c>
      <c r="L62" s="127">
        <f t="shared" si="5"/>
        <v>8</v>
      </c>
      <c r="M62" s="127">
        <f t="shared" si="6"/>
        <v>8</v>
      </c>
      <c r="N62" s="128"/>
      <c r="O62" s="129">
        <f t="shared" si="3"/>
        <v>2</v>
      </c>
      <c r="P62" s="128"/>
      <c r="Q62" s="128"/>
      <c r="R62" s="128"/>
      <c r="S62" s="26">
        <f t="shared" si="7"/>
        <v>0</v>
      </c>
      <c r="T62" s="25" t="str">
        <f t="shared" si="4"/>
        <v>OK</v>
      </c>
      <c r="U62" s="138"/>
      <c r="V62" s="138"/>
      <c r="W62" s="138"/>
      <c r="X62" s="150">
        <v>5</v>
      </c>
      <c r="Y62" s="139"/>
      <c r="Z62" s="139"/>
      <c r="AA62" s="151">
        <v>2</v>
      </c>
      <c r="AB62" s="171"/>
      <c r="AC62" s="171">
        <v>1</v>
      </c>
      <c r="AD62" s="171"/>
      <c r="AE62" s="171"/>
    </row>
    <row r="63" spans="1:31" ht="30.25" customHeight="1" x14ac:dyDescent="0.35">
      <c r="A63" s="199"/>
      <c r="B63" s="37">
        <v>60</v>
      </c>
      <c r="C63" s="196"/>
      <c r="D63" s="34" t="s">
        <v>11</v>
      </c>
      <c r="E63" s="41" t="s">
        <v>8</v>
      </c>
      <c r="F63" s="43" t="s">
        <v>28</v>
      </c>
      <c r="G63" s="37" t="s">
        <v>29</v>
      </c>
      <c r="H63" s="37" t="s">
        <v>8</v>
      </c>
      <c r="I63" s="37" t="s">
        <v>9</v>
      </c>
      <c r="J63" s="36">
        <v>1731</v>
      </c>
      <c r="K63" s="27">
        <f>4</f>
        <v>4</v>
      </c>
      <c r="L63" s="127">
        <f t="shared" si="5"/>
        <v>4</v>
      </c>
      <c r="M63" s="127">
        <f t="shared" si="6"/>
        <v>4</v>
      </c>
      <c r="N63" s="128"/>
      <c r="O63" s="129">
        <f t="shared" si="3"/>
        <v>1</v>
      </c>
      <c r="P63" s="128"/>
      <c r="Q63" s="128"/>
      <c r="R63" s="128"/>
      <c r="S63" s="26">
        <f t="shared" si="7"/>
        <v>0</v>
      </c>
      <c r="T63" s="25" t="str">
        <f t="shared" si="4"/>
        <v>OK</v>
      </c>
      <c r="U63" s="138"/>
      <c r="V63" s="138"/>
      <c r="W63" s="138"/>
      <c r="X63" s="138"/>
      <c r="Y63" s="151">
        <v>2</v>
      </c>
      <c r="Z63" s="139"/>
      <c r="AA63" s="151">
        <v>2</v>
      </c>
      <c r="AB63" s="171"/>
      <c r="AC63" s="171"/>
      <c r="AD63" s="171"/>
      <c r="AE63" s="171"/>
    </row>
    <row r="64" spans="1:31" ht="30.25" customHeight="1" x14ac:dyDescent="0.35">
      <c r="A64" s="199"/>
      <c r="B64" s="37">
        <v>61</v>
      </c>
      <c r="C64" s="196"/>
      <c r="D64" s="34" t="s">
        <v>12</v>
      </c>
      <c r="E64" s="41" t="s">
        <v>8</v>
      </c>
      <c r="F64" s="43" t="s">
        <v>28</v>
      </c>
      <c r="G64" s="37" t="s">
        <v>29</v>
      </c>
      <c r="H64" s="37" t="s">
        <v>34</v>
      </c>
      <c r="I64" s="37" t="s">
        <v>9</v>
      </c>
      <c r="J64" s="36">
        <v>160</v>
      </c>
      <c r="K64" s="27">
        <f>200</f>
        <v>200</v>
      </c>
      <c r="L64" s="127">
        <f t="shared" si="5"/>
        <v>156</v>
      </c>
      <c r="M64" s="127">
        <f t="shared" si="6"/>
        <v>156</v>
      </c>
      <c r="N64" s="128"/>
      <c r="O64" s="129">
        <f t="shared" si="3"/>
        <v>50</v>
      </c>
      <c r="P64" s="128"/>
      <c r="Q64" s="128"/>
      <c r="R64" s="128"/>
      <c r="S64" s="26">
        <f t="shared" si="7"/>
        <v>44</v>
      </c>
      <c r="T64" s="25" t="str">
        <f t="shared" si="4"/>
        <v>OK</v>
      </c>
      <c r="U64" s="138"/>
      <c r="V64" s="138"/>
      <c r="W64" s="138"/>
      <c r="X64" s="150">
        <v>40</v>
      </c>
      <c r="Y64" s="139"/>
      <c r="Z64" s="139"/>
      <c r="AA64" s="151">
        <v>17</v>
      </c>
      <c r="AB64" s="171"/>
      <c r="AC64" s="171">
        <v>84</v>
      </c>
      <c r="AD64" s="171"/>
      <c r="AE64" s="171">
        <v>15</v>
      </c>
    </row>
    <row r="65" spans="1:31" ht="30.25" customHeight="1" x14ac:dyDescent="0.35">
      <c r="A65" s="199"/>
      <c r="B65" s="37">
        <v>62</v>
      </c>
      <c r="C65" s="196"/>
      <c r="D65" s="34" t="s">
        <v>156</v>
      </c>
      <c r="E65" s="41" t="s">
        <v>8</v>
      </c>
      <c r="F65" s="43" t="s">
        <v>28</v>
      </c>
      <c r="G65" s="37" t="s">
        <v>29</v>
      </c>
      <c r="H65" s="37" t="s">
        <v>34</v>
      </c>
      <c r="I65" s="37" t="s">
        <v>9</v>
      </c>
      <c r="J65" s="36">
        <v>135</v>
      </c>
      <c r="K65" s="27">
        <f>70</f>
        <v>70</v>
      </c>
      <c r="L65" s="127">
        <f t="shared" si="5"/>
        <v>70</v>
      </c>
      <c r="M65" s="127">
        <f t="shared" si="6"/>
        <v>70</v>
      </c>
      <c r="N65" s="128"/>
      <c r="O65" s="129">
        <f t="shared" si="3"/>
        <v>17</v>
      </c>
      <c r="P65" s="128"/>
      <c r="Q65" s="128"/>
      <c r="R65" s="128"/>
      <c r="S65" s="26">
        <f t="shared" si="7"/>
        <v>0</v>
      </c>
      <c r="T65" s="25" t="str">
        <f t="shared" si="4"/>
        <v>OK</v>
      </c>
      <c r="U65" s="138"/>
      <c r="V65" s="138"/>
      <c r="W65" s="138"/>
      <c r="X65" s="150">
        <v>30</v>
      </c>
      <c r="Y65" s="139"/>
      <c r="Z65" s="139"/>
      <c r="AA65" s="151">
        <v>6</v>
      </c>
      <c r="AB65" s="171"/>
      <c r="AC65" s="171">
        <v>6</v>
      </c>
      <c r="AD65" s="171"/>
      <c r="AE65" s="171">
        <v>28</v>
      </c>
    </row>
    <row r="66" spans="1:31" ht="30.25" customHeight="1" x14ac:dyDescent="0.35">
      <c r="A66" s="199"/>
      <c r="B66" s="37">
        <v>63</v>
      </c>
      <c r="C66" s="196"/>
      <c r="D66" s="34" t="s">
        <v>13</v>
      </c>
      <c r="E66" s="41" t="s">
        <v>8</v>
      </c>
      <c r="F66" s="43" t="s">
        <v>28</v>
      </c>
      <c r="G66" s="37" t="s">
        <v>29</v>
      </c>
      <c r="H66" s="37" t="s">
        <v>34</v>
      </c>
      <c r="I66" s="37" t="s">
        <v>9</v>
      </c>
      <c r="J66" s="36">
        <v>135</v>
      </c>
      <c r="K66" s="27">
        <f>20</f>
        <v>20</v>
      </c>
      <c r="L66" s="127">
        <f t="shared" si="5"/>
        <v>20</v>
      </c>
      <c r="M66" s="127">
        <f t="shared" si="6"/>
        <v>20</v>
      </c>
      <c r="N66" s="128"/>
      <c r="O66" s="129">
        <f t="shared" si="3"/>
        <v>5</v>
      </c>
      <c r="P66" s="128"/>
      <c r="Q66" s="128"/>
      <c r="R66" s="128"/>
      <c r="S66" s="26">
        <f t="shared" si="7"/>
        <v>0</v>
      </c>
      <c r="T66" s="25" t="str">
        <f t="shared" si="4"/>
        <v>OK</v>
      </c>
      <c r="U66" s="138"/>
      <c r="V66" s="138"/>
      <c r="W66" s="138"/>
      <c r="X66" s="138"/>
      <c r="Y66" s="151">
        <v>15</v>
      </c>
      <c r="Z66" s="139"/>
      <c r="AA66" s="139"/>
      <c r="AB66" s="171"/>
      <c r="AC66" s="171">
        <v>5</v>
      </c>
      <c r="AD66" s="171"/>
      <c r="AE66" s="171"/>
    </row>
    <row r="67" spans="1:31" ht="30.25" customHeight="1" x14ac:dyDescent="0.35">
      <c r="A67" s="199"/>
      <c r="B67" s="37">
        <v>64</v>
      </c>
      <c r="C67" s="196"/>
      <c r="D67" s="34" t="s">
        <v>157</v>
      </c>
      <c r="E67" s="41" t="s">
        <v>8</v>
      </c>
      <c r="F67" s="43" t="s">
        <v>28</v>
      </c>
      <c r="G67" s="37" t="s">
        <v>29</v>
      </c>
      <c r="H67" s="37" t="s">
        <v>8</v>
      </c>
      <c r="I67" s="37" t="s">
        <v>9</v>
      </c>
      <c r="J67" s="36">
        <v>365</v>
      </c>
      <c r="K67" s="27">
        <f>15</f>
        <v>15</v>
      </c>
      <c r="L67" s="127">
        <f t="shared" si="5"/>
        <v>15</v>
      </c>
      <c r="M67" s="127">
        <f t="shared" si="6"/>
        <v>15</v>
      </c>
      <c r="N67" s="128"/>
      <c r="O67" s="129">
        <f t="shared" si="3"/>
        <v>3</v>
      </c>
      <c r="P67" s="128"/>
      <c r="Q67" s="128"/>
      <c r="R67" s="128"/>
      <c r="S67" s="26">
        <f t="shared" si="7"/>
        <v>0</v>
      </c>
      <c r="T67" s="25" t="str">
        <f t="shared" si="4"/>
        <v>OK</v>
      </c>
      <c r="U67" s="138"/>
      <c r="V67" s="138"/>
      <c r="W67" s="138"/>
      <c r="X67" s="150">
        <v>3</v>
      </c>
      <c r="Y67" s="151">
        <v>12</v>
      </c>
      <c r="Z67" s="139"/>
      <c r="AA67" s="139"/>
      <c r="AB67" s="171"/>
      <c r="AC67" s="171"/>
      <c r="AD67" s="171"/>
      <c r="AE67" s="171"/>
    </row>
    <row r="68" spans="1:31" ht="30.25" customHeight="1" x14ac:dyDescent="0.35">
      <c r="A68" s="200"/>
      <c r="B68" s="37">
        <v>65</v>
      </c>
      <c r="C68" s="197"/>
      <c r="D68" s="34" t="s">
        <v>30</v>
      </c>
      <c r="E68" s="41" t="s">
        <v>8</v>
      </c>
      <c r="F68" s="43" t="s">
        <v>28</v>
      </c>
      <c r="G68" s="37" t="s">
        <v>29</v>
      </c>
      <c r="H68" s="37" t="s">
        <v>8</v>
      </c>
      <c r="I68" s="37" t="s">
        <v>9</v>
      </c>
      <c r="J68" s="36">
        <v>100</v>
      </c>
      <c r="K68" s="27">
        <f>3</f>
        <v>3</v>
      </c>
      <c r="L68" s="127">
        <f t="shared" ref="L68:L81" si="8">IF(SUM(U68:AI68)&gt;K68+N68,K68+N68,SUM(U68:AI68))</f>
        <v>0</v>
      </c>
      <c r="M68" s="127">
        <f t="shared" ref="M68:M81" si="9">(SUM(U68:AI68))</f>
        <v>0</v>
      </c>
      <c r="N68" s="128"/>
      <c r="O68" s="129">
        <f t="shared" si="3"/>
        <v>0</v>
      </c>
      <c r="P68" s="128"/>
      <c r="Q68" s="128"/>
      <c r="R68" s="128"/>
      <c r="S68" s="26">
        <f t="shared" ref="S68:S81" si="10">K68-SUM(U68:AE68)+N68</f>
        <v>3</v>
      </c>
      <c r="T68" s="25" t="str">
        <f t="shared" si="4"/>
        <v>OK</v>
      </c>
      <c r="U68" s="138"/>
      <c r="V68" s="138"/>
      <c r="W68" s="138"/>
      <c r="X68" s="138"/>
      <c r="Y68" s="139"/>
      <c r="Z68" s="139"/>
      <c r="AA68" s="139"/>
      <c r="AB68" s="171"/>
      <c r="AC68" s="171"/>
      <c r="AD68" s="171"/>
      <c r="AE68" s="171"/>
    </row>
    <row r="69" spans="1:31" ht="30.25" customHeight="1" x14ac:dyDescent="0.35">
      <c r="A69" s="208" t="s">
        <v>164</v>
      </c>
      <c r="B69" s="44">
        <v>66</v>
      </c>
      <c r="C69" s="205" t="s">
        <v>92</v>
      </c>
      <c r="D69" s="46" t="s">
        <v>27</v>
      </c>
      <c r="E69" s="48" t="s">
        <v>8</v>
      </c>
      <c r="F69" s="50" t="s">
        <v>28</v>
      </c>
      <c r="G69" s="44" t="s">
        <v>29</v>
      </c>
      <c r="H69" s="44" t="s">
        <v>8</v>
      </c>
      <c r="I69" s="44" t="s">
        <v>9</v>
      </c>
      <c r="J69" s="47">
        <v>140</v>
      </c>
      <c r="K69" s="27">
        <f>0</f>
        <v>0</v>
      </c>
      <c r="L69" s="127">
        <f t="shared" si="8"/>
        <v>0</v>
      </c>
      <c r="M69" s="127">
        <f t="shared" si="9"/>
        <v>0</v>
      </c>
      <c r="N69" s="128"/>
      <c r="O69" s="129">
        <f t="shared" ref="O69:O82" si="11">ROUND(IF(K69*0.25-0.5&lt;0,0,K69*0.25-0.5),0)-R69-P69</f>
        <v>0</v>
      </c>
      <c r="P69" s="128"/>
      <c r="Q69" s="128"/>
      <c r="R69" s="128"/>
      <c r="S69" s="26">
        <f t="shared" si="10"/>
        <v>0</v>
      </c>
      <c r="T69" s="25" t="str">
        <f t="shared" ref="T69:T82" si="12">IF(S69&lt;0,"ATENÇÃO","OK")</f>
        <v>OK</v>
      </c>
      <c r="U69" s="138"/>
      <c r="V69" s="138"/>
      <c r="W69" s="138"/>
      <c r="X69" s="138"/>
      <c r="Y69" s="139"/>
      <c r="Z69" s="139"/>
      <c r="AA69" s="139"/>
      <c r="AB69" s="171"/>
      <c r="AC69" s="171"/>
      <c r="AD69" s="171"/>
      <c r="AE69" s="171"/>
    </row>
    <row r="70" spans="1:31" ht="30.25" customHeight="1" x14ac:dyDescent="0.35">
      <c r="A70" s="209"/>
      <c r="B70" s="44">
        <v>67</v>
      </c>
      <c r="C70" s="206"/>
      <c r="D70" s="46" t="s">
        <v>7</v>
      </c>
      <c r="E70" s="48" t="s">
        <v>8</v>
      </c>
      <c r="F70" s="50" t="s">
        <v>28</v>
      </c>
      <c r="G70" s="44" t="s">
        <v>29</v>
      </c>
      <c r="H70" s="44" t="s">
        <v>8</v>
      </c>
      <c r="I70" s="44" t="s">
        <v>9</v>
      </c>
      <c r="J70" s="47">
        <v>530</v>
      </c>
      <c r="K70" s="27">
        <f>0</f>
        <v>0</v>
      </c>
      <c r="L70" s="127">
        <f t="shared" si="8"/>
        <v>0</v>
      </c>
      <c r="M70" s="127">
        <f t="shared" si="9"/>
        <v>0</v>
      </c>
      <c r="N70" s="128"/>
      <c r="O70" s="129">
        <f t="shared" si="11"/>
        <v>0</v>
      </c>
      <c r="P70" s="128"/>
      <c r="Q70" s="128"/>
      <c r="R70" s="128"/>
      <c r="S70" s="26">
        <f t="shared" si="10"/>
        <v>0</v>
      </c>
      <c r="T70" s="25" t="str">
        <f t="shared" si="12"/>
        <v>OK</v>
      </c>
      <c r="U70" s="138"/>
      <c r="V70" s="138"/>
      <c r="W70" s="138"/>
      <c r="X70" s="138"/>
      <c r="Y70" s="139"/>
      <c r="Z70" s="139"/>
      <c r="AA70" s="139"/>
      <c r="AB70" s="171"/>
      <c r="AC70" s="171"/>
      <c r="AD70" s="171"/>
      <c r="AE70" s="171"/>
    </row>
    <row r="71" spans="1:31" ht="30.25" customHeight="1" x14ac:dyDescent="0.35">
      <c r="A71" s="209"/>
      <c r="B71" s="44">
        <v>68</v>
      </c>
      <c r="C71" s="206"/>
      <c r="D71" s="46" t="s">
        <v>10</v>
      </c>
      <c r="E71" s="48" t="s">
        <v>8</v>
      </c>
      <c r="F71" s="50" t="s">
        <v>28</v>
      </c>
      <c r="G71" s="44" t="s">
        <v>29</v>
      </c>
      <c r="H71" s="44" t="s">
        <v>8</v>
      </c>
      <c r="I71" s="44" t="s">
        <v>9</v>
      </c>
      <c r="J71" s="47">
        <v>660</v>
      </c>
      <c r="K71" s="27">
        <f>0</f>
        <v>0</v>
      </c>
      <c r="L71" s="127">
        <f t="shared" si="8"/>
        <v>0</v>
      </c>
      <c r="M71" s="127">
        <f t="shared" si="9"/>
        <v>0</v>
      </c>
      <c r="N71" s="128"/>
      <c r="O71" s="129">
        <f t="shared" si="11"/>
        <v>0</v>
      </c>
      <c r="P71" s="128"/>
      <c r="Q71" s="128"/>
      <c r="R71" s="128"/>
      <c r="S71" s="26">
        <f t="shared" si="10"/>
        <v>0</v>
      </c>
      <c r="T71" s="25" t="str">
        <f t="shared" si="12"/>
        <v>OK</v>
      </c>
      <c r="U71" s="138"/>
      <c r="V71" s="138"/>
      <c r="W71" s="138"/>
      <c r="X71" s="138"/>
      <c r="Y71" s="139"/>
      <c r="Z71" s="139"/>
      <c r="AA71" s="139"/>
      <c r="AB71" s="171"/>
      <c r="AC71" s="171"/>
      <c r="AD71" s="171"/>
      <c r="AE71" s="171"/>
    </row>
    <row r="72" spans="1:31" ht="30.25" customHeight="1" x14ac:dyDescent="0.35">
      <c r="A72" s="209"/>
      <c r="B72" s="44">
        <v>69</v>
      </c>
      <c r="C72" s="206"/>
      <c r="D72" s="46" t="s">
        <v>11</v>
      </c>
      <c r="E72" s="48" t="s">
        <v>8</v>
      </c>
      <c r="F72" s="50" t="s">
        <v>28</v>
      </c>
      <c r="G72" s="44" t="s">
        <v>29</v>
      </c>
      <c r="H72" s="44" t="s">
        <v>8</v>
      </c>
      <c r="I72" s="44" t="s">
        <v>9</v>
      </c>
      <c r="J72" s="47">
        <v>760</v>
      </c>
      <c r="K72" s="27">
        <f>0</f>
        <v>0</v>
      </c>
      <c r="L72" s="127">
        <f t="shared" si="8"/>
        <v>0</v>
      </c>
      <c r="M72" s="127">
        <f t="shared" si="9"/>
        <v>0</v>
      </c>
      <c r="N72" s="128"/>
      <c r="O72" s="129">
        <f t="shared" si="11"/>
        <v>0</v>
      </c>
      <c r="P72" s="128"/>
      <c r="Q72" s="128"/>
      <c r="R72" s="128"/>
      <c r="S72" s="26">
        <f t="shared" si="10"/>
        <v>0</v>
      </c>
      <c r="T72" s="25" t="str">
        <f t="shared" si="12"/>
        <v>OK</v>
      </c>
      <c r="U72" s="138"/>
      <c r="V72" s="138"/>
      <c r="W72" s="138"/>
      <c r="X72" s="138"/>
      <c r="Y72" s="139"/>
      <c r="Z72" s="139"/>
      <c r="AA72" s="139"/>
      <c r="AB72" s="171"/>
      <c r="AC72" s="171"/>
      <c r="AD72" s="171"/>
      <c r="AE72" s="171"/>
    </row>
    <row r="73" spans="1:31" ht="30.25" customHeight="1" x14ac:dyDescent="0.35">
      <c r="A73" s="209"/>
      <c r="B73" s="44">
        <v>70</v>
      </c>
      <c r="C73" s="206"/>
      <c r="D73" s="46" t="s">
        <v>12</v>
      </c>
      <c r="E73" s="48" t="s">
        <v>8</v>
      </c>
      <c r="F73" s="50" t="s">
        <v>28</v>
      </c>
      <c r="G73" s="44" t="s">
        <v>29</v>
      </c>
      <c r="H73" s="44" t="s">
        <v>34</v>
      </c>
      <c r="I73" s="44" t="s">
        <v>9</v>
      </c>
      <c r="J73" s="47">
        <v>70</v>
      </c>
      <c r="K73" s="27">
        <f>0</f>
        <v>0</v>
      </c>
      <c r="L73" s="127">
        <f t="shared" si="8"/>
        <v>0</v>
      </c>
      <c r="M73" s="127">
        <f t="shared" si="9"/>
        <v>0</v>
      </c>
      <c r="N73" s="128"/>
      <c r="O73" s="129">
        <f t="shared" si="11"/>
        <v>0</v>
      </c>
      <c r="P73" s="128"/>
      <c r="Q73" s="128"/>
      <c r="R73" s="128"/>
      <c r="S73" s="26">
        <f t="shared" si="10"/>
        <v>0</v>
      </c>
      <c r="T73" s="25" t="str">
        <f t="shared" si="12"/>
        <v>OK</v>
      </c>
      <c r="U73" s="138"/>
      <c r="V73" s="138"/>
      <c r="W73" s="138"/>
      <c r="X73" s="138"/>
      <c r="Y73" s="139"/>
      <c r="Z73" s="139"/>
      <c r="AA73" s="139"/>
      <c r="AB73" s="171"/>
      <c r="AC73" s="171"/>
      <c r="AD73" s="171"/>
      <c r="AE73" s="171"/>
    </row>
    <row r="74" spans="1:31" ht="30.25" customHeight="1" x14ac:dyDescent="0.35">
      <c r="A74" s="209"/>
      <c r="B74" s="44">
        <v>71</v>
      </c>
      <c r="C74" s="206"/>
      <c r="D74" s="46" t="s">
        <v>156</v>
      </c>
      <c r="E74" s="48" t="s">
        <v>8</v>
      </c>
      <c r="F74" s="50" t="s">
        <v>28</v>
      </c>
      <c r="G74" s="44" t="s">
        <v>29</v>
      </c>
      <c r="H74" s="44" t="s">
        <v>34</v>
      </c>
      <c r="I74" s="44" t="s">
        <v>9</v>
      </c>
      <c r="J74" s="47">
        <v>75</v>
      </c>
      <c r="K74" s="27">
        <f>0</f>
        <v>0</v>
      </c>
      <c r="L74" s="127">
        <f t="shared" si="8"/>
        <v>0</v>
      </c>
      <c r="M74" s="127">
        <f t="shared" si="9"/>
        <v>0</v>
      </c>
      <c r="N74" s="128"/>
      <c r="O74" s="129">
        <f t="shared" si="11"/>
        <v>0</v>
      </c>
      <c r="P74" s="128"/>
      <c r="Q74" s="128"/>
      <c r="R74" s="128"/>
      <c r="S74" s="26">
        <f t="shared" si="10"/>
        <v>0</v>
      </c>
      <c r="T74" s="25" t="str">
        <f t="shared" si="12"/>
        <v>OK</v>
      </c>
      <c r="U74" s="138"/>
      <c r="V74" s="138"/>
      <c r="W74" s="138"/>
      <c r="X74" s="138"/>
      <c r="Y74" s="139"/>
      <c r="Z74" s="139"/>
      <c r="AA74" s="139"/>
      <c r="AB74" s="171"/>
      <c r="AC74" s="171"/>
      <c r="AD74" s="171"/>
      <c r="AE74" s="171"/>
    </row>
    <row r="75" spans="1:31" ht="30.25" customHeight="1" x14ac:dyDescent="0.35">
      <c r="A75" s="209"/>
      <c r="B75" s="44">
        <v>72</v>
      </c>
      <c r="C75" s="206"/>
      <c r="D75" s="46" t="s">
        <v>13</v>
      </c>
      <c r="E75" s="48" t="s">
        <v>8</v>
      </c>
      <c r="F75" s="50" t="s">
        <v>28</v>
      </c>
      <c r="G75" s="44" t="s">
        <v>29</v>
      </c>
      <c r="H75" s="44" t="s">
        <v>34</v>
      </c>
      <c r="I75" s="44" t="s">
        <v>9</v>
      </c>
      <c r="J75" s="47">
        <v>80</v>
      </c>
      <c r="K75" s="27">
        <f>0</f>
        <v>0</v>
      </c>
      <c r="L75" s="127">
        <f t="shared" si="8"/>
        <v>0</v>
      </c>
      <c r="M75" s="127">
        <f t="shared" si="9"/>
        <v>0</v>
      </c>
      <c r="N75" s="128"/>
      <c r="O75" s="129">
        <f t="shared" si="11"/>
        <v>0</v>
      </c>
      <c r="P75" s="128"/>
      <c r="Q75" s="128"/>
      <c r="R75" s="128"/>
      <c r="S75" s="26">
        <f t="shared" si="10"/>
        <v>0</v>
      </c>
      <c r="T75" s="25" t="str">
        <f t="shared" si="12"/>
        <v>OK</v>
      </c>
      <c r="U75" s="138"/>
      <c r="V75" s="138"/>
      <c r="W75" s="138"/>
      <c r="X75" s="138"/>
      <c r="Y75" s="139"/>
      <c r="Z75" s="139"/>
      <c r="AA75" s="139"/>
      <c r="AB75" s="171"/>
      <c r="AC75" s="171"/>
      <c r="AD75" s="171"/>
      <c r="AE75" s="171"/>
    </row>
    <row r="76" spans="1:31" ht="30.25" customHeight="1" x14ac:dyDescent="0.35">
      <c r="A76" s="209"/>
      <c r="B76" s="44">
        <v>73</v>
      </c>
      <c r="C76" s="206"/>
      <c r="D76" s="46" t="s">
        <v>157</v>
      </c>
      <c r="E76" s="48" t="s">
        <v>8</v>
      </c>
      <c r="F76" s="50" t="s">
        <v>28</v>
      </c>
      <c r="G76" s="44" t="s">
        <v>29</v>
      </c>
      <c r="H76" s="44" t="s">
        <v>8</v>
      </c>
      <c r="I76" s="44" t="s">
        <v>9</v>
      </c>
      <c r="J76" s="47">
        <v>150</v>
      </c>
      <c r="K76" s="27">
        <f>0</f>
        <v>0</v>
      </c>
      <c r="L76" s="127">
        <f t="shared" si="8"/>
        <v>0</v>
      </c>
      <c r="M76" s="127">
        <f t="shared" si="9"/>
        <v>0</v>
      </c>
      <c r="N76" s="128"/>
      <c r="O76" s="129">
        <f t="shared" si="11"/>
        <v>0</v>
      </c>
      <c r="P76" s="128"/>
      <c r="Q76" s="128"/>
      <c r="R76" s="128"/>
      <c r="S76" s="26">
        <f t="shared" si="10"/>
        <v>0</v>
      </c>
      <c r="T76" s="25" t="str">
        <f t="shared" si="12"/>
        <v>OK</v>
      </c>
      <c r="U76" s="138"/>
      <c r="V76" s="138"/>
      <c r="W76" s="138"/>
      <c r="X76" s="138"/>
      <c r="Y76" s="139"/>
      <c r="Z76" s="139"/>
      <c r="AA76" s="139"/>
      <c r="AB76" s="171"/>
      <c r="AC76" s="171"/>
      <c r="AD76" s="171"/>
      <c r="AE76" s="171"/>
    </row>
    <row r="77" spans="1:31" ht="30.25" customHeight="1" x14ac:dyDescent="0.35">
      <c r="A77" s="209"/>
      <c r="B77" s="44">
        <v>74</v>
      </c>
      <c r="C77" s="206"/>
      <c r="D77" s="46" t="s">
        <v>30</v>
      </c>
      <c r="E77" s="48" t="s">
        <v>8</v>
      </c>
      <c r="F77" s="50" t="s">
        <v>28</v>
      </c>
      <c r="G77" s="44" t="s">
        <v>29</v>
      </c>
      <c r="H77" s="44" t="s">
        <v>8</v>
      </c>
      <c r="I77" s="44" t="s">
        <v>9</v>
      </c>
      <c r="J77" s="47">
        <v>150</v>
      </c>
      <c r="K77" s="27">
        <f>0</f>
        <v>0</v>
      </c>
      <c r="L77" s="127">
        <f t="shared" si="8"/>
        <v>0</v>
      </c>
      <c r="M77" s="127">
        <f t="shared" si="9"/>
        <v>0</v>
      </c>
      <c r="N77" s="128"/>
      <c r="O77" s="129">
        <f t="shared" si="11"/>
        <v>0</v>
      </c>
      <c r="P77" s="128"/>
      <c r="Q77" s="128"/>
      <c r="R77" s="128"/>
      <c r="S77" s="26">
        <f t="shared" si="10"/>
        <v>0</v>
      </c>
      <c r="T77" s="25" t="str">
        <f t="shared" si="12"/>
        <v>OK</v>
      </c>
      <c r="U77" s="138"/>
      <c r="V77" s="138"/>
      <c r="W77" s="138"/>
      <c r="X77" s="138"/>
      <c r="Y77" s="139"/>
      <c r="Z77" s="139"/>
      <c r="AA77" s="139"/>
      <c r="AB77" s="171"/>
      <c r="AC77" s="171"/>
      <c r="AD77" s="171"/>
      <c r="AE77" s="171"/>
    </row>
    <row r="78" spans="1:31" ht="30.25" customHeight="1" x14ac:dyDescent="0.35">
      <c r="A78" s="210"/>
      <c r="B78" s="44">
        <v>75</v>
      </c>
      <c r="C78" s="207"/>
      <c r="D78" s="46" t="s">
        <v>165</v>
      </c>
      <c r="E78" s="48" t="s">
        <v>8</v>
      </c>
      <c r="F78" s="50" t="s">
        <v>28</v>
      </c>
      <c r="G78" s="44" t="s">
        <v>29</v>
      </c>
      <c r="H78" s="44" t="s">
        <v>8</v>
      </c>
      <c r="I78" s="44" t="s">
        <v>9</v>
      </c>
      <c r="J78" s="47">
        <v>300</v>
      </c>
      <c r="K78" s="27">
        <f>0</f>
        <v>0</v>
      </c>
      <c r="L78" s="127">
        <f t="shared" si="8"/>
        <v>0</v>
      </c>
      <c r="M78" s="127">
        <f t="shared" si="9"/>
        <v>0</v>
      </c>
      <c r="N78" s="128"/>
      <c r="O78" s="129">
        <f t="shared" si="11"/>
        <v>0</v>
      </c>
      <c r="P78" s="128"/>
      <c r="Q78" s="128"/>
      <c r="R78" s="128"/>
      <c r="S78" s="26">
        <f t="shared" si="10"/>
        <v>0</v>
      </c>
      <c r="T78" s="25" t="str">
        <f t="shared" si="12"/>
        <v>OK</v>
      </c>
      <c r="U78" s="138"/>
      <c r="V78" s="138"/>
      <c r="W78" s="138"/>
      <c r="X78" s="138"/>
      <c r="Y78" s="139"/>
      <c r="Z78" s="139"/>
      <c r="AA78" s="139"/>
      <c r="AB78" s="171"/>
      <c r="AC78" s="171"/>
      <c r="AD78" s="171"/>
      <c r="AE78" s="171"/>
    </row>
    <row r="79" spans="1:31" ht="30.25" customHeight="1" x14ac:dyDescent="0.35">
      <c r="A79" s="198" t="s">
        <v>166</v>
      </c>
      <c r="B79" s="37">
        <v>76</v>
      </c>
      <c r="C79" s="195" t="s">
        <v>33</v>
      </c>
      <c r="D79" s="34" t="s">
        <v>7</v>
      </c>
      <c r="E79" s="41" t="s">
        <v>8</v>
      </c>
      <c r="F79" s="43" t="s">
        <v>28</v>
      </c>
      <c r="G79" s="37" t="s">
        <v>29</v>
      </c>
      <c r="H79" s="37" t="s">
        <v>8</v>
      </c>
      <c r="I79" s="37" t="s">
        <v>9</v>
      </c>
      <c r="J79" s="36">
        <v>1001</v>
      </c>
      <c r="K79" s="27">
        <f>0</f>
        <v>0</v>
      </c>
      <c r="L79" s="127">
        <f t="shared" si="8"/>
        <v>0</v>
      </c>
      <c r="M79" s="127">
        <f t="shared" si="9"/>
        <v>0</v>
      </c>
      <c r="N79" s="128"/>
      <c r="O79" s="129">
        <f t="shared" si="11"/>
        <v>0</v>
      </c>
      <c r="P79" s="128"/>
      <c r="Q79" s="128"/>
      <c r="R79" s="128"/>
      <c r="S79" s="26">
        <f t="shared" si="10"/>
        <v>0</v>
      </c>
      <c r="T79" s="25" t="str">
        <f t="shared" si="12"/>
        <v>OK</v>
      </c>
      <c r="U79" s="138"/>
      <c r="V79" s="138"/>
      <c r="W79" s="138"/>
      <c r="X79" s="138"/>
      <c r="Y79" s="139"/>
      <c r="Z79" s="139"/>
      <c r="AA79" s="139"/>
      <c r="AB79" s="171"/>
      <c r="AC79" s="171"/>
      <c r="AD79" s="171"/>
      <c r="AE79" s="171"/>
    </row>
    <row r="80" spans="1:31" ht="30.25" customHeight="1" x14ac:dyDescent="0.35">
      <c r="A80" s="199"/>
      <c r="B80" s="37">
        <v>77</v>
      </c>
      <c r="C80" s="196"/>
      <c r="D80" s="34" t="s">
        <v>12</v>
      </c>
      <c r="E80" s="41" t="s">
        <v>8</v>
      </c>
      <c r="F80" s="43" t="s">
        <v>28</v>
      </c>
      <c r="G80" s="37" t="s">
        <v>29</v>
      </c>
      <c r="H80" s="37" t="s">
        <v>34</v>
      </c>
      <c r="I80" s="37" t="s">
        <v>9</v>
      </c>
      <c r="J80" s="36">
        <v>130</v>
      </c>
      <c r="K80" s="27">
        <f>0</f>
        <v>0</v>
      </c>
      <c r="L80" s="127">
        <f t="shared" si="8"/>
        <v>0</v>
      </c>
      <c r="M80" s="127">
        <f t="shared" si="9"/>
        <v>0</v>
      </c>
      <c r="N80" s="128"/>
      <c r="O80" s="129">
        <f t="shared" si="11"/>
        <v>0</v>
      </c>
      <c r="P80" s="128"/>
      <c r="Q80" s="128"/>
      <c r="R80" s="128"/>
      <c r="S80" s="26">
        <f t="shared" si="10"/>
        <v>0</v>
      </c>
      <c r="T80" s="25" t="str">
        <f t="shared" si="12"/>
        <v>OK</v>
      </c>
      <c r="U80" s="138"/>
      <c r="V80" s="138"/>
      <c r="W80" s="138"/>
      <c r="X80" s="138"/>
      <c r="Y80" s="139"/>
      <c r="Z80" s="139"/>
      <c r="AA80" s="139"/>
      <c r="AB80" s="171"/>
      <c r="AC80" s="171"/>
      <c r="AD80" s="171"/>
      <c r="AE80" s="171"/>
    </row>
    <row r="81" spans="1:31" ht="30.25" customHeight="1" x14ac:dyDescent="0.35">
      <c r="A81" s="200"/>
      <c r="B81" s="37">
        <v>78</v>
      </c>
      <c r="C81" s="197"/>
      <c r="D81" s="34" t="s">
        <v>157</v>
      </c>
      <c r="E81" s="41" t="s">
        <v>8</v>
      </c>
      <c r="F81" s="43" t="s">
        <v>28</v>
      </c>
      <c r="G81" s="37" t="s">
        <v>29</v>
      </c>
      <c r="H81" s="37" t="s">
        <v>8</v>
      </c>
      <c r="I81" s="37" t="s">
        <v>9</v>
      </c>
      <c r="J81" s="36">
        <v>200</v>
      </c>
      <c r="K81" s="27">
        <f>0</f>
        <v>0</v>
      </c>
      <c r="L81" s="127">
        <f t="shared" si="8"/>
        <v>0</v>
      </c>
      <c r="M81" s="127">
        <f t="shared" si="9"/>
        <v>0</v>
      </c>
      <c r="N81" s="128"/>
      <c r="O81" s="129">
        <f t="shared" si="11"/>
        <v>0</v>
      </c>
      <c r="P81" s="128"/>
      <c r="Q81" s="128"/>
      <c r="R81" s="128"/>
      <c r="S81" s="26">
        <f t="shared" si="10"/>
        <v>0</v>
      </c>
      <c r="T81" s="25" t="str">
        <f t="shared" si="12"/>
        <v>OK</v>
      </c>
      <c r="U81" s="138"/>
      <c r="V81" s="138"/>
      <c r="W81" s="138"/>
      <c r="X81" s="138"/>
      <c r="Y81" s="139"/>
      <c r="Z81" s="139"/>
      <c r="AA81" s="139"/>
      <c r="AB81" s="171"/>
      <c r="AC81" s="171"/>
      <c r="AD81" s="171"/>
      <c r="AE81" s="171"/>
    </row>
    <row r="82" spans="1:31" ht="15" thickBot="1" x14ac:dyDescent="0.4">
      <c r="K82" s="4">
        <f>SUM(K4:K81)</f>
        <v>433</v>
      </c>
      <c r="N82" s="132"/>
      <c r="O82" s="132">
        <f t="shared" si="11"/>
        <v>108</v>
      </c>
      <c r="P82" s="132"/>
      <c r="Q82" s="132"/>
      <c r="R82" s="132"/>
      <c r="S82" s="12">
        <f>SUM(S4:S81)</f>
        <v>48</v>
      </c>
      <c r="T82" s="5" t="str">
        <f t="shared" si="12"/>
        <v>OK</v>
      </c>
      <c r="U82" s="30">
        <f t="shared" ref="U82:AE82" si="13">SUMPRODUCT($J$4:$J$81,U4:U81)</f>
        <v>169901</v>
      </c>
      <c r="V82" s="30">
        <f t="shared" si="13"/>
        <v>44847.79</v>
      </c>
      <c r="W82" s="30">
        <f t="shared" si="13"/>
        <v>1300</v>
      </c>
      <c r="X82" s="30">
        <f t="shared" si="13"/>
        <v>39546</v>
      </c>
      <c r="Y82" s="30">
        <f t="shared" si="13"/>
        <v>9867</v>
      </c>
      <c r="Z82" s="30">
        <f t="shared" si="13"/>
        <v>795.6</v>
      </c>
      <c r="AA82" s="30">
        <f t="shared" si="13"/>
        <v>13992</v>
      </c>
      <c r="AB82" s="168">
        <v>11560</v>
      </c>
      <c r="AC82" s="30">
        <f t="shared" si="13"/>
        <v>30425</v>
      </c>
      <c r="AD82" s="30">
        <f t="shared" si="13"/>
        <v>128898</v>
      </c>
      <c r="AE82" s="30">
        <f t="shared" si="13"/>
        <v>11560</v>
      </c>
    </row>
    <row r="83" spans="1:31" ht="14.5" x14ac:dyDescent="0.35">
      <c r="D83" s="31" t="s">
        <v>53</v>
      </c>
      <c r="K83" s="132">
        <f>SUMPRODUCT($J$4:$J$81,K4:K81)</f>
        <v>334155.92000000004</v>
      </c>
      <c r="L83" s="132">
        <f>SUMPRODUCT($J$4:$J$81,L4:L81)</f>
        <v>473068.39</v>
      </c>
      <c r="M83" s="132">
        <f>SUMPRODUCT($J$4:$J$81,M4:M81)</f>
        <v>473068.39</v>
      </c>
      <c r="R83" s="126"/>
      <c r="U83" s="142"/>
      <c r="V83" s="142"/>
      <c r="W83" s="142"/>
      <c r="X83" s="142"/>
      <c r="Y83" s="142"/>
      <c r="Z83" s="142"/>
      <c r="AA83" s="142"/>
    </row>
    <row r="84" spans="1:31" ht="30" customHeight="1" x14ac:dyDescent="0.35">
      <c r="D84" s="32" t="s">
        <v>54</v>
      </c>
      <c r="R84" s="125"/>
      <c r="U84" s="142"/>
      <c r="V84" s="142"/>
      <c r="W84" s="142"/>
      <c r="X84" s="142"/>
      <c r="Y84" s="142"/>
      <c r="Z84" s="142"/>
      <c r="AA84" s="142"/>
    </row>
    <row r="85" spans="1:31" ht="15.75" customHeight="1" thickBot="1" x14ac:dyDescent="0.4">
      <c r="D85" s="33" t="s">
        <v>55</v>
      </c>
      <c r="R85" s="125"/>
      <c r="U85" s="142"/>
      <c r="V85" s="142"/>
      <c r="W85" s="142"/>
      <c r="X85" s="142"/>
      <c r="Y85" s="142"/>
      <c r="Z85" s="142"/>
      <c r="AA85" s="142"/>
    </row>
    <row r="86" spans="1:31" ht="14.5" x14ac:dyDescent="0.35">
      <c r="U86" s="142"/>
      <c r="V86" s="142"/>
      <c r="W86" s="142"/>
      <c r="X86" s="142"/>
      <c r="Y86" s="142"/>
      <c r="Z86" s="142"/>
      <c r="AA86" s="142"/>
    </row>
    <row r="87" spans="1:31" ht="14.5" x14ac:dyDescent="0.35">
      <c r="U87" s="142"/>
      <c r="V87" s="142"/>
      <c r="W87" s="142"/>
      <c r="X87" s="142"/>
      <c r="Y87" s="142"/>
      <c r="Z87" s="142"/>
      <c r="AA87" s="142"/>
    </row>
    <row r="88" spans="1:31" ht="14.5" x14ac:dyDescent="0.35">
      <c r="U88" s="142"/>
      <c r="V88" s="142"/>
      <c r="W88" s="142"/>
      <c r="X88" s="142"/>
      <c r="Y88" s="142"/>
      <c r="Z88" s="142"/>
      <c r="AA88" s="142"/>
    </row>
    <row r="89" spans="1:31" ht="14.5" x14ac:dyDescent="0.35">
      <c r="U89" s="142"/>
      <c r="V89" s="142"/>
      <c r="W89" s="142"/>
      <c r="X89" s="142"/>
      <c r="Y89" s="142"/>
      <c r="Z89" s="142"/>
      <c r="AA89" s="142"/>
    </row>
    <row r="90" spans="1:31" ht="14.5" x14ac:dyDescent="0.35">
      <c r="U90" s="142"/>
      <c r="V90" s="142"/>
      <c r="W90" s="142"/>
      <c r="X90" s="142"/>
      <c r="Y90" s="142"/>
      <c r="Z90" s="142"/>
      <c r="AA90" s="142"/>
    </row>
    <row r="91" spans="1:31" ht="14.5" x14ac:dyDescent="0.35">
      <c r="U91" s="142"/>
      <c r="V91" s="142"/>
      <c r="W91" s="142"/>
      <c r="X91" s="142"/>
      <c r="Y91" s="142"/>
      <c r="Z91" s="142"/>
      <c r="AA91" s="142"/>
    </row>
    <row r="92" spans="1:31" ht="14.5" x14ac:dyDescent="0.35">
      <c r="U92" s="142"/>
      <c r="V92" s="142"/>
      <c r="W92" s="142"/>
      <c r="X92" s="142"/>
      <c r="Y92" s="142"/>
      <c r="Z92" s="142"/>
      <c r="AA92" s="142"/>
    </row>
  </sheetData>
  <mergeCells count="26">
    <mergeCell ref="A69:A78"/>
    <mergeCell ref="C69:C78"/>
    <mergeCell ref="A79:A81"/>
    <mergeCell ref="C79:C81"/>
    <mergeCell ref="A38:A48"/>
    <mergeCell ref="C38:C48"/>
    <mergeCell ref="A49:A59"/>
    <mergeCell ref="C49:C59"/>
    <mergeCell ref="A60:A68"/>
    <mergeCell ref="C60:C68"/>
    <mergeCell ref="AC1:AC2"/>
    <mergeCell ref="AD1:AD2"/>
    <mergeCell ref="AE1:AE2"/>
    <mergeCell ref="AA1:AA2"/>
    <mergeCell ref="A1:C1"/>
    <mergeCell ref="D1:J1"/>
    <mergeCell ref="K1:T1"/>
    <mergeCell ref="U1:U2"/>
    <mergeCell ref="V1:V2"/>
    <mergeCell ref="W1:W2"/>
    <mergeCell ref="A2:J2"/>
    <mergeCell ref="K2:T2"/>
    <mergeCell ref="X1:X2"/>
    <mergeCell ref="Y1:Y2"/>
    <mergeCell ref="Z1:Z2"/>
    <mergeCell ref="AB1:AB2"/>
  </mergeCells>
  <conditionalFormatting sqref="T1 T3:T1048576">
    <cfRule type="cellIs" dxfId="39" priority="2" operator="equal">
      <formula>"ATENÇÃO"</formula>
    </cfRule>
  </conditionalFormatting>
  <conditionalFormatting sqref="AB4:AE81">
    <cfRule type="cellIs" dxfId="38" priority="1" operator="greaterThan">
      <formula>0</formula>
    </cfRule>
  </conditionalFormatting>
  <pageMargins left="0.511811024" right="0.511811024" top="0.78740157499999996" bottom="0.78740157499999996" header="0.31496062000000002" footer="0.31496062000000002"/>
  <pageSetup paperSize="9" scale="60" orientation="landscape" r:id="rId1"/>
  <colBreaks count="1" manualBreakCount="1">
    <brk id="24" max="1048575"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90415-06BF-4A93-B2BB-38C277FF94F0}">
  <dimension ref="A1:AH92"/>
  <sheetViews>
    <sheetView topLeftCell="A36" zoomScale="80" zoomScaleNormal="80" workbookViewId="0">
      <selection activeCell="B39" sqref="B39:B45"/>
    </sheetView>
  </sheetViews>
  <sheetFormatPr defaultColWidth="9.7265625" defaultRowHeight="30.25" customHeight="1" x14ac:dyDescent="0.35"/>
  <cols>
    <col min="1" max="1" width="6.1796875" style="1" customWidth="1"/>
    <col min="2" max="2" width="6.453125" style="1" customWidth="1"/>
    <col min="3" max="3" width="16.81640625" style="1" customWidth="1"/>
    <col min="4" max="4" width="25.1796875" style="3" customWidth="1"/>
    <col min="5" max="5" width="16.1796875" style="1" customWidth="1"/>
    <col min="6" max="6" width="8.54296875" style="1" customWidth="1"/>
    <col min="7" max="7" width="11.1796875" style="1" customWidth="1"/>
    <col min="8" max="8" width="8.26953125" style="1" customWidth="1"/>
    <col min="9" max="9" width="11.26953125" style="1" customWidth="1"/>
    <col min="10" max="10" width="13.7265625" style="3" customWidth="1"/>
    <col min="11" max="11" width="11.54296875" style="4" customWidth="1"/>
    <col min="12" max="14" width="12.453125" style="4" customWidth="1"/>
    <col min="15" max="15" width="12.1796875" style="4" customWidth="1"/>
    <col min="16" max="17" width="12.453125" style="4" customWidth="1"/>
    <col min="18" max="18" width="16.453125" style="4" bestFit="1" customWidth="1"/>
    <col min="19" max="19" width="13.26953125" style="12" customWidth="1"/>
    <col min="20" max="20" width="12.453125" style="5" customWidth="1"/>
    <col min="21" max="21" width="15.26953125" style="6" customWidth="1"/>
    <col min="22" max="22" width="18.1796875" style="6" customWidth="1"/>
    <col min="23" max="25" width="14.1796875" style="6" customWidth="1"/>
    <col min="26" max="26" width="12.453125" style="6" customWidth="1"/>
    <col min="27" max="27" width="13.26953125" style="6" customWidth="1"/>
    <col min="28" max="28" width="12.7265625" style="6" customWidth="1"/>
    <col min="29" max="29" width="12" style="6" customWidth="1"/>
    <col min="30" max="30" width="12.7265625" style="6" customWidth="1"/>
    <col min="31" max="31" width="13.81640625" style="6" customWidth="1"/>
    <col min="32" max="32" width="13.453125" style="6" customWidth="1"/>
    <col min="33" max="33" width="12.453125" style="2" customWidth="1"/>
    <col min="34" max="34" width="13.7265625" style="2" customWidth="1"/>
    <col min="35" max="16384" width="9.7265625" style="2"/>
  </cols>
  <sheetData>
    <row r="1" spans="1:34" ht="74.25" customHeight="1" x14ac:dyDescent="0.35">
      <c r="A1" s="202" t="s">
        <v>52</v>
      </c>
      <c r="B1" s="203"/>
      <c r="C1" s="204"/>
      <c r="D1" s="211" t="s">
        <v>48</v>
      </c>
      <c r="E1" s="212"/>
      <c r="F1" s="212"/>
      <c r="G1" s="212"/>
      <c r="H1" s="212"/>
      <c r="I1" s="212"/>
      <c r="J1" s="213"/>
      <c r="K1" s="201" t="s">
        <v>49</v>
      </c>
      <c r="L1" s="201"/>
      <c r="M1" s="201"/>
      <c r="N1" s="201"/>
      <c r="O1" s="201"/>
      <c r="P1" s="201"/>
      <c r="Q1" s="201"/>
      <c r="R1" s="201"/>
      <c r="S1" s="201"/>
      <c r="T1" s="201"/>
      <c r="U1" s="217" t="s">
        <v>197</v>
      </c>
      <c r="V1" s="217" t="s">
        <v>196</v>
      </c>
      <c r="W1" s="217" t="s">
        <v>199</v>
      </c>
      <c r="X1" s="217" t="s">
        <v>51</v>
      </c>
      <c r="Y1" s="217" t="s">
        <v>51</v>
      </c>
      <c r="Z1" s="217" t="s">
        <v>51</v>
      </c>
      <c r="AA1" s="217" t="s">
        <v>51</v>
      </c>
      <c r="AB1" s="217" t="s">
        <v>51</v>
      </c>
      <c r="AC1" s="217" t="s">
        <v>51</v>
      </c>
      <c r="AD1" s="217" t="s">
        <v>51</v>
      </c>
      <c r="AE1" s="217" t="s">
        <v>51</v>
      </c>
      <c r="AF1" s="217" t="s">
        <v>51</v>
      </c>
      <c r="AG1" s="217" t="s">
        <v>51</v>
      </c>
      <c r="AH1" s="217" t="s">
        <v>51</v>
      </c>
    </row>
    <row r="2" spans="1:34" ht="25" customHeight="1" x14ac:dyDescent="0.35">
      <c r="A2" s="211" t="s">
        <v>198</v>
      </c>
      <c r="B2" s="212"/>
      <c r="C2" s="212"/>
      <c r="D2" s="212"/>
      <c r="E2" s="212"/>
      <c r="F2" s="212"/>
      <c r="G2" s="212"/>
      <c r="H2" s="212"/>
      <c r="I2" s="212"/>
      <c r="J2" s="213"/>
      <c r="K2" s="214" t="s">
        <v>62</v>
      </c>
      <c r="L2" s="215"/>
      <c r="M2" s="215"/>
      <c r="N2" s="215"/>
      <c r="O2" s="215"/>
      <c r="P2" s="215"/>
      <c r="Q2" s="215"/>
      <c r="R2" s="215"/>
      <c r="S2" s="215"/>
      <c r="T2" s="216"/>
      <c r="U2" s="218"/>
      <c r="V2" s="218"/>
      <c r="W2" s="218"/>
      <c r="X2" s="218"/>
      <c r="Y2" s="218"/>
      <c r="Z2" s="218"/>
      <c r="AA2" s="218"/>
      <c r="AB2" s="218"/>
      <c r="AC2" s="218"/>
      <c r="AD2" s="218"/>
      <c r="AE2" s="218"/>
      <c r="AF2" s="218"/>
      <c r="AG2" s="218"/>
      <c r="AH2" s="218"/>
    </row>
    <row r="3" spans="1:34" s="3" customFormat="1" ht="33" customHeight="1" x14ac:dyDescent="0.25">
      <c r="A3" s="7" t="s">
        <v>3</v>
      </c>
      <c r="B3" s="7" t="s">
        <v>56</v>
      </c>
      <c r="C3" s="7" t="s">
        <v>57</v>
      </c>
      <c r="D3" s="8" t="s">
        <v>58</v>
      </c>
      <c r="E3" s="8" t="s">
        <v>59</v>
      </c>
      <c r="F3" s="8" t="s">
        <v>18</v>
      </c>
      <c r="G3" s="8" t="s">
        <v>19</v>
      </c>
      <c r="H3" s="8" t="s">
        <v>60</v>
      </c>
      <c r="I3" s="8" t="s">
        <v>61</v>
      </c>
      <c r="J3" s="9" t="s">
        <v>50</v>
      </c>
      <c r="K3" s="10" t="s">
        <v>4</v>
      </c>
      <c r="L3" s="52" t="s">
        <v>207</v>
      </c>
      <c r="M3" s="52" t="s">
        <v>208</v>
      </c>
      <c r="N3" s="52" t="s">
        <v>209</v>
      </c>
      <c r="O3" s="52" t="s">
        <v>210</v>
      </c>
      <c r="P3" s="52" t="s">
        <v>211</v>
      </c>
      <c r="Q3" s="52" t="s">
        <v>213</v>
      </c>
      <c r="R3" s="52" t="s">
        <v>214</v>
      </c>
      <c r="S3" s="11" t="s">
        <v>0</v>
      </c>
      <c r="T3" s="7" t="s">
        <v>2</v>
      </c>
      <c r="U3" s="23">
        <v>45460</v>
      </c>
      <c r="V3" s="23">
        <v>45468</v>
      </c>
      <c r="W3" s="23">
        <v>45548</v>
      </c>
      <c r="X3" s="23" t="s">
        <v>1</v>
      </c>
      <c r="Y3" s="23" t="s">
        <v>1</v>
      </c>
      <c r="Z3" s="23" t="s">
        <v>1</v>
      </c>
      <c r="AA3" s="23" t="s">
        <v>1</v>
      </c>
      <c r="AB3" s="23" t="s">
        <v>1</v>
      </c>
      <c r="AC3" s="23" t="s">
        <v>1</v>
      </c>
      <c r="AD3" s="23" t="s">
        <v>1</v>
      </c>
      <c r="AE3" s="23" t="s">
        <v>1</v>
      </c>
      <c r="AF3" s="23" t="s">
        <v>1</v>
      </c>
      <c r="AG3" s="23" t="s">
        <v>1</v>
      </c>
      <c r="AH3" s="23" t="s">
        <v>1</v>
      </c>
    </row>
    <row r="4" spans="1:34" ht="30.25" customHeight="1" x14ac:dyDescent="0.35">
      <c r="A4" s="37">
        <v>1</v>
      </c>
      <c r="B4" s="37">
        <v>1</v>
      </c>
      <c r="C4" s="35" t="s">
        <v>63</v>
      </c>
      <c r="D4" s="34" t="s">
        <v>64</v>
      </c>
      <c r="E4" s="35" t="s">
        <v>65</v>
      </c>
      <c r="F4" s="35" t="s">
        <v>20</v>
      </c>
      <c r="G4" s="35" t="s">
        <v>66</v>
      </c>
      <c r="H4" s="35" t="s">
        <v>5</v>
      </c>
      <c r="I4" s="35" t="s">
        <v>6</v>
      </c>
      <c r="J4" s="36">
        <v>1670</v>
      </c>
      <c r="K4" s="27">
        <f>0</f>
        <v>0</v>
      </c>
      <c r="L4" s="127">
        <f>IF(SUM(U4:AL4)&gt;K4+N4,K4+N4,SUM(U4:AL4))</f>
        <v>0</v>
      </c>
      <c r="M4" s="127">
        <f>(SUM(U4:AL4))</f>
        <v>0</v>
      </c>
      <c r="N4" s="128"/>
      <c r="O4" s="129">
        <f>ROUND(IF(K4*0.25-0.5&lt;0,0,K4*0.25-0.5),0)-R4-P4</f>
        <v>0</v>
      </c>
      <c r="P4" s="128"/>
      <c r="Q4" s="128"/>
      <c r="R4" s="128"/>
      <c r="S4" s="26">
        <f>K4-SUM(U4:AH4)+N4</f>
        <v>0</v>
      </c>
      <c r="T4" s="25" t="str">
        <f>IF(S4&lt;0,"ATENÇÃO","OK")</f>
        <v>OK</v>
      </c>
      <c r="U4" s="110"/>
      <c r="V4" s="110"/>
      <c r="W4" s="110"/>
      <c r="X4" s="22"/>
      <c r="Y4" s="24"/>
      <c r="Z4" s="24"/>
      <c r="AA4" s="24"/>
      <c r="AB4" s="22"/>
      <c r="AC4" s="22"/>
      <c r="AD4" s="22"/>
      <c r="AE4" s="22"/>
      <c r="AF4" s="22"/>
      <c r="AG4" s="22"/>
      <c r="AH4" s="22"/>
    </row>
    <row r="5" spans="1:34" ht="30.25" customHeight="1" x14ac:dyDescent="0.35">
      <c r="A5" s="44">
        <v>2</v>
      </c>
      <c r="B5" s="44">
        <v>2</v>
      </c>
      <c r="C5" s="45" t="s">
        <v>67</v>
      </c>
      <c r="D5" s="46" t="s">
        <v>68</v>
      </c>
      <c r="E5" s="45" t="s">
        <v>69</v>
      </c>
      <c r="F5" s="45" t="s">
        <v>20</v>
      </c>
      <c r="G5" s="45" t="s">
        <v>66</v>
      </c>
      <c r="H5" s="45" t="s">
        <v>5</v>
      </c>
      <c r="I5" s="45" t="s">
        <v>6</v>
      </c>
      <c r="J5" s="47">
        <v>1651.67</v>
      </c>
      <c r="K5" s="27">
        <f>1</f>
        <v>1</v>
      </c>
      <c r="L5" s="127">
        <f t="shared" ref="L5:L68" si="0">IF(SUM(U5:AL5)&gt;K5+N5,K5+N5,SUM(U5:AL5))</f>
        <v>0</v>
      </c>
      <c r="M5" s="127">
        <f t="shared" ref="M5:M68" si="1">(SUM(U5:AL5))</f>
        <v>0</v>
      </c>
      <c r="N5" s="128"/>
      <c r="O5" s="129">
        <f t="shared" ref="O5:O68" si="2">ROUND(IF(K5*0.25-0.5&lt;0,0,K5*0.25-0.5),0)-R5-P5</f>
        <v>0</v>
      </c>
      <c r="P5" s="128"/>
      <c r="Q5" s="128"/>
      <c r="R5" s="128"/>
      <c r="S5" s="26">
        <f t="shared" ref="S5:S68" si="3">K5-SUM(U5:AH5)+N5</f>
        <v>1</v>
      </c>
      <c r="T5" s="25" t="str">
        <f t="shared" ref="T5:T68" si="4">IF(S5&lt;0,"ATENÇÃO","OK")</f>
        <v>OK</v>
      </c>
      <c r="U5" s="110"/>
      <c r="V5" s="110"/>
      <c r="W5" s="110"/>
      <c r="X5" s="22"/>
      <c r="Y5" s="24"/>
      <c r="Z5" s="24"/>
      <c r="AA5" s="24"/>
      <c r="AB5" s="22"/>
      <c r="AC5" s="22"/>
      <c r="AD5" s="22"/>
      <c r="AE5" s="22"/>
      <c r="AF5" s="22"/>
      <c r="AG5" s="22"/>
      <c r="AH5" s="22"/>
    </row>
    <row r="6" spans="1:34" ht="30.25" customHeight="1" x14ac:dyDescent="0.35">
      <c r="A6" s="37">
        <v>3</v>
      </c>
      <c r="B6" s="37">
        <v>3</v>
      </c>
      <c r="C6" s="35" t="s">
        <v>63</v>
      </c>
      <c r="D6" s="34" t="s">
        <v>70</v>
      </c>
      <c r="E6" s="35" t="s">
        <v>71</v>
      </c>
      <c r="F6" s="35" t="s">
        <v>20</v>
      </c>
      <c r="G6" s="35" t="s">
        <v>72</v>
      </c>
      <c r="H6" s="35" t="s">
        <v>5</v>
      </c>
      <c r="I6" s="35" t="s">
        <v>6</v>
      </c>
      <c r="J6" s="36">
        <v>1802</v>
      </c>
      <c r="K6" s="27">
        <f>0</f>
        <v>0</v>
      </c>
      <c r="L6" s="127">
        <f t="shared" si="0"/>
        <v>0</v>
      </c>
      <c r="M6" s="127">
        <f t="shared" si="1"/>
        <v>0</v>
      </c>
      <c r="N6" s="128"/>
      <c r="O6" s="129">
        <f t="shared" si="2"/>
        <v>0</v>
      </c>
      <c r="P6" s="128"/>
      <c r="Q6" s="128"/>
      <c r="R6" s="128"/>
      <c r="S6" s="26">
        <f t="shared" si="3"/>
        <v>0</v>
      </c>
      <c r="T6" s="25" t="str">
        <f t="shared" si="4"/>
        <v>OK</v>
      </c>
      <c r="U6" s="110"/>
      <c r="V6" s="110"/>
      <c r="W6" s="110"/>
      <c r="X6" s="22"/>
      <c r="Y6" s="24"/>
      <c r="Z6" s="24"/>
      <c r="AA6" s="24"/>
      <c r="AB6" s="22"/>
      <c r="AC6" s="22"/>
      <c r="AD6" s="22"/>
      <c r="AE6" s="22"/>
      <c r="AF6" s="22"/>
      <c r="AG6" s="22"/>
      <c r="AH6" s="22"/>
    </row>
    <row r="7" spans="1:34" ht="30.25" customHeight="1" x14ac:dyDescent="0.35">
      <c r="A7" s="44">
        <v>4</v>
      </c>
      <c r="B7" s="44">
        <v>4</v>
      </c>
      <c r="C7" s="45" t="s">
        <v>67</v>
      </c>
      <c r="D7" s="46" t="s">
        <v>73</v>
      </c>
      <c r="E7" s="45" t="s">
        <v>74</v>
      </c>
      <c r="F7" s="45" t="s">
        <v>20</v>
      </c>
      <c r="G7" s="45" t="s">
        <v>75</v>
      </c>
      <c r="H7" s="45" t="s">
        <v>5</v>
      </c>
      <c r="I7" s="45" t="s">
        <v>6</v>
      </c>
      <c r="J7" s="47">
        <v>1800</v>
      </c>
      <c r="K7" s="27">
        <f>0</f>
        <v>0</v>
      </c>
      <c r="L7" s="127">
        <f t="shared" si="0"/>
        <v>0</v>
      </c>
      <c r="M7" s="127">
        <f t="shared" si="1"/>
        <v>0</v>
      </c>
      <c r="N7" s="128"/>
      <c r="O7" s="129">
        <f t="shared" si="2"/>
        <v>0</v>
      </c>
      <c r="P7" s="128"/>
      <c r="Q7" s="128"/>
      <c r="R7" s="128"/>
      <c r="S7" s="26">
        <f t="shared" si="3"/>
        <v>0</v>
      </c>
      <c r="T7" s="25" t="str">
        <f t="shared" si="4"/>
        <v>OK</v>
      </c>
      <c r="U7" s="110"/>
      <c r="V7" s="110"/>
      <c r="W7" s="110"/>
      <c r="X7" s="22"/>
      <c r="Y7" s="24"/>
      <c r="Z7" s="24"/>
      <c r="AA7" s="24"/>
      <c r="AB7" s="22"/>
      <c r="AC7" s="22"/>
      <c r="AD7" s="22"/>
      <c r="AE7" s="22"/>
      <c r="AF7" s="22"/>
      <c r="AG7" s="22"/>
      <c r="AH7" s="22"/>
    </row>
    <row r="8" spans="1:34" ht="30.25" customHeight="1" x14ac:dyDescent="0.35">
      <c r="A8" s="37">
        <v>5</v>
      </c>
      <c r="B8" s="37">
        <v>5</v>
      </c>
      <c r="C8" s="35" t="s">
        <v>63</v>
      </c>
      <c r="D8" s="34" t="s">
        <v>76</v>
      </c>
      <c r="E8" s="35" t="s">
        <v>77</v>
      </c>
      <c r="F8" s="35" t="s">
        <v>20</v>
      </c>
      <c r="G8" s="35" t="s">
        <v>78</v>
      </c>
      <c r="H8" s="35" t="s">
        <v>5</v>
      </c>
      <c r="I8" s="35" t="s">
        <v>6</v>
      </c>
      <c r="J8" s="36">
        <v>2686</v>
      </c>
      <c r="K8" s="27">
        <f>0</f>
        <v>0</v>
      </c>
      <c r="L8" s="127">
        <f t="shared" si="0"/>
        <v>0</v>
      </c>
      <c r="M8" s="127">
        <f t="shared" si="1"/>
        <v>0</v>
      </c>
      <c r="N8" s="128"/>
      <c r="O8" s="129">
        <f t="shared" si="2"/>
        <v>0</v>
      </c>
      <c r="P8" s="128"/>
      <c r="Q8" s="128"/>
      <c r="R8" s="128"/>
      <c r="S8" s="26">
        <f t="shared" si="3"/>
        <v>0</v>
      </c>
      <c r="T8" s="25" t="str">
        <f t="shared" si="4"/>
        <v>OK</v>
      </c>
      <c r="U8" s="110"/>
      <c r="V8" s="110"/>
      <c r="W8" s="110"/>
      <c r="X8" s="22"/>
      <c r="Y8" s="24"/>
      <c r="Z8" s="24"/>
      <c r="AA8" s="24"/>
      <c r="AB8" s="22"/>
      <c r="AC8" s="22"/>
      <c r="AD8" s="22"/>
      <c r="AE8" s="22"/>
      <c r="AF8" s="22"/>
      <c r="AG8" s="22"/>
      <c r="AH8" s="22"/>
    </row>
    <row r="9" spans="1:34" ht="50.25" customHeight="1" x14ac:dyDescent="0.35">
      <c r="A9" s="44">
        <v>6</v>
      </c>
      <c r="B9" s="44">
        <v>6</v>
      </c>
      <c r="C9" s="45" t="s">
        <v>67</v>
      </c>
      <c r="D9" s="46" t="s">
        <v>79</v>
      </c>
      <c r="E9" s="107" t="s">
        <v>182</v>
      </c>
      <c r="F9" s="45" t="s">
        <v>20</v>
      </c>
      <c r="G9" s="45" t="s">
        <v>21</v>
      </c>
      <c r="H9" s="45" t="s">
        <v>5</v>
      </c>
      <c r="I9" s="45" t="s">
        <v>6</v>
      </c>
      <c r="J9" s="47">
        <v>2821.51</v>
      </c>
      <c r="K9" s="27">
        <f>1+1</f>
        <v>2</v>
      </c>
      <c r="L9" s="127">
        <f t="shared" si="0"/>
        <v>2</v>
      </c>
      <c r="M9" s="127">
        <f t="shared" si="1"/>
        <v>2</v>
      </c>
      <c r="N9" s="128"/>
      <c r="O9" s="129">
        <f t="shared" si="2"/>
        <v>0</v>
      </c>
      <c r="P9" s="128"/>
      <c r="Q9" s="128"/>
      <c r="R9" s="128"/>
      <c r="S9" s="26">
        <f t="shared" si="3"/>
        <v>0</v>
      </c>
      <c r="T9" s="25" t="str">
        <f t="shared" si="4"/>
        <v>OK</v>
      </c>
      <c r="U9" s="110">
        <v>2</v>
      </c>
      <c r="V9" s="110"/>
      <c r="W9" s="110"/>
      <c r="X9" s="22"/>
      <c r="Y9" s="24"/>
      <c r="Z9" s="24"/>
      <c r="AA9" s="24"/>
      <c r="AB9" s="22"/>
      <c r="AC9" s="22"/>
      <c r="AD9" s="22"/>
      <c r="AE9" s="22"/>
      <c r="AF9" s="22"/>
      <c r="AG9" s="22"/>
      <c r="AH9" s="22"/>
    </row>
    <row r="10" spans="1:34" ht="30.25" customHeight="1" x14ac:dyDescent="0.35">
      <c r="A10" s="37">
        <v>7</v>
      </c>
      <c r="B10" s="37">
        <v>7</v>
      </c>
      <c r="C10" s="35" t="s">
        <v>63</v>
      </c>
      <c r="D10" s="34" t="s">
        <v>80</v>
      </c>
      <c r="E10" s="35" t="s">
        <v>81</v>
      </c>
      <c r="F10" s="35" t="s">
        <v>20</v>
      </c>
      <c r="G10" s="35" t="s">
        <v>21</v>
      </c>
      <c r="H10" s="35" t="s">
        <v>5</v>
      </c>
      <c r="I10" s="35" t="s">
        <v>6</v>
      </c>
      <c r="J10" s="36">
        <v>7446</v>
      </c>
      <c r="K10" s="27">
        <f>0</f>
        <v>0</v>
      </c>
      <c r="L10" s="127">
        <f t="shared" si="0"/>
        <v>0</v>
      </c>
      <c r="M10" s="127">
        <f t="shared" si="1"/>
        <v>0</v>
      </c>
      <c r="N10" s="128"/>
      <c r="O10" s="129">
        <f t="shared" si="2"/>
        <v>0</v>
      </c>
      <c r="P10" s="128"/>
      <c r="Q10" s="128"/>
      <c r="R10" s="128"/>
      <c r="S10" s="26">
        <f t="shared" si="3"/>
        <v>0</v>
      </c>
      <c r="T10" s="25" t="str">
        <f t="shared" si="4"/>
        <v>OK</v>
      </c>
      <c r="U10" s="110"/>
      <c r="V10" s="110"/>
      <c r="W10" s="110"/>
      <c r="X10" s="22"/>
      <c r="Y10" s="24"/>
      <c r="Z10" s="24"/>
      <c r="AA10" s="24"/>
      <c r="AB10" s="22"/>
      <c r="AC10" s="22"/>
      <c r="AD10" s="22"/>
      <c r="AE10" s="22"/>
      <c r="AF10" s="22"/>
      <c r="AG10" s="22"/>
      <c r="AH10" s="22"/>
    </row>
    <row r="11" spans="1:34" ht="30.25" customHeight="1" x14ac:dyDescent="0.35">
      <c r="A11" s="44">
        <v>8</v>
      </c>
      <c r="B11" s="44">
        <v>8</v>
      </c>
      <c r="C11" s="45" t="s">
        <v>63</v>
      </c>
      <c r="D11" s="46" t="s">
        <v>82</v>
      </c>
      <c r="E11" s="45" t="s">
        <v>81</v>
      </c>
      <c r="F11" s="45" t="s">
        <v>20</v>
      </c>
      <c r="G11" s="45" t="s">
        <v>21</v>
      </c>
      <c r="H11" s="45" t="s">
        <v>5</v>
      </c>
      <c r="I11" s="45" t="s">
        <v>6</v>
      </c>
      <c r="J11" s="47">
        <v>7375</v>
      </c>
      <c r="K11" s="27">
        <f>0</f>
        <v>0</v>
      </c>
      <c r="L11" s="127">
        <f t="shared" si="0"/>
        <v>0</v>
      </c>
      <c r="M11" s="127">
        <f t="shared" si="1"/>
        <v>0</v>
      </c>
      <c r="N11" s="128"/>
      <c r="O11" s="129">
        <f t="shared" si="2"/>
        <v>0</v>
      </c>
      <c r="P11" s="128"/>
      <c r="Q11" s="128"/>
      <c r="R11" s="128"/>
      <c r="S11" s="26">
        <f t="shared" si="3"/>
        <v>0</v>
      </c>
      <c r="T11" s="25" t="str">
        <f t="shared" si="4"/>
        <v>OK</v>
      </c>
      <c r="U11" s="110"/>
      <c r="V11" s="110"/>
      <c r="W11" s="110"/>
      <c r="X11" s="22"/>
      <c r="Y11" s="24"/>
      <c r="Z11" s="24"/>
      <c r="AA11" s="24"/>
      <c r="AB11" s="22"/>
      <c r="AC11" s="22"/>
      <c r="AD11" s="22"/>
      <c r="AE11" s="22"/>
      <c r="AF11" s="22"/>
      <c r="AG11" s="22"/>
      <c r="AH11" s="22"/>
    </row>
    <row r="12" spans="1:34" ht="30.25" customHeight="1" x14ac:dyDescent="0.35">
      <c r="A12" s="37">
        <v>9</v>
      </c>
      <c r="B12" s="37">
        <v>9</v>
      </c>
      <c r="C12" s="35" t="s">
        <v>83</v>
      </c>
      <c r="D12" s="34" t="s">
        <v>84</v>
      </c>
      <c r="E12" s="35" t="s">
        <v>85</v>
      </c>
      <c r="F12" s="35" t="s">
        <v>20</v>
      </c>
      <c r="G12" s="35" t="s">
        <v>22</v>
      </c>
      <c r="H12" s="35" t="s">
        <v>5</v>
      </c>
      <c r="I12" s="35" t="s">
        <v>6</v>
      </c>
      <c r="J12" s="36">
        <v>6213.51</v>
      </c>
      <c r="K12" s="27">
        <f>0</f>
        <v>0</v>
      </c>
      <c r="L12" s="127">
        <f t="shared" si="0"/>
        <v>0</v>
      </c>
      <c r="M12" s="127">
        <f t="shared" si="1"/>
        <v>0</v>
      </c>
      <c r="N12" s="128"/>
      <c r="O12" s="129">
        <f t="shared" si="2"/>
        <v>0</v>
      </c>
      <c r="P12" s="128"/>
      <c r="Q12" s="128"/>
      <c r="R12" s="128"/>
      <c r="S12" s="26">
        <f t="shared" si="3"/>
        <v>0</v>
      </c>
      <c r="T12" s="25" t="str">
        <f t="shared" si="4"/>
        <v>OK</v>
      </c>
      <c r="U12" s="110"/>
      <c r="V12" s="110"/>
      <c r="W12" s="110"/>
      <c r="X12" s="22"/>
      <c r="Y12" s="28"/>
      <c r="Z12" s="24"/>
      <c r="AA12" s="24"/>
      <c r="AB12" s="22"/>
      <c r="AC12" s="22"/>
      <c r="AD12" s="22"/>
      <c r="AE12" s="22"/>
      <c r="AF12" s="22"/>
      <c r="AG12" s="22"/>
      <c r="AH12" s="22"/>
    </row>
    <row r="13" spans="1:34" ht="30.25" customHeight="1" x14ac:dyDescent="0.35">
      <c r="A13" s="44">
        <v>10</v>
      </c>
      <c r="B13" s="44">
        <v>10</v>
      </c>
      <c r="C13" s="45" t="s">
        <v>63</v>
      </c>
      <c r="D13" s="46" t="s">
        <v>86</v>
      </c>
      <c r="E13" s="45" t="s">
        <v>87</v>
      </c>
      <c r="F13" s="45" t="s">
        <v>20</v>
      </c>
      <c r="G13" s="45" t="s">
        <v>22</v>
      </c>
      <c r="H13" s="45" t="s">
        <v>5</v>
      </c>
      <c r="I13" s="45" t="s">
        <v>6</v>
      </c>
      <c r="J13" s="47">
        <v>6689.61</v>
      </c>
      <c r="K13" s="27">
        <f>0</f>
        <v>0</v>
      </c>
      <c r="L13" s="127">
        <f t="shared" si="0"/>
        <v>0</v>
      </c>
      <c r="M13" s="127">
        <f t="shared" si="1"/>
        <v>0</v>
      </c>
      <c r="N13" s="128"/>
      <c r="O13" s="129">
        <f t="shared" si="2"/>
        <v>0</v>
      </c>
      <c r="P13" s="128"/>
      <c r="Q13" s="128"/>
      <c r="R13" s="128"/>
      <c r="S13" s="26">
        <f t="shared" si="3"/>
        <v>0</v>
      </c>
      <c r="T13" s="25" t="str">
        <f t="shared" si="4"/>
        <v>OK</v>
      </c>
      <c r="U13" s="110"/>
      <c r="V13" s="110"/>
      <c r="W13" s="110"/>
      <c r="X13" s="22"/>
      <c r="Y13" s="24"/>
      <c r="Z13" s="24"/>
      <c r="AA13" s="24"/>
      <c r="AB13" s="22"/>
      <c r="AC13" s="22"/>
      <c r="AD13" s="22"/>
      <c r="AE13" s="22"/>
      <c r="AF13" s="22"/>
      <c r="AG13" s="22"/>
      <c r="AH13" s="22"/>
    </row>
    <row r="14" spans="1:34" ht="30.25" customHeight="1" x14ac:dyDescent="0.35">
      <c r="A14" s="37">
        <v>11</v>
      </c>
      <c r="B14" s="37">
        <v>11</v>
      </c>
      <c r="C14" s="35" t="s">
        <v>83</v>
      </c>
      <c r="D14" s="34" t="s">
        <v>88</v>
      </c>
      <c r="E14" s="35" t="s">
        <v>89</v>
      </c>
      <c r="F14" s="37" t="s">
        <v>20</v>
      </c>
      <c r="G14" s="35" t="s">
        <v>22</v>
      </c>
      <c r="H14" s="37" t="s">
        <v>5</v>
      </c>
      <c r="I14" s="35" t="s">
        <v>6</v>
      </c>
      <c r="J14" s="36">
        <v>3445.06</v>
      </c>
      <c r="K14" s="27">
        <f>4+1</f>
        <v>5</v>
      </c>
      <c r="L14" s="127">
        <f t="shared" si="0"/>
        <v>1</v>
      </c>
      <c r="M14" s="127">
        <f t="shared" si="1"/>
        <v>1</v>
      </c>
      <c r="N14" s="128"/>
      <c r="O14" s="129">
        <f t="shared" si="2"/>
        <v>1</v>
      </c>
      <c r="P14" s="128"/>
      <c r="Q14" s="128"/>
      <c r="R14" s="128"/>
      <c r="S14" s="26">
        <f t="shared" si="3"/>
        <v>4</v>
      </c>
      <c r="T14" s="25" t="str">
        <f t="shared" si="4"/>
        <v>OK</v>
      </c>
      <c r="U14" s="110"/>
      <c r="V14" s="110">
        <v>1</v>
      </c>
      <c r="W14" s="110"/>
      <c r="X14" s="22"/>
      <c r="Y14" s="24"/>
      <c r="Z14" s="24"/>
      <c r="AA14" s="24"/>
      <c r="AB14" s="22"/>
      <c r="AC14" s="22"/>
      <c r="AD14" s="22"/>
      <c r="AE14" s="22"/>
      <c r="AF14" s="22"/>
      <c r="AG14" s="22"/>
      <c r="AH14" s="22"/>
    </row>
    <row r="15" spans="1:34" ht="30.25" customHeight="1" x14ac:dyDescent="0.35">
      <c r="A15" s="44">
        <v>12</v>
      </c>
      <c r="B15" s="44">
        <v>12</v>
      </c>
      <c r="C15" s="45" t="s">
        <v>83</v>
      </c>
      <c r="D15" s="46" t="s">
        <v>90</v>
      </c>
      <c r="E15" s="45" t="s">
        <v>91</v>
      </c>
      <c r="F15" s="44" t="s">
        <v>20</v>
      </c>
      <c r="G15" s="44" t="s">
        <v>22</v>
      </c>
      <c r="H15" s="44" t="s">
        <v>5</v>
      </c>
      <c r="I15" s="45" t="s">
        <v>6</v>
      </c>
      <c r="J15" s="47">
        <v>3617.48</v>
      </c>
      <c r="K15" s="27">
        <f>2-1</f>
        <v>1</v>
      </c>
      <c r="L15" s="127">
        <f t="shared" si="0"/>
        <v>1</v>
      </c>
      <c r="M15" s="127">
        <f t="shared" si="1"/>
        <v>1</v>
      </c>
      <c r="N15" s="128"/>
      <c r="O15" s="129">
        <f t="shared" si="2"/>
        <v>0</v>
      </c>
      <c r="P15" s="128"/>
      <c r="Q15" s="128"/>
      <c r="R15" s="128"/>
      <c r="S15" s="26">
        <f t="shared" si="3"/>
        <v>0</v>
      </c>
      <c r="T15" s="25" t="str">
        <f t="shared" si="4"/>
        <v>OK</v>
      </c>
      <c r="U15" s="110"/>
      <c r="V15" s="110">
        <v>1</v>
      </c>
      <c r="W15" s="110"/>
      <c r="X15" s="22"/>
      <c r="Y15" s="24"/>
      <c r="Z15" s="24"/>
      <c r="AA15" s="24"/>
      <c r="AB15" s="22"/>
      <c r="AC15" s="22"/>
      <c r="AD15" s="22"/>
      <c r="AE15" s="22"/>
      <c r="AF15" s="22"/>
      <c r="AG15" s="22"/>
      <c r="AH15" s="22"/>
    </row>
    <row r="16" spans="1:34" ht="30.25" customHeight="1" x14ac:dyDescent="0.35">
      <c r="A16" s="37">
        <v>13</v>
      </c>
      <c r="B16" s="37">
        <v>13</v>
      </c>
      <c r="C16" s="35" t="s">
        <v>92</v>
      </c>
      <c r="D16" s="34" t="s">
        <v>93</v>
      </c>
      <c r="E16" s="35" t="s">
        <v>94</v>
      </c>
      <c r="F16" s="37" t="s">
        <v>20</v>
      </c>
      <c r="G16" s="37" t="s">
        <v>22</v>
      </c>
      <c r="H16" s="37" t="s">
        <v>5</v>
      </c>
      <c r="I16" s="35" t="s">
        <v>6</v>
      </c>
      <c r="J16" s="36">
        <v>7453.33</v>
      </c>
      <c r="K16" s="27">
        <f>0</f>
        <v>0</v>
      </c>
      <c r="L16" s="127">
        <f t="shared" si="0"/>
        <v>0</v>
      </c>
      <c r="M16" s="127">
        <f t="shared" si="1"/>
        <v>0</v>
      </c>
      <c r="N16" s="128"/>
      <c r="O16" s="129">
        <f t="shared" si="2"/>
        <v>0</v>
      </c>
      <c r="P16" s="128"/>
      <c r="Q16" s="128"/>
      <c r="R16" s="128"/>
      <c r="S16" s="26">
        <f t="shared" si="3"/>
        <v>0</v>
      </c>
      <c r="T16" s="25" t="str">
        <f t="shared" si="4"/>
        <v>OK</v>
      </c>
      <c r="U16" s="110"/>
      <c r="V16" s="110"/>
      <c r="W16" s="110"/>
      <c r="X16" s="22"/>
      <c r="Y16" s="24"/>
      <c r="Z16" s="24"/>
      <c r="AA16" s="24"/>
      <c r="AB16" s="22"/>
      <c r="AC16" s="22"/>
      <c r="AD16" s="22"/>
      <c r="AE16" s="22"/>
      <c r="AF16" s="22"/>
      <c r="AG16" s="22"/>
      <c r="AH16" s="22"/>
    </row>
    <row r="17" spans="1:34" ht="30.25" customHeight="1" x14ac:dyDescent="0.35">
      <c r="A17" s="44">
        <v>14</v>
      </c>
      <c r="B17" s="44">
        <v>14</v>
      </c>
      <c r="C17" s="45" t="s">
        <v>92</v>
      </c>
      <c r="D17" s="46" t="s">
        <v>95</v>
      </c>
      <c r="E17" s="45" t="s">
        <v>94</v>
      </c>
      <c r="F17" s="45" t="s">
        <v>20</v>
      </c>
      <c r="G17" s="45" t="s">
        <v>22</v>
      </c>
      <c r="H17" s="45" t="s">
        <v>5</v>
      </c>
      <c r="I17" s="45" t="s">
        <v>6</v>
      </c>
      <c r="J17" s="47">
        <v>9561.2000000000007</v>
      </c>
      <c r="K17" s="27">
        <f>0</f>
        <v>0</v>
      </c>
      <c r="L17" s="127">
        <f t="shared" si="0"/>
        <v>0</v>
      </c>
      <c r="M17" s="127">
        <f t="shared" si="1"/>
        <v>0</v>
      </c>
      <c r="N17" s="128"/>
      <c r="O17" s="129">
        <f t="shared" si="2"/>
        <v>0</v>
      </c>
      <c r="P17" s="128"/>
      <c r="Q17" s="128"/>
      <c r="R17" s="128"/>
      <c r="S17" s="26">
        <f t="shared" si="3"/>
        <v>0</v>
      </c>
      <c r="T17" s="25" t="str">
        <f t="shared" si="4"/>
        <v>OK</v>
      </c>
      <c r="U17" s="110"/>
      <c r="V17" s="110"/>
      <c r="W17" s="110"/>
      <c r="X17" s="22"/>
      <c r="Y17" s="24"/>
      <c r="Z17" s="24"/>
      <c r="AA17" s="24"/>
      <c r="AB17" s="22"/>
      <c r="AC17" s="22"/>
      <c r="AD17" s="22"/>
      <c r="AE17" s="22"/>
      <c r="AF17" s="22"/>
      <c r="AG17" s="22"/>
      <c r="AH17" s="22"/>
    </row>
    <row r="18" spans="1:34" ht="30.25" customHeight="1" x14ac:dyDescent="0.35">
      <c r="A18" s="37">
        <v>15</v>
      </c>
      <c r="B18" s="37">
        <v>15</v>
      </c>
      <c r="C18" s="35" t="s">
        <v>63</v>
      </c>
      <c r="D18" s="34" t="s">
        <v>96</v>
      </c>
      <c r="E18" s="35" t="s">
        <v>97</v>
      </c>
      <c r="F18" s="35" t="s">
        <v>20</v>
      </c>
      <c r="G18" s="35" t="s">
        <v>31</v>
      </c>
      <c r="H18" s="35" t="s">
        <v>5</v>
      </c>
      <c r="I18" s="35" t="s">
        <v>6</v>
      </c>
      <c r="J18" s="36">
        <v>7598</v>
      </c>
      <c r="K18" s="27">
        <f>0</f>
        <v>0</v>
      </c>
      <c r="L18" s="127">
        <f t="shared" si="0"/>
        <v>0</v>
      </c>
      <c r="M18" s="127">
        <f t="shared" si="1"/>
        <v>0</v>
      </c>
      <c r="N18" s="128"/>
      <c r="O18" s="129">
        <f t="shared" si="2"/>
        <v>0</v>
      </c>
      <c r="P18" s="128"/>
      <c r="Q18" s="128"/>
      <c r="R18" s="128"/>
      <c r="S18" s="26">
        <f t="shared" si="3"/>
        <v>0</v>
      </c>
      <c r="T18" s="25" t="str">
        <f t="shared" si="4"/>
        <v>OK</v>
      </c>
      <c r="U18" s="110"/>
      <c r="V18" s="110"/>
      <c r="W18" s="110"/>
      <c r="X18" s="22"/>
      <c r="Y18" s="24"/>
      <c r="Z18" s="24"/>
      <c r="AA18" s="24"/>
      <c r="AB18" s="22"/>
      <c r="AC18" s="22"/>
      <c r="AD18" s="22"/>
      <c r="AE18" s="22"/>
      <c r="AF18" s="22"/>
      <c r="AG18" s="22"/>
      <c r="AH18" s="22"/>
    </row>
    <row r="19" spans="1:34" ht="30.25" customHeight="1" x14ac:dyDescent="0.35">
      <c r="A19" s="44">
        <v>16</v>
      </c>
      <c r="B19" s="44">
        <v>16</v>
      </c>
      <c r="C19" s="45" t="s">
        <v>83</v>
      </c>
      <c r="D19" s="46" t="s">
        <v>98</v>
      </c>
      <c r="E19" s="45" t="s">
        <v>99</v>
      </c>
      <c r="F19" s="45" t="s">
        <v>20</v>
      </c>
      <c r="G19" s="45" t="s">
        <v>100</v>
      </c>
      <c r="H19" s="45" t="s">
        <v>5</v>
      </c>
      <c r="I19" s="45" t="s">
        <v>6</v>
      </c>
      <c r="J19" s="47">
        <v>4540.34</v>
      </c>
      <c r="K19" s="27">
        <f>0</f>
        <v>0</v>
      </c>
      <c r="L19" s="127">
        <f t="shared" si="0"/>
        <v>0</v>
      </c>
      <c r="M19" s="127">
        <f t="shared" si="1"/>
        <v>0</v>
      </c>
      <c r="N19" s="128"/>
      <c r="O19" s="129">
        <f t="shared" si="2"/>
        <v>0</v>
      </c>
      <c r="P19" s="128"/>
      <c r="Q19" s="128"/>
      <c r="R19" s="128"/>
      <c r="S19" s="26">
        <f t="shared" si="3"/>
        <v>0</v>
      </c>
      <c r="T19" s="25" t="str">
        <f t="shared" si="4"/>
        <v>OK</v>
      </c>
      <c r="U19" s="110"/>
      <c r="V19" s="110"/>
      <c r="W19" s="110"/>
      <c r="X19" s="22"/>
      <c r="Y19" s="24"/>
      <c r="Z19" s="24"/>
      <c r="AA19" s="24"/>
      <c r="AB19" s="22"/>
      <c r="AC19" s="22"/>
      <c r="AD19" s="22"/>
      <c r="AE19" s="22"/>
      <c r="AF19" s="22"/>
      <c r="AG19" s="22"/>
      <c r="AH19" s="22"/>
    </row>
    <row r="20" spans="1:34" ht="30.25" customHeight="1" x14ac:dyDescent="0.35">
      <c r="A20" s="37">
        <v>17</v>
      </c>
      <c r="B20" s="37">
        <v>17</v>
      </c>
      <c r="C20" s="35" t="s">
        <v>63</v>
      </c>
      <c r="D20" s="38" t="s">
        <v>101</v>
      </c>
      <c r="E20" s="39" t="s">
        <v>102</v>
      </c>
      <c r="F20" s="40" t="s">
        <v>20</v>
      </c>
      <c r="G20" s="40" t="s">
        <v>103</v>
      </c>
      <c r="H20" s="40" t="s">
        <v>5</v>
      </c>
      <c r="I20" s="40" t="s">
        <v>6</v>
      </c>
      <c r="J20" s="36">
        <v>7499</v>
      </c>
      <c r="K20" s="27">
        <f>3</f>
        <v>3</v>
      </c>
      <c r="L20" s="127">
        <f t="shared" si="0"/>
        <v>0</v>
      </c>
      <c r="M20" s="127">
        <f t="shared" si="1"/>
        <v>0</v>
      </c>
      <c r="N20" s="128"/>
      <c r="O20" s="129">
        <f t="shared" si="2"/>
        <v>0</v>
      </c>
      <c r="P20" s="128"/>
      <c r="Q20" s="128"/>
      <c r="R20" s="128"/>
      <c r="S20" s="26">
        <f t="shared" si="3"/>
        <v>3</v>
      </c>
      <c r="T20" s="25" t="str">
        <f t="shared" si="4"/>
        <v>OK</v>
      </c>
      <c r="U20" s="110"/>
      <c r="V20" s="110"/>
      <c r="W20" s="110"/>
      <c r="X20" s="22"/>
      <c r="Y20" s="24"/>
      <c r="Z20" s="24"/>
      <c r="AA20" s="24"/>
      <c r="AB20" s="22"/>
      <c r="AC20" s="22"/>
      <c r="AD20" s="22"/>
      <c r="AE20" s="22"/>
      <c r="AF20" s="22"/>
      <c r="AG20" s="22"/>
      <c r="AH20" s="22"/>
    </row>
    <row r="21" spans="1:34" ht="30.25" customHeight="1" x14ac:dyDescent="0.35">
      <c r="A21" s="44">
        <v>18</v>
      </c>
      <c r="B21" s="44">
        <v>18</v>
      </c>
      <c r="C21" s="45" t="s">
        <v>104</v>
      </c>
      <c r="D21" s="46" t="s">
        <v>105</v>
      </c>
      <c r="E21" s="48" t="s">
        <v>106</v>
      </c>
      <c r="F21" s="49" t="s">
        <v>20</v>
      </c>
      <c r="G21" s="44" t="s">
        <v>107</v>
      </c>
      <c r="H21" s="44" t="s">
        <v>5</v>
      </c>
      <c r="I21" s="44" t="s">
        <v>6</v>
      </c>
      <c r="J21" s="47">
        <v>9553.2000000000007</v>
      </c>
      <c r="K21" s="27">
        <f>0</f>
        <v>0</v>
      </c>
      <c r="L21" s="127">
        <f t="shared" si="0"/>
        <v>0</v>
      </c>
      <c r="M21" s="127">
        <f t="shared" si="1"/>
        <v>0</v>
      </c>
      <c r="N21" s="128"/>
      <c r="O21" s="129">
        <f t="shared" si="2"/>
        <v>0</v>
      </c>
      <c r="P21" s="128"/>
      <c r="Q21" s="128"/>
      <c r="R21" s="128"/>
      <c r="S21" s="26">
        <f t="shared" si="3"/>
        <v>0</v>
      </c>
      <c r="T21" s="25" t="str">
        <f t="shared" si="4"/>
        <v>OK</v>
      </c>
      <c r="U21" s="110"/>
      <c r="V21" s="110"/>
      <c r="W21" s="110"/>
      <c r="X21" s="22"/>
      <c r="Y21" s="24"/>
      <c r="Z21" s="24"/>
      <c r="AA21" s="24"/>
      <c r="AB21" s="22"/>
      <c r="AC21" s="22"/>
      <c r="AD21" s="22"/>
      <c r="AE21" s="22"/>
      <c r="AF21" s="22"/>
      <c r="AG21" s="22"/>
      <c r="AH21" s="22"/>
    </row>
    <row r="22" spans="1:34" ht="30.25" customHeight="1" x14ac:dyDescent="0.35">
      <c r="A22" s="37">
        <v>19</v>
      </c>
      <c r="B22" s="37">
        <v>19</v>
      </c>
      <c r="C22" s="35" t="s">
        <v>63</v>
      </c>
      <c r="D22" s="34" t="s">
        <v>108</v>
      </c>
      <c r="E22" s="41" t="s">
        <v>109</v>
      </c>
      <c r="F22" s="43" t="s">
        <v>20</v>
      </c>
      <c r="G22" s="37" t="s">
        <v>107</v>
      </c>
      <c r="H22" s="37" t="s">
        <v>5</v>
      </c>
      <c r="I22" s="37" t="s">
        <v>6</v>
      </c>
      <c r="J22" s="36">
        <v>8608</v>
      </c>
      <c r="K22" s="27">
        <f>0</f>
        <v>0</v>
      </c>
      <c r="L22" s="127">
        <f t="shared" si="0"/>
        <v>0</v>
      </c>
      <c r="M22" s="127">
        <f t="shared" si="1"/>
        <v>0</v>
      </c>
      <c r="N22" s="128"/>
      <c r="O22" s="129">
        <f t="shared" si="2"/>
        <v>0</v>
      </c>
      <c r="P22" s="128"/>
      <c r="Q22" s="128"/>
      <c r="R22" s="128"/>
      <c r="S22" s="26">
        <f t="shared" si="3"/>
        <v>0</v>
      </c>
      <c r="T22" s="25" t="str">
        <f t="shared" si="4"/>
        <v>OK</v>
      </c>
      <c r="U22" s="110"/>
      <c r="V22" s="110"/>
      <c r="W22" s="112"/>
      <c r="X22" s="29"/>
      <c r="Y22" s="24"/>
      <c r="Z22" s="24"/>
      <c r="AA22" s="24"/>
      <c r="AB22" s="22"/>
      <c r="AC22" s="22"/>
      <c r="AD22" s="22"/>
      <c r="AE22" s="22"/>
      <c r="AF22" s="22"/>
      <c r="AG22" s="22"/>
      <c r="AH22" s="22"/>
    </row>
    <row r="23" spans="1:34" ht="30.25" customHeight="1" x14ac:dyDescent="0.35">
      <c r="A23" s="44">
        <v>20</v>
      </c>
      <c r="B23" s="44">
        <v>20</v>
      </c>
      <c r="C23" s="45" t="s">
        <v>63</v>
      </c>
      <c r="D23" s="46" t="s">
        <v>110</v>
      </c>
      <c r="E23" s="48" t="s">
        <v>111</v>
      </c>
      <c r="F23" s="50" t="s">
        <v>20</v>
      </c>
      <c r="G23" s="44" t="s">
        <v>112</v>
      </c>
      <c r="H23" s="44" t="s">
        <v>5</v>
      </c>
      <c r="I23" s="44" t="s">
        <v>6</v>
      </c>
      <c r="J23" s="47">
        <v>10488</v>
      </c>
      <c r="K23" s="27">
        <f>0</f>
        <v>0</v>
      </c>
      <c r="L23" s="127">
        <f t="shared" si="0"/>
        <v>0</v>
      </c>
      <c r="M23" s="127">
        <f t="shared" si="1"/>
        <v>0</v>
      </c>
      <c r="N23" s="128"/>
      <c r="O23" s="129">
        <f t="shared" si="2"/>
        <v>0</v>
      </c>
      <c r="P23" s="128"/>
      <c r="Q23" s="128"/>
      <c r="R23" s="128"/>
      <c r="S23" s="26">
        <f t="shared" si="3"/>
        <v>0</v>
      </c>
      <c r="T23" s="25" t="str">
        <f t="shared" si="4"/>
        <v>OK</v>
      </c>
      <c r="U23" s="110"/>
      <c r="V23" s="110"/>
      <c r="W23" s="112"/>
      <c r="X23" s="29"/>
      <c r="Y23" s="24"/>
      <c r="Z23" s="24"/>
      <c r="AA23" s="24"/>
      <c r="AB23" s="22"/>
      <c r="AC23" s="22"/>
      <c r="AD23" s="22"/>
      <c r="AE23" s="22"/>
      <c r="AF23" s="22"/>
      <c r="AG23" s="22"/>
      <c r="AH23" s="22"/>
    </row>
    <row r="24" spans="1:34" ht="30.25" customHeight="1" x14ac:dyDescent="0.35">
      <c r="A24" s="37">
        <v>21</v>
      </c>
      <c r="B24" s="37">
        <v>21</v>
      </c>
      <c r="C24" s="35" t="s">
        <v>63</v>
      </c>
      <c r="D24" s="34" t="s">
        <v>113</v>
      </c>
      <c r="E24" s="41" t="s">
        <v>114</v>
      </c>
      <c r="F24" s="43" t="s">
        <v>20</v>
      </c>
      <c r="G24" s="37" t="s">
        <v>115</v>
      </c>
      <c r="H24" s="37" t="s">
        <v>5</v>
      </c>
      <c r="I24" s="37" t="s">
        <v>6</v>
      </c>
      <c r="J24" s="36">
        <v>10968</v>
      </c>
      <c r="K24" s="27">
        <f>0</f>
        <v>0</v>
      </c>
      <c r="L24" s="127">
        <f t="shared" si="0"/>
        <v>0</v>
      </c>
      <c r="M24" s="127">
        <f t="shared" si="1"/>
        <v>0</v>
      </c>
      <c r="N24" s="128"/>
      <c r="O24" s="129">
        <f t="shared" si="2"/>
        <v>0</v>
      </c>
      <c r="P24" s="128"/>
      <c r="Q24" s="128"/>
      <c r="R24" s="128"/>
      <c r="S24" s="26">
        <f t="shared" si="3"/>
        <v>0</v>
      </c>
      <c r="T24" s="25" t="str">
        <f t="shared" si="4"/>
        <v>OK</v>
      </c>
      <c r="U24" s="110"/>
      <c r="V24" s="110"/>
      <c r="W24" s="112"/>
      <c r="X24" s="29"/>
      <c r="Y24" s="24"/>
      <c r="Z24" s="24"/>
      <c r="AA24" s="24"/>
      <c r="AB24" s="22"/>
      <c r="AC24" s="22"/>
      <c r="AD24" s="22"/>
      <c r="AE24" s="22"/>
      <c r="AF24" s="22"/>
      <c r="AG24" s="22"/>
      <c r="AH24" s="22"/>
    </row>
    <row r="25" spans="1:34" ht="30.25" customHeight="1" x14ac:dyDescent="0.35">
      <c r="A25" s="44">
        <v>22</v>
      </c>
      <c r="B25" s="44">
        <v>22</v>
      </c>
      <c r="C25" s="45" t="s">
        <v>32</v>
      </c>
      <c r="D25" s="46" t="s">
        <v>116</v>
      </c>
      <c r="E25" s="48" t="s">
        <v>117</v>
      </c>
      <c r="F25" s="50" t="s">
        <v>20</v>
      </c>
      <c r="G25" s="44" t="s">
        <v>118</v>
      </c>
      <c r="H25" s="44" t="s">
        <v>5</v>
      </c>
      <c r="I25" s="44" t="s">
        <v>6</v>
      </c>
      <c r="J25" s="47">
        <v>13446</v>
      </c>
      <c r="K25" s="27">
        <f>0</f>
        <v>0</v>
      </c>
      <c r="L25" s="127">
        <f t="shared" si="0"/>
        <v>0</v>
      </c>
      <c r="M25" s="127">
        <f t="shared" si="1"/>
        <v>0</v>
      </c>
      <c r="N25" s="128"/>
      <c r="O25" s="129">
        <f t="shared" si="2"/>
        <v>0</v>
      </c>
      <c r="P25" s="128"/>
      <c r="Q25" s="128"/>
      <c r="R25" s="128"/>
      <c r="S25" s="26">
        <f t="shared" si="3"/>
        <v>0</v>
      </c>
      <c r="T25" s="25" t="str">
        <f t="shared" si="4"/>
        <v>OK</v>
      </c>
      <c r="U25" s="110"/>
      <c r="V25" s="110"/>
      <c r="W25" s="112"/>
      <c r="X25" s="29"/>
      <c r="Y25" s="24"/>
      <c r="Z25" s="24"/>
      <c r="AA25" s="24"/>
      <c r="AB25" s="22"/>
      <c r="AC25" s="22"/>
      <c r="AD25" s="22"/>
      <c r="AE25" s="22"/>
      <c r="AF25" s="22"/>
      <c r="AG25" s="22"/>
      <c r="AH25" s="22"/>
    </row>
    <row r="26" spans="1:34" ht="30.25" customHeight="1" x14ac:dyDescent="0.35">
      <c r="A26" s="37">
        <v>23</v>
      </c>
      <c r="B26" s="37">
        <v>23</v>
      </c>
      <c r="C26" s="35" t="s">
        <v>119</v>
      </c>
      <c r="D26" s="34" t="s">
        <v>120</v>
      </c>
      <c r="E26" s="41" t="s">
        <v>121</v>
      </c>
      <c r="F26" s="43" t="s">
        <v>20</v>
      </c>
      <c r="G26" s="37" t="s">
        <v>115</v>
      </c>
      <c r="H26" s="37" t="s">
        <v>5</v>
      </c>
      <c r="I26" s="37" t="s">
        <v>6</v>
      </c>
      <c r="J26" s="36">
        <v>11764.7</v>
      </c>
      <c r="K26" s="27">
        <f>0</f>
        <v>0</v>
      </c>
      <c r="L26" s="127">
        <f t="shared" si="0"/>
        <v>0</v>
      </c>
      <c r="M26" s="127">
        <f t="shared" si="1"/>
        <v>0</v>
      </c>
      <c r="N26" s="128"/>
      <c r="O26" s="129">
        <f t="shared" si="2"/>
        <v>0</v>
      </c>
      <c r="P26" s="128"/>
      <c r="Q26" s="128"/>
      <c r="R26" s="128"/>
      <c r="S26" s="26">
        <f t="shared" si="3"/>
        <v>0</v>
      </c>
      <c r="T26" s="25" t="str">
        <f t="shared" si="4"/>
        <v>OK</v>
      </c>
      <c r="U26" s="110"/>
      <c r="V26" s="110"/>
      <c r="W26" s="112"/>
      <c r="X26" s="29"/>
      <c r="Y26" s="24"/>
      <c r="Z26" s="24"/>
      <c r="AA26" s="24"/>
      <c r="AB26" s="22"/>
      <c r="AC26" s="22"/>
      <c r="AD26" s="22"/>
      <c r="AE26" s="22"/>
      <c r="AF26" s="22"/>
      <c r="AG26" s="22"/>
      <c r="AH26" s="22"/>
    </row>
    <row r="27" spans="1:34" ht="30.25" customHeight="1" x14ac:dyDescent="0.35">
      <c r="A27" s="44">
        <v>24</v>
      </c>
      <c r="B27" s="44">
        <v>24</v>
      </c>
      <c r="C27" s="45" t="s">
        <v>32</v>
      </c>
      <c r="D27" s="46" t="s">
        <v>122</v>
      </c>
      <c r="E27" s="48" t="s">
        <v>123</v>
      </c>
      <c r="F27" s="50" t="s">
        <v>20</v>
      </c>
      <c r="G27" s="44" t="s">
        <v>124</v>
      </c>
      <c r="H27" s="44" t="s">
        <v>60</v>
      </c>
      <c r="I27" s="44" t="s">
        <v>6</v>
      </c>
      <c r="J27" s="47">
        <v>13333.33</v>
      </c>
      <c r="K27" s="27">
        <f>0</f>
        <v>0</v>
      </c>
      <c r="L27" s="127">
        <f t="shared" si="0"/>
        <v>0</v>
      </c>
      <c r="M27" s="127">
        <f t="shared" si="1"/>
        <v>0</v>
      </c>
      <c r="N27" s="128"/>
      <c r="O27" s="129">
        <f t="shared" si="2"/>
        <v>0</v>
      </c>
      <c r="P27" s="128"/>
      <c r="Q27" s="128"/>
      <c r="R27" s="128"/>
      <c r="S27" s="26">
        <f t="shared" si="3"/>
        <v>0</v>
      </c>
      <c r="T27" s="25" t="str">
        <f t="shared" si="4"/>
        <v>OK</v>
      </c>
      <c r="U27" s="110"/>
      <c r="V27" s="110"/>
      <c r="W27" s="112"/>
      <c r="X27" s="29"/>
      <c r="Y27" s="24"/>
      <c r="Z27" s="24"/>
      <c r="AA27" s="24"/>
      <c r="AB27" s="22"/>
      <c r="AC27" s="22"/>
      <c r="AD27" s="22"/>
      <c r="AE27" s="22"/>
      <c r="AF27" s="22"/>
      <c r="AG27" s="22"/>
      <c r="AH27" s="22"/>
    </row>
    <row r="28" spans="1:34" ht="30.25" customHeight="1" x14ac:dyDescent="0.35">
      <c r="A28" s="37">
        <v>25</v>
      </c>
      <c r="B28" s="37">
        <v>25</v>
      </c>
      <c r="C28" s="35" t="s">
        <v>125</v>
      </c>
      <c r="D28" s="34" t="s">
        <v>126</v>
      </c>
      <c r="E28" s="41" t="s">
        <v>127</v>
      </c>
      <c r="F28" s="43" t="s">
        <v>24</v>
      </c>
      <c r="G28" s="37" t="s">
        <v>25</v>
      </c>
      <c r="H28" s="37" t="s">
        <v>5</v>
      </c>
      <c r="I28" s="37" t="s">
        <v>26</v>
      </c>
      <c r="J28" s="36">
        <v>1320</v>
      </c>
      <c r="K28" s="27">
        <f>0</f>
        <v>0</v>
      </c>
      <c r="L28" s="127">
        <f t="shared" si="0"/>
        <v>0</v>
      </c>
      <c r="M28" s="127">
        <f t="shared" si="1"/>
        <v>0</v>
      </c>
      <c r="N28" s="128"/>
      <c r="O28" s="129">
        <f t="shared" si="2"/>
        <v>0</v>
      </c>
      <c r="P28" s="128"/>
      <c r="Q28" s="128"/>
      <c r="R28" s="128"/>
      <c r="S28" s="26">
        <f t="shared" si="3"/>
        <v>0</v>
      </c>
      <c r="T28" s="25" t="str">
        <f t="shared" si="4"/>
        <v>OK</v>
      </c>
      <c r="U28" s="110"/>
      <c r="V28" s="110"/>
      <c r="W28" s="112"/>
      <c r="X28" s="29"/>
      <c r="Y28" s="24"/>
      <c r="Z28" s="24"/>
      <c r="AA28" s="24"/>
      <c r="AB28" s="22"/>
      <c r="AC28" s="22"/>
      <c r="AD28" s="22"/>
      <c r="AE28" s="22"/>
      <c r="AF28" s="22"/>
      <c r="AG28" s="22"/>
      <c r="AH28" s="22"/>
    </row>
    <row r="29" spans="1:34" ht="30.25" customHeight="1" x14ac:dyDescent="0.35">
      <c r="A29" s="44">
        <v>26</v>
      </c>
      <c r="B29" s="44">
        <v>26</v>
      </c>
      <c r="C29" s="45" t="s">
        <v>119</v>
      </c>
      <c r="D29" s="46" t="s">
        <v>14</v>
      </c>
      <c r="E29" s="48" t="s">
        <v>128</v>
      </c>
      <c r="F29" s="50" t="s">
        <v>23</v>
      </c>
      <c r="G29" s="44" t="s">
        <v>129</v>
      </c>
      <c r="H29" s="44" t="s">
        <v>5</v>
      </c>
      <c r="I29" s="44" t="s">
        <v>6</v>
      </c>
      <c r="J29" s="47">
        <v>650</v>
      </c>
      <c r="K29" s="27">
        <f>0</f>
        <v>0</v>
      </c>
      <c r="L29" s="127">
        <f t="shared" si="0"/>
        <v>0</v>
      </c>
      <c r="M29" s="127">
        <f t="shared" si="1"/>
        <v>0</v>
      </c>
      <c r="N29" s="128"/>
      <c r="O29" s="129">
        <f t="shared" si="2"/>
        <v>0</v>
      </c>
      <c r="P29" s="128"/>
      <c r="Q29" s="128"/>
      <c r="R29" s="128"/>
      <c r="S29" s="26">
        <f t="shared" si="3"/>
        <v>0</v>
      </c>
      <c r="T29" s="25" t="str">
        <f t="shared" si="4"/>
        <v>OK</v>
      </c>
      <c r="U29" s="110"/>
      <c r="V29" s="110"/>
      <c r="W29" s="110"/>
      <c r="X29" s="22"/>
      <c r="Y29" s="24"/>
      <c r="Z29" s="24"/>
      <c r="AA29" s="24"/>
      <c r="AB29" s="22"/>
      <c r="AC29" s="22"/>
      <c r="AD29" s="22"/>
      <c r="AE29" s="22"/>
      <c r="AF29" s="22"/>
      <c r="AG29" s="22"/>
      <c r="AH29" s="22"/>
    </row>
    <row r="30" spans="1:34" ht="30.25" customHeight="1" x14ac:dyDescent="0.35">
      <c r="A30" s="37">
        <v>27</v>
      </c>
      <c r="B30" s="37">
        <v>27</v>
      </c>
      <c r="C30" s="35" t="s">
        <v>130</v>
      </c>
      <c r="D30" s="34" t="s">
        <v>131</v>
      </c>
      <c r="E30" s="41" t="s">
        <v>132</v>
      </c>
      <c r="F30" s="43" t="s">
        <v>28</v>
      </c>
      <c r="G30" s="37" t="s">
        <v>29</v>
      </c>
      <c r="H30" s="37" t="s">
        <v>8</v>
      </c>
      <c r="I30" s="37" t="s">
        <v>26</v>
      </c>
      <c r="J30" s="36">
        <v>39.78</v>
      </c>
      <c r="K30" s="27">
        <f>3</f>
        <v>3</v>
      </c>
      <c r="L30" s="127">
        <f t="shared" si="0"/>
        <v>0</v>
      </c>
      <c r="M30" s="127">
        <f t="shared" si="1"/>
        <v>0</v>
      </c>
      <c r="N30" s="128"/>
      <c r="O30" s="129">
        <f t="shared" si="2"/>
        <v>0</v>
      </c>
      <c r="P30" s="128"/>
      <c r="Q30" s="128"/>
      <c r="R30" s="128"/>
      <c r="S30" s="26">
        <f t="shared" si="3"/>
        <v>3</v>
      </c>
      <c r="T30" s="25" t="str">
        <f t="shared" si="4"/>
        <v>OK</v>
      </c>
      <c r="U30" s="110"/>
      <c r="V30" s="110"/>
      <c r="W30" s="110"/>
      <c r="X30" s="22"/>
      <c r="Y30" s="24"/>
      <c r="Z30" s="24"/>
      <c r="AA30" s="24"/>
      <c r="AB30" s="22"/>
      <c r="AC30" s="22"/>
      <c r="AD30" s="22"/>
      <c r="AE30" s="22"/>
      <c r="AF30" s="22"/>
      <c r="AG30" s="22"/>
      <c r="AH30" s="22"/>
    </row>
    <row r="31" spans="1:34" ht="30.25" customHeight="1" x14ac:dyDescent="0.35">
      <c r="A31" s="44">
        <v>28</v>
      </c>
      <c r="B31" s="44">
        <v>28</v>
      </c>
      <c r="C31" s="45" t="s">
        <v>133</v>
      </c>
      <c r="D31" s="46" t="s">
        <v>134</v>
      </c>
      <c r="E31" s="48" t="s">
        <v>135</v>
      </c>
      <c r="F31" s="50" t="s">
        <v>136</v>
      </c>
      <c r="G31" s="44" t="s">
        <v>137</v>
      </c>
      <c r="H31" s="44" t="s">
        <v>5</v>
      </c>
      <c r="I31" s="44" t="s">
        <v>6</v>
      </c>
      <c r="J31" s="47">
        <v>2259.91</v>
      </c>
      <c r="K31" s="27">
        <f>0</f>
        <v>0</v>
      </c>
      <c r="L31" s="127">
        <f t="shared" si="0"/>
        <v>0</v>
      </c>
      <c r="M31" s="127">
        <f t="shared" si="1"/>
        <v>0</v>
      </c>
      <c r="N31" s="128"/>
      <c r="O31" s="129">
        <f t="shared" si="2"/>
        <v>0</v>
      </c>
      <c r="P31" s="128"/>
      <c r="Q31" s="128"/>
      <c r="R31" s="128"/>
      <c r="S31" s="26">
        <f t="shared" si="3"/>
        <v>0</v>
      </c>
      <c r="T31" s="25" t="str">
        <f t="shared" si="4"/>
        <v>OK</v>
      </c>
      <c r="U31" s="110"/>
      <c r="V31" s="110"/>
      <c r="W31" s="110"/>
      <c r="X31" s="22"/>
      <c r="Y31" s="24"/>
      <c r="Z31" s="24"/>
      <c r="AA31" s="24"/>
      <c r="AB31" s="22"/>
      <c r="AC31" s="22"/>
      <c r="AD31" s="22"/>
      <c r="AE31" s="22"/>
      <c r="AF31" s="22"/>
      <c r="AG31" s="22"/>
      <c r="AH31" s="22"/>
    </row>
    <row r="32" spans="1:34" ht="30.25" customHeight="1" x14ac:dyDescent="0.35">
      <c r="A32" s="37">
        <v>29</v>
      </c>
      <c r="B32" s="37">
        <v>29</v>
      </c>
      <c r="C32" s="35" t="s">
        <v>138</v>
      </c>
      <c r="D32" s="34" t="s">
        <v>139</v>
      </c>
      <c r="E32" s="41" t="s">
        <v>140</v>
      </c>
      <c r="F32" s="43" t="s">
        <v>136</v>
      </c>
      <c r="G32" s="37" t="s">
        <v>137</v>
      </c>
      <c r="H32" s="37" t="s">
        <v>5</v>
      </c>
      <c r="I32" s="37" t="s">
        <v>6</v>
      </c>
      <c r="J32" s="36">
        <v>3391.3</v>
      </c>
      <c r="K32" s="27">
        <f>0</f>
        <v>0</v>
      </c>
      <c r="L32" s="127">
        <f t="shared" si="0"/>
        <v>0</v>
      </c>
      <c r="M32" s="127">
        <f t="shared" si="1"/>
        <v>0</v>
      </c>
      <c r="N32" s="128"/>
      <c r="O32" s="129">
        <f t="shared" si="2"/>
        <v>0</v>
      </c>
      <c r="P32" s="128"/>
      <c r="Q32" s="128"/>
      <c r="R32" s="128"/>
      <c r="S32" s="26">
        <f t="shared" si="3"/>
        <v>0</v>
      </c>
      <c r="T32" s="25" t="str">
        <f t="shared" si="4"/>
        <v>OK</v>
      </c>
      <c r="U32" s="110"/>
      <c r="V32" s="110"/>
      <c r="W32" s="110"/>
      <c r="X32" s="22"/>
      <c r="Y32" s="24"/>
      <c r="Z32" s="24"/>
      <c r="AA32" s="24"/>
      <c r="AB32" s="22"/>
      <c r="AC32" s="22"/>
      <c r="AD32" s="22"/>
      <c r="AE32" s="22"/>
      <c r="AF32" s="22"/>
      <c r="AG32" s="22"/>
      <c r="AH32" s="22"/>
    </row>
    <row r="33" spans="1:34" ht="30.25" customHeight="1" x14ac:dyDescent="0.35">
      <c r="A33" s="44">
        <v>30</v>
      </c>
      <c r="B33" s="44">
        <v>30</v>
      </c>
      <c r="C33" s="45" t="s">
        <v>141</v>
      </c>
      <c r="D33" s="46" t="s">
        <v>142</v>
      </c>
      <c r="E33" s="48" t="s">
        <v>143</v>
      </c>
      <c r="F33" s="50" t="s">
        <v>136</v>
      </c>
      <c r="G33" s="44" t="s">
        <v>137</v>
      </c>
      <c r="H33" s="44" t="s">
        <v>5</v>
      </c>
      <c r="I33" s="44" t="s">
        <v>6</v>
      </c>
      <c r="J33" s="47">
        <v>9961.5300000000007</v>
      </c>
      <c r="K33" s="27">
        <f>0</f>
        <v>0</v>
      </c>
      <c r="L33" s="127">
        <f t="shared" si="0"/>
        <v>0</v>
      </c>
      <c r="M33" s="127">
        <f t="shared" si="1"/>
        <v>0</v>
      </c>
      <c r="N33" s="128"/>
      <c r="O33" s="129">
        <f t="shared" si="2"/>
        <v>0</v>
      </c>
      <c r="P33" s="128"/>
      <c r="Q33" s="128"/>
      <c r="R33" s="128"/>
      <c r="S33" s="26">
        <f t="shared" si="3"/>
        <v>0</v>
      </c>
      <c r="T33" s="25" t="str">
        <f t="shared" si="4"/>
        <v>OK</v>
      </c>
      <c r="U33" s="110"/>
      <c r="V33" s="110"/>
      <c r="W33" s="110"/>
      <c r="X33" s="22"/>
      <c r="Y33" s="24"/>
      <c r="Z33" s="24"/>
      <c r="AA33" s="24"/>
      <c r="AB33" s="22"/>
      <c r="AC33" s="22"/>
      <c r="AD33" s="22"/>
      <c r="AE33" s="22"/>
      <c r="AF33" s="22"/>
      <c r="AG33" s="22"/>
      <c r="AH33" s="22"/>
    </row>
    <row r="34" spans="1:34" ht="30.25" customHeight="1" x14ac:dyDescent="0.35">
      <c r="A34" s="37">
        <v>31</v>
      </c>
      <c r="B34" s="37">
        <v>31</v>
      </c>
      <c r="C34" s="35" t="s">
        <v>144</v>
      </c>
      <c r="D34" s="34" t="s">
        <v>145</v>
      </c>
      <c r="E34" s="41" t="s">
        <v>146</v>
      </c>
      <c r="F34" s="43" t="s">
        <v>20</v>
      </c>
      <c r="G34" s="37" t="s">
        <v>147</v>
      </c>
      <c r="H34" s="37" t="s">
        <v>60</v>
      </c>
      <c r="I34" s="37">
        <v>44905212</v>
      </c>
      <c r="J34" s="36">
        <v>630</v>
      </c>
      <c r="K34" s="27">
        <f>0</f>
        <v>0</v>
      </c>
      <c r="L34" s="127">
        <f t="shared" si="0"/>
        <v>0</v>
      </c>
      <c r="M34" s="127">
        <f t="shared" si="1"/>
        <v>0</v>
      </c>
      <c r="N34" s="128"/>
      <c r="O34" s="129">
        <f t="shared" si="2"/>
        <v>0</v>
      </c>
      <c r="P34" s="128"/>
      <c r="Q34" s="128"/>
      <c r="R34" s="128"/>
      <c r="S34" s="26">
        <f t="shared" si="3"/>
        <v>0</v>
      </c>
      <c r="T34" s="25" t="str">
        <f t="shared" si="4"/>
        <v>OK</v>
      </c>
      <c r="U34" s="110"/>
      <c r="V34" s="110"/>
      <c r="W34" s="110"/>
      <c r="X34" s="22"/>
      <c r="Y34" s="24"/>
      <c r="Z34" s="24"/>
      <c r="AA34" s="24"/>
      <c r="AB34" s="22"/>
      <c r="AC34" s="22"/>
      <c r="AD34" s="22"/>
      <c r="AE34" s="22"/>
      <c r="AF34" s="22"/>
      <c r="AG34" s="22"/>
      <c r="AH34" s="22"/>
    </row>
    <row r="35" spans="1:34" ht="30.25" customHeight="1" x14ac:dyDescent="0.35">
      <c r="A35" s="44">
        <v>32</v>
      </c>
      <c r="B35" s="44">
        <v>32</v>
      </c>
      <c r="C35" s="45" t="s">
        <v>144</v>
      </c>
      <c r="D35" s="46" t="s">
        <v>148</v>
      </c>
      <c r="E35" s="48" t="s">
        <v>149</v>
      </c>
      <c r="F35" s="50" t="s">
        <v>20</v>
      </c>
      <c r="G35" s="44" t="s">
        <v>147</v>
      </c>
      <c r="H35" s="44" t="s">
        <v>60</v>
      </c>
      <c r="I35" s="44">
        <v>44905212</v>
      </c>
      <c r="J35" s="47">
        <v>1550</v>
      </c>
      <c r="K35" s="27">
        <f>0</f>
        <v>0</v>
      </c>
      <c r="L35" s="127">
        <f t="shared" si="0"/>
        <v>0</v>
      </c>
      <c r="M35" s="127">
        <f t="shared" si="1"/>
        <v>0</v>
      </c>
      <c r="N35" s="128"/>
      <c r="O35" s="129">
        <f t="shared" si="2"/>
        <v>0</v>
      </c>
      <c r="P35" s="128"/>
      <c r="Q35" s="128"/>
      <c r="R35" s="128"/>
      <c r="S35" s="26">
        <f t="shared" si="3"/>
        <v>0</v>
      </c>
      <c r="T35" s="25" t="str">
        <f t="shared" si="4"/>
        <v>OK</v>
      </c>
      <c r="U35" s="110"/>
      <c r="V35" s="110"/>
      <c r="W35" s="110"/>
      <c r="X35" s="22"/>
      <c r="Y35" s="24"/>
      <c r="Z35" s="24"/>
      <c r="AA35" s="24"/>
      <c r="AB35" s="22"/>
      <c r="AC35" s="22"/>
      <c r="AD35" s="22"/>
      <c r="AE35" s="22"/>
      <c r="AF35" s="22"/>
      <c r="AG35" s="22"/>
      <c r="AH35" s="22"/>
    </row>
    <row r="36" spans="1:34" ht="30.25" customHeight="1" x14ac:dyDescent="0.35">
      <c r="A36" s="37">
        <v>33</v>
      </c>
      <c r="B36" s="37">
        <v>33</v>
      </c>
      <c r="C36" s="35" t="s">
        <v>150</v>
      </c>
      <c r="D36" s="34" t="s">
        <v>151</v>
      </c>
      <c r="E36" s="41" t="s">
        <v>152</v>
      </c>
      <c r="F36" s="43" t="s">
        <v>20</v>
      </c>
      <c r="G36" s="37" t="s">
        <v>147</v>
      </c>
      <c r="H36" s="37" t="s">
        <v>60</v>
      </c>
      <c r="I36" s="37">
        <v>44905212</v>
      </c>
      <c r="J36" s="36">
        <v>930</v>
      </c>
      <c r="K36" s="27">
        <f>0</f>
        <v>0</v>
      </c>
      <c r="L36" s="127">
        <f t="shared" si="0"/>
        <v>0</v>
      </c>
      <c r="M36" s="127">
        <f t="shared" si="1"/>
        <v>0</v>
      </c>
      <c r="N36" s="128"/>
      <c r="O36" s="129">
        <f t="shared" si="2"/>
        <v>0</v>
      </c>
      <c r="P36" s="128"/>
      <c r="Q36" s="128"/>
      <c r="R36" s="128"/>
      <c r="S36" s="26">
        <f t="shared" si="3"/>
        <v>0</v>
      </c>
      <c r="T36" s="25" t="str">
        <f t="shared" si="4"/>
        <v>OK</v>
      </c>
      <c r="U36" s="110"/>
      <c r="V36" s="110"/>
      <c r="W36" s="110"/>
      <c r="X36" s="22"/>
      <c r="Y36" s="24"/>
      <c r="Z36" s="24"/>
      <c r="AA36" s="24"/>
      <c r="AB36" s="22"/>
      <c r="AC36" s="22"/>
      <c r="AD36" s="22"/>
      <c r="AE36" s="22"/>
      <c r="AF36" s="22"/>
      <c r="AG36" s="22"/>
      <c r="AH36" s="22"/>
    </row>
    <row r="37" spans="1:34" ht="30.25" customHeight="1" x14ac:dyDescent="0.35">
      <c r="A37" s="44">
        <v>34</v>
      </c>
      <c r="B37" s="44">
        <v>34</v>
      </c>
      <c r="C37" s="45" t="s">
        <v>150</v>
      </c>
      <c r="D37" s="46" t="s">
        <v>153</v>
      </c>
      <c r="E37" s="48" t="s">
        <v>154</v>
      </c>
      <c r="F37" s="50" t="s">
        <v>20</v>
      </c>
      <c r="G37" s="44" t="s">
        <v>147</v>
      </c>
      <c r="H37" s="44" t="s">
        <v>60</v>
      </c>
      <c r="I37" s="44">
        <v>44905212</v>
      </c>
      <c r="J37" s="47">
        <v>2560</v>
      </c>
      <c r="K37" s="27">
        <f>0</f>
        <v>0</v>
      </c>
      <c r="L37" s="127">
        <f t="shared" si="0"/>
        <v>0</v>
      </c>
      <c r="M37" s="127">
        <f t="shared" si="1"/>
        <v>0</v>
      </c>
      <c r="N37" s="128"/>
      <c r="O37" s="129">
        <f t="shared" si="2"/>
        <v>0</v>
      </c>
      <c r="P37" s="128"/>
      <c r="Q37" s="128"/>
      <c r="R37" s="128"/>
      <c r="S37" s="26">
        <f t="shared" si="3"/>
        <v>0</v>
      </c>
      <c r="T37" s="25" t="str">
        <f t="shared" si="4"/>
        <v>OK</v>
      </c>
      <c r="U37" s="110"/>
      <c r="V37" s="110"/>
      <c r="W37" s="110"/>
      <c r="X37" s="22"/>
      <c r="Y37" s="24"/>
      <c r="Z37" s="24"/>
      <c r="AA37" s="24"/>
      <c r="AB37" s="22"/>
      <c r="AC37" s="22"/>
      <c r="AD37" s="22"/>
      <c r="AE37" s="22"/>
      <c r="AF37" s="22"/>
      <c r="AG37" s="22"/>
      <c r="AH37" s="22"/>
    </row>
    <row r="38" spans="1:34" ht="30.25" customHeight="1" x14ac:dyDescent="0.35">
      <c r="A38" s="198" t="s">
        <v>155</v>
      </c>
      <c r="B38" s="37">
        <v>35</v>
      </c>
      <c r="C38" s="113" t="s">
        <v>33</v>
      </c>
      <c r="D38" s="34" t="s">
        <v>27</v>
      </c>
      <c r="E38" s="41" t="s">
        <v>8</v>
      </c>
      <c r="F38" s="42" t="s">
        <v>28</v>
      </c>
      <c r="G38" s="37" t="s">
        <v>29</v>
      </c>
      <c r="H38" s="37" t="s">
        <v>8</v>
      </c>
      <c r="I38" s="37" t="s">
        <v>9</v>
      </c>
      <c r="J38" s="36">
        <v>150.13999999999999</v>
      </c>
      <c r="K38" s="27">
        <f>0</f>
        <v>0</v>
      </c>
      <c r="L38" s="127">
        <f t="shared" si="0"/>
        <v>0</v>
      </c>
      <c r="M38" s="127">
        <f t="shared" si="1"/>
        <v>0</v>
      </c>
      <c r="N38" s="128"/>
      <c r="O38" s="129">
        <f t="shared" si="2"/>
        <v>0</v>
      </c>
      <c r="P38" s="128"/>
      <c r="Q38" s="128"/>
      <c r="R38" s="128"/>
      <c r="S38" s="26">
        <f t="shared" si="3"/>
        <v>0</v>
      </c>
      <c r="T38" s="25" t="str">
        <f t="shared" si="4"/>
        <v>OK</v>
      </c>
      <c r="U38" s="110"/>
      <c r="V38" s="110"/>
      <c r="W38" s="110"/>
      <c r="X38" s="22"/>
      <c r="Y38" s="24"/>
      <c r="Z38" s="24"/>
      <c r="AA38" s="24"/>
      <c r="AB38" s="22"/>
      <c r="AC38" s="22"/>
      <c r="AD38" s="22"/>
      <c r="AE38" s="22"/>
      <c r="AF38" s="22"/>
      <c r="AG38" s="22"/>
      <c r="AH38" s="22"/>
    </row>
    <row r="39" spans="1:34" ht="30.25" customHeight="1" x14ac:dyDescent="0.35">
      <c r="A39" s="199"/>
      <c r="B39" s="84">
        <v>36</v>
      </c>
      <c r="C39" s="109" t="s">
        <v>33</v>
      </c>
      <c r="D39" s="34" t="s">
        <v>7</v>
      </c>
      <c r="E39" s="41" t="s">
        <v>8</v>
      </c>
      <c r="F39" s="43" t="s">
        <v>28</v>
      </c>
      <c r="G39" s="37" t="s">
        <v>29</v>
      </c>
      <c r="H39" s="37" t="s">
        <v>8</v>
      </c>
      <c r="I39" s="37" t="s">
        <v>9</v>
      </c>
      <c r="J39" s="36">
        <v>1076</v>
      </c>
      <c r="K39" s="27">
        <f>6</f>
        <v>6</v>
      </c>
      <c r="L39" s="127">
        <f t="shared" si="0"/>
        <v>4</v>
      </c>
      <c r="M39" s="127">
        <f t="shared" si="1"/>
        <v>4</v>
      </c>
      <c r="N39" s="128"/>
      <c r="O39" s="129">
        <f t="shared" si="2"/>
        <v>1</v>
      </c>
      <c r="P39" s="128"/>
      <c r="Q39" s="128"/>
      <c r="R39" s="128"/>
      <c r="S39" s="26">
        <f t="shared" si="3"/>
        <v>2</v>
      </c>
      <c r="T39" s="25" t="str">
        <f t="shared" si="4"/>
        <v>OK</v>
      </c>
      <c r="U39" s="110"/>
      <c r="V39" s="110"/>
      <c r="W39" s="110">
        <v>4</v>
      </c>
      <c r="X39" s="22"/>
      <c r="Y39" s="24"/>
      <c r="Z39" s="24"/>
      <c r="AA39" s="24"/>
      <c r="AB39" s="22"/>
      <c r="AC39" s="22"/>
      <c r="AD39" s="22"/>
      <c r="AE39" s="22"/>
      <c r="AF39" s="22"/>
      <c r="AG39" s="22"/>
      <c r="AH39" s="22"/>
    </row>
    <row r="40" spans="1:34" ht="30.25" customHeight="1" x14ac:dyDescent="0.35">
      <c r="A40" s="199"/>
      <c r="B40" s="84">
        <v>37</v>
      </c>
      <c r="C40" s="109" t="s">
        <v>33</v>
      </c>
      <c r="D40" s="34" t="s">
        <v>156</v>
      </c>
      <c r="E40" s="41" t="s">
        <v>8</v>
      </c>
      <c r="F40" s="43" t="s">
        <v>28</v>
      </c>
      <c r="G40" s="37" t="s">
        <v>29</v>
      </c>
      <c r="H40" s="37" t="s">
        <v>34</v>
      </c>
      <c r="I40" s="37" t="s">
        <v>9</v>
      </c>
      <c r="J40" s="36">
        <v>75</v>
      </c>
      <c r="K40" s="27">
        <f>50</f>
        <v>50</v>
      </c>
      <c r="L40" s="127">
        <f t="shared" si="0"/>
        <v>0</v>
      </c>
      <c r="M40" s="127">
        <f t="shared" si="1"/>
        <v>0</v>
      </c>
      <c r="N40" s="128"/>
      <c r="O40" s="129">
        <f t="shared" si="2"/>
        <v>12</v>
      </c>
      <c r="P40" s="128"/>
      <c r="Q40" s="128"/>
      <c r="R40" s="128"/>
      <c r="S40" s="26">
        <f t="shared" si="3"/>
        <v>50</v>
      </c>
      <c r="T40" s="25" t="str">
        <f t="shared" si="4"/>
        <v>OK</v>
      </c>
      <c r="U40" s="110"/>
      <c r="V40" s="110"/>
      <c r="W40" s="110"/>
      <c r="X40" s="22"/>
      <c r="Y40" s="24"/>
      <c r="Z40" s="24"/>
      <c r="AA40" s="24"/>
      <c r="AB40" s="22"/>
      <c r="AC40" s="22"/>
      <c r="AD40" s="22"/>
      <c r="AE40" s="22"/>
      <c r="AF40" s="22"/>
      <c r="AG40" s="22"/>
      <c r="AH40" s="22"/>
    </row>
    <row r="41" spans="1:34" ht="30.25" customHeight="1" x14ac:dyDescent="0.35">
      <c r="A41" s="199"/>
      <c r="B41" s="84">
        <v>38</v>
      </c>
      <c r="C41" s="109" t="s">
        <v>33</v>
      </c>
      <c r="D41" s="34" t="s">
        <v>11</v>
      </c>
      <c r="E41" s="41" t="s">
        <v>8</v>
      </c>
      <c r="F41" s="43" t="s">
        <v>28</v>
      </c>
      <c r="G41" s="37" t="s">
        <v>29</v>
      </c>
      <c r="H41" s="37" t="s">
        <v>8</v>
      </c>
      <c r="I41" s="37" t="s">
        <v>9</v>
      </c>
      <c r="J41" s="36">
        <v>1400</v>
      </c>
      <c r="K41" s="27">
        <f>1</f>
        <v>1</v>
      </c>
      <c r="L41" s="127">
        <f t="shared" si="0"/>
        <v>0</v>
      </c>
      <c r="M41" s="127">
        <f t="shared" si="1"/>
        <v>0</v>
      </c>
      <c r="N41" s="128"/>
      <c r="O41" s="129">
        <f t="shared" si="2"/>
        <v>0</v>
      </c>
      <c r="P41" s="128"/>
      <c r="Q41" s="128"/>
      <c r="R41" s="128"/>
      <c r="S41" s="26">
        <f t="shared" si="3"/>
        <v>1</v>
      </c>
      <c r="T41" s="25" t="str">
        <f t="shared" si="4"/>
        <v>OK</v>
      </c>
      <c r="U41" s="110"/>
      <c r="V41" s="110"/>
      <c r="W41" s="110"/>
      <c r="X41" s="22"/>
      <c r="Y41" s="24"/>
      <c r="Z41" s="24"/>
      <c r="AA41" s="24"/>
      <c r="AB41" s="22"/>
      <c r="AC41" s="22"/>
      <c r="AD41" s="22"/>
      <c r="AE41" s="22"/>
      <c r="AF41" s="22"/>
      <c r="AG41" s="22"/>
      <c r="AH41" s="22"/>
    </row>
    <row r="42" spans="1:34" ht="30.25" customHeight="1" x14ac:dyDescent="0.35">
      <c r="A42" s="199"/>
      <c r="B42" s="84">
        <v>39</v>
      </c>
      <c r="C42" s="109" t="s">
        <v>33</v>
      </c>
      <c r="D42" s="34" t="s">
        <v>12</v>
      </c>
      <c r="E42" s="41" t="s">
        <v>8</v>
      </c>
      <c r="F42" s="43" t="s">
        <v>28</v>
      </c>
      <c r="G42" s="37" t="s">
        <v>29</v>
      </c>
      <c r="H42" s="37" t="s">
        <v>34</v>
      </c>
      <c r="I42" s="37" t="s">
        <v>9</v>
      </c>
      <c r="J42" s="36">
        <v>75.5</v>
      </c>
      <c r="K42" s="27">
        <f>100</f>
        <v>100</v>
      </c>
      <c r="L42" s="127">
        <f t="shared" si="0"/>
        <v>12</v>
      </c>
      <c r="M42" s="127">
        <f t="shared" si="1"/>
        <v>12</v>
      </c>
      <c r="N42" s="128"/>
      <c r="O42" s="129">
        <f t="shared" si="2"/>
        <v>25</v>
      </c>
      <c r="P42" s="128"/>
      <c r="Q42" s="128"/>
      <c r="R42" s="128"/>
      <c r="S42" s="26">
        <f t="shared" si="3"/>
        <v>88</v>
      </c>
      <c r="T42" s="25" t="str">
        <f t="shared" si="4"/>
        <v>OK</v>
      </c>
      <c r="U42" s="110"/>
      <c r="V42" s="110"/>
      <c r="W42" s="110">
        <v>12</v>
      </c>
      <c r="X42" s="22"/>
      <c r="Y42" s="24"/>
      <c r="Z42" s="24"/>
      <c r="AA42" s="24"/>
      <c r="AB42" s="22"/>
      <c r="AC42" s="22"/>
      <c r="AD42" s="22"/>
      <c r="AE42" s="22"/>
      <c r="AF42" s="22"/>
      <c r="AG42" s="22"/>
      <c r="AH42" s="22"/>
    </row>
    <row r="43" spans="1:34" ht="30.25" customHeight="1" x14ac:dyDescent="0.35">
      <c r="A43" s="199"/>
      <c r="B43" s="84">
        <v>40</v>
      </c>
      <c r="C43" s="109" t="s">
        <v>33</v>
      </c>
      <c r="D43" s="34" t="s">
        <v>10</v>
      </c>
      <c r="E43" s="41" t="s">
        <v>8</v>
      </c>
      <c r="F43" s="43" t="s">
        <v>28</v>
      </c>
      <c r="G43" s="37" t="s">
        <v>29</v>
      </c>
      <c r="H43" s="37" t="s">
        <v>8</v>
      </c>
      <c r="I43" s="37" t="s">
        <v>9</v>
      </c>
      <c r="J43" s="36">
        <v>1600</v>
      </c>
      <c r="K43" s="27">
        <f>3</f>
        <v>3</v>
      </c>
      <c r="L43" s="127">
        <f t="shared" si="0"/>
        <v>0</v>
      </c>
      <c r="M43" s="127">
        <f t="shared" si="1"/>
        <v>0</v>
      </c>
      <c r="N43" s="128"/>
      <c r="O43" s="129">
        <f t="shared" si="2"/>
        <v>0</v>
      </c>
      <c r="P43" s="128"/>
      <c r="Q43" s="128"/>
      <c r="R43" s="128"/>
      <c r="S43" s="26">
        <f t="shared" si="3"/>
        <v>3</v>
      </c>
      <c r="T43" s="25" t="str">
        <f t="shared" si="4"/>
        <v>OK</v>
      </c>
      <c r="U43" s="110"/>
      <c r="V43" s="110"/>
      <c r="W43" s="110"/>
      <c r="X43" s="22"/>
      <c r="Y43" s="24"/>
      <c r="Z43" s="24"/>
      <c r="AA43" s="24"/>
      <c r="AB43" s="22"/>
      <c r="AC43" s="22"/>
      <c r="AD43" s="22"/>
      <c r="AE43" s="22"/>
      <c r="AF43" s="22"/>
      <c r="AG43" s="22"/>
      <c r="AH43" s="22"/>
    </row>
    <row r="44" spans="1:34" ht="30.25" customHeight="1" x14ac:dyDescent="0.35">
      <c r="A44" s="199"/>
      <c r="B44" s="84">
        <v>41</v>
      </c>
      <c r="C44" s="109" t="s">
        <v>33</v>
      </c>
      <c r="D44" s="34" t="s">
        <v>13</v>
      </c>
      <c r="E44" s="41" t="s">
        <v>8</v>
      </c>
      <c r="F44" s="43" t="s">
        <v>28</v>
      </c>
      <c r="G44" s="37" t="s">
        <v>29</v>
      </c>
      <c r="H44" s="37" t="s">
        <v>34</v>
      </c>
      <c r="I44" s="37" t="s">
        <v>9</v>
      </c>
      <c r="J44" s="36">
        <v>75</v>
      </c>
      <c r="K44" s="27">
        <f>50</f>
        <v>50</v>
      </c>
      <c r="L44" s="127">
        <f t="shared" si="0"/>
        <v>0</v>
      </c>
      <c r="M44" s="127">
        <f t="shared" si="1"/>
        <v>0</v>
      </c>
      <c r="N44" s="128">
        <v>-5</v>
      </c>
      <c r="O44" s="129">
        <f t="shared" si="2"/>
        <v>12</v>
      </c>
      <c r="P44" s="128"/>
      <c r="Q44" s="128"/>
      <c r="R44" s="128"/>
      <c r="S44" s="26">
        <f t="shared" si="3"/>
        <v>45</v>
      </c>
      <c r="T44" s="25" t="str">
        <f t="shared" si="4"/>
        <v>OK</v>
      </c>
      <c r="U44" s="110"/>
      <c r="V44" s="110"/>
      <c r="W44" s="110"/>
      <c r="X44" s="22"/>
      <c r="Y44" s="24"/>
      <c r="Z44" s="24"/>
      <c r="AA44" s="24"/>
      <c r="AB44" s="22"/>
      <c r="AC44" s="22"/>
      <c r="AD44" s="22"/>
      <c r="AE44" s="22"/>
      <c r="AF44" s="22"/>
      <c r="AG44" s="22"/>
      <c r="AH44" s="22"/>
    </row>
    <row r="45" spans="1:34" ht="30.25" customHeight="1" x14ac:dyDescent="0.35">
      <c r="A45" s="199"/>
      <c r="B45" s="84">
        <v>42</v>
      </c>
      <c r="C45" s="109" t="s">
        <v>33</v>
      </c>
      <c r="D45" s="34" t="s">
        <v>157</v>
      </c>
      <c r="E45" s="41" t="s">
        <v>8</v>
      </c>
      <c r="F45" s="43" t="s">
        <v>28</v>
      </c>
      <c r="G45" s="37" t="s">
        <v>29</v>
      </c>
      <c r="H45" s="37" t="s">
        <v>8</v>
      </c>
      <c r="I45" s="37" t="s">
        <v>9</v>
      </c>
      <c r="J45" s="36">
        <v>350</v>
      </c>
      <c r="K45" s="27">
        <f>1</f>
        <v>1</v>
      </c>
      <c r="L45" s="127">
        <f t="shared" si="0"/>
        <v>0</v>
      </c>
      <c r="M45" s="127">
        <f t="shared" si="1"/>
        <v>0</v>
      </c>
      <c r="N45" s="128"/>
      <c r="O45" s="129">
        <f t="shared" si="2"/>
        <v>0</v>
      </c>
      <c r="P45" s="128"/>
      <c r="Q45" s="128"/>
      <c r="R45" s="128"/>
      <c r="S45" s="26">
        <f t="shared" si="3"/>
        <v>1</v>
      </c>
      <c r="T45" s="25" t="str">
        <f t="shared" si="4"/>
        <v>OK</v>
      </c>
      <c r="U45" s="110"/>
      <c r="V45" s="110"/>
      <c r="W45" s="110"/>
      <c r="X45" s="22"/>
      <c r="Y45" s="24"/>
      <c r="Z45" s="24"/>
      <c r="AA45" s="24"/>
      <c r="AB45" s="22"/>
      <c r="AC45" s="22"/>
      <c r="AD45" s="22"/>
      <c r="AE45" s="22"/>
      <c r="AF45" s="22"/>
      <c r="AG45" s="22"/>
      <c r="AH45" s="22"/>
    </row>
    <row r="46" spans="1:34" ht="30.25" customHeight="1" x14ac:dyDescent="0.35">
      <c r="A46" s="199"/>
      <c r="B46" s="37">
        <v>43</v>
      </c>
      <c r="C46" s="109" t="s">
        <v>33</v>
      </c>
      <c r="D46" s="34" t="s">
        <v>30</v>
      </c>
      <c r="E46" s="41" t="s">
        <v>8</v>
      </c>
      <c r="F46" s="43" t="s">
        <v>28</v>
      </c>
      <c r="G46" s="37" t="s">
        <v>29</v>
      </c>
      <c r="H46" s="37" t="s">
        <v>8</v>
      </c>
      <c r="I46" s="37" t="s">
        <v>9</v>
      </c>
      <c r="J46" s="36">
        <v>100.25</v>
      </c>
      <c r="K46" s="27">
        <f>0</f>
        <v>0</v>
      </c>
      <c r="L46" s="127">
        <f t="shared" si="0"/>
        <v>0</v>
      </c>
      <c r="M46" s="127">
        <f t="shared" si="1"/>
        <v>0</v>
      </c>
      <c r="N46" s="128"/>
      <c r="O46" s="129">
        <f t="shared" si="2"/>
        <v>0</v>
      </c>
      <c r="P46" s="128"/>
      <c r="Q46" s="128"/>
      <c r="R46" s="128"/>
      <c r="S46" s="26">
        <f t="shared" si="3"/>
        <v>0</v>
      </c>
      <c r="T46" s="25" t="str">
        <f t="shared" si="4"/>
        <v>OK</v>
      </c>
      <c r="U46" s="110"/>
      <c r="V46" s="110"/>
      <c r="W46" s="110"/>
      <c r="X46" s="22"/>
      <c r="Y46" s="24"/>
      <c r="Z46" s="24"/>
      <c r="AA46" s="24"/>
      <c r="AB46" s="22"/>
      <c r="AC46" s="22"/>
      <c r="AD46" s="22"/>
      <c r="AE46" s="22"/>
      <c r="AF46" s="22"/>
      <c r="AG46" s="22"/>
      <c r="AH46" s="22"/>
    </row>
    <row r="47" spans="1:34" ht="30.25" customHeight="1" x14ac:dyDescent="0.35">
      <c r="A47" s="199"/>
      <c r="B47" s="37">
        <v>44</v>
      </c>
      <c r="C47" s="109" t="s">
        <v>33</v>
      </c>
      <c r="D47" s="34" t="s">
        <v>158</v>
      </c>
      <c r="E47" s="41" t="s">
        <v>8</v>
      </c>
      <c r="F47" s="42" t="s">
        <v>28</v>
      </c>
      <c r="G47" s="37" t="s">
        <v>159</v>
      </c>
      <c r="H47" s="37" t="s">
        <v>8</v>
      </c>
      <c r="I47" s="37" t="s">
        <v>9</v>
      </c>
      <c r="J47" s="36">
        <v>1424</v>
      </c>
      <c r="K47" s="27">
        <f>0</f>
        <v>0</v>
      </c>
      <c r="L47" s="127">
        <f t="shared" si="0"/>
        <v>0</v>
      </c>
      <c r="M47" s="127">
        <f t="shared" si="1"/>
        <v>0</v>
      </c>
      <c r="N47" s="128"/>
      <c r="O47" s="129">
        <f t="shared" si="2"/>
        <v>0</v>
      </c>
      <c r="P47" s="128"/>
      <c r="Q47" s="128"/>
      <c r="R47" s="128"/>
      <c r="S47" s="26">
        <f t="shared" si="3"/>
        <v>0</v>
      </c>
      <c r="T47" s="25" t="str">
        <f t="shared" si="4"/>
        <v>OK</v>
      </c>
      <c r="U47" s="110"/>
      <c r="V47" s="110"/>
      <c r="W47" s="110"/>
      <c r="X47" s="22"/>
      <c r="Y47" s="24"/>
      <c r="Z47" s="24"/>
      <c r="AA47" s="24"/>
      <c r="AB47" s="22"/>
      <c r="AC47" s="22"/>
      <c r="AD47" s="22"/>
      <c r="AE47" s="22"/>
      <c r="AF47" s="22"/>
      <c r="AG47" s="22"/>
      <c r="AH47" s="22"/>
    </row>
    <row r="48" spans="1:34" ht="30.25" customHeight="1" x14ac:dyDescent="0.35">
      <c r="A48" s="200"/>
      <c r="B48" s="37">
        <v>45</v>
      </c>
      <c r="C48" s="109" t="s">
        <v>33</v>
      </c>
      <c r="D48" s="34" t="s">
        <v>160</v>
      </c>
      <c r="E48" s="41" t="s">
        <v>8</v>
      </c>
      <c r="F48" s="43" t="s">
        <v>28</v>
      </c>
      <c r="G48" s="37" t="s">
        <v>29</v>
      </c>
      <c r="H48" s="37" t="s">
        <v>8</v>
      </c>
      <c r="I48" s="37" t="s">
        <v>9</v>
      </c>
      <c r="J48" s="36">
        <v>2503.0100000000002</v>
      </c>
      <c r="K48" s="27">
        <f>0</f>
        <v>0</v>
      </c>
      <c r="L48" s="127">
        <f t="shared" si="0"/>
        <v>0</v>
      </c>
      <c r="M48" s="127">
        <f t="shared" si="1"/>
        <v>0</v>
      </c>
      <c r="N48" s="128"/>
      <c r="O48" s="129">
        <f t="shared" si="2"/>
        <v>0</v>
      </c>
      <c r="P48" s="128"/>
      <c r="Q48" s="128"/>
      <c r="R48" s="128"/>
      <c r="S48" s="26">
        <f t="shared" si="3"/>
        <v>0</v>
      </c>
      <c r="T48" s="25" t="str">
        <f t="shared" si="4"/>
        <v>OK</v>
      </c>
      <c r="U48" s="110"/>
      <c r="V48" s="110"/>
      <c r="W48" s="110"/>
      <c r="X48" s="22"/>
      <c r="Y48" s="24"/>
      <c r="Z48" s="24"/>
      <c r="AA48" s="24"/>
      <c r="AB48" s="22"/>
      <c r="AC48" s="22"/>
      <c r="AD48" s="22"/>
      <c r="AE48" s="22"/>
      <c r="AF48" s="22"/>
      <c r="AG48" s="22"/>
      <c r="AH48" s="22"/>
    </row>
    <row r="49" spans="1:34" ht="30.25" customHeight="1" x14ac:dyDescent="0.35">
      <c r="A49" s="208" t="s">
        <v>161</v>
      </c>
      <c r="B49" s="44">
        <v>46</v>
      </c>
      <c r="C49" s="205" t="s">
        <v>33</v>
      </c>
      <c r="D49" s="46" t="s">
        <v>27</v>
      </c>
      <c r="E49" s="48" t="s">
        <v>8</v>
      </c>
      <c r="F49" s="50" t="s">
        <v>28</v>
      </c>
      <c r="G49" s="44" t="s">
        <v>29</v>
      </c>
      <c r="H49" s="44" t="s">
        <v>8</v>
      </c>
      <c r="I49" s="44" t="s">
        <v>9</v>
      </c>
      <c r="J49" s="47">
        <v>80</v>
      </c>
      <c r="K49" s="27">
        <f>0</f>
        <v>0</v>
      </c>
      <c r="L49" s="127">
        <f t="shared" si="0"/>
        <v>0</v>
      </c>
      <c r="M49" s="127">
        <f t="shared" si="1"/>
        <v>0</v>
      </c>
      <c r="N49" s="128"/>
      <c r="O49" s="129">
        <f t="shared" si="2"/>
        <v>0</v>
      </c>
      <c r="P49" s="128"/>
      <c r="Q49" s="128"/>
      <c r="R49" s="128"/>
      <c r="S49" s="26">
        <f t="shared" si="3"/>
        <v>0</v>
      </c>
      <c r="T49" s="25" t="str">
        <f t="shared" si="4"/>
        <v>OK</v>
      </c>
      <c r="U49" s="110"/>
      <c r="V49" s="110"/>
      <c r="W49" s="110"/>
      <c r="X49" s="22"/>
      <c r="Y49" s="24"/>
      <c r="Z49" s="24"/>
      <c r="AA49" s="24"/>
      <c r="AB49" s="22"/>
      <c r="AC49" s="22"/>
      <c r="AD49" s="22"/>
      <c r="AE49" s="22"/>
      <c r="AF49" s="22"/>
      <c r="AG49" s="22"/>
      <c r="AH49" s="22"/>
    </row>
    <row r="50" spans="1:34" ht="30.25" customHeight="1" x14ac:dyDescent="0.35">
      <c r="A50" s="209"/>
      <c r="B50" s="44">
        <v>47</v>
      </c>
      <c r="C50" s="206"/>
      <c r="D50" s="46" t="s">
        <v>7</v>
      </c>
      <c r="E50" s="48" t="s">
        <v>8</v>
      </c>
      <c r="F50" s="50" t="s">
        <v>28</v>
      </c>
      <c r="G50" s="44" t="s">
        <v>29</v>
      </c>
      <c r="H50" s="44" t="s">
        <v>8</v>
      </c>
      <c r="I50" s="44" t="s">
        <v>9</v>
      </c>
      <c r="J50" s="47">
        <v>550</v>
      </c>
      <c r="K50" s="27">
        <f>0</f>
        <v>0</v>
      </c>
      <c r="L50" s="127">
        <f t="shared" si="0"/>
        <v>0</v>
      </c>
      <c r="M50" s="127">
        <f t="shared" si="1"/>
        <v>0</v>
      </c>
      <c r="N50" s="128"/>
      <c r="O50" s="129">
        <f t="shared" si="2"/>
        <v>0</v>
      </c>
      <c r="P50" s="128"/>
      <c r="Q50" s="128"/>
      <c r="R50" s="128"/>
      <c r="S50" s="26">
        <f t="shared" si="3"/>
        <v>0</v>
      </c>
      <c r="T50" s="25" t="str">
        <f t="shared" si="4"/>
        <v>OK</v>
      </c>
      <c r="U50" s="110"/>
      <c r="V50" s="110"/>
      <c r="W50" s="110"/>
      <c r="X50" s="22"/>
      <c r="Y50" s="24"/>
      <c r="Z50" s="24"/>
      <c r="AA50" s="24"/>
      <c r="AB50" s="22"/>
      <c r="AC50" s="22"/>
      <c r="AD50" s="22"/>
      <c r="AE50" s="22"/>
      <c r="AF50" s="22"/>
      <c r="AG50" s="22"/>
      <c r="AH50" s="22"/>
    </row>
    <row r="51" spans="1:34" ht="30.25" customHeight="1" x14ac:dyDescent="0.35">
      <c r="A51" s="209"/>
      <c r="B51" s="44">
        <v>48</v>
      </c>
      <c r="C51" s="206"/>
      <c r="D51" s="46" t="s">
        <v>10</v>
      </c>
      <c r="E51" s="48" t="s">
        <v>8</v>
      </c>
      <c r="F51" s="50" t="s">
        <v>28</v>
      </c>
      <c r="G51" s="44" t="s">
        <v>29</v>
      </c>
      <c r="H51" s="44" t="s">
        <v>8</v>
      </c>
      <c r="I51" s="44" t="s">
        <v>9</v>
      </c>
      <c r="J51" s="47">
        <v>850</v>
      </c>
      <c r="K51" s="27">
        <f>0</f>
        <v>0</v>
      </c>
      <c r="L51" s="127">
        <f t="shared" si="0"/>
        <v>0</v>
      </c>
      <c r="M51" s="127">
        <f t="shared" si="1"/>
        <v>0</v>
      </c>
      <c r="N51" s="128"/>
      <c r="O51" s="129">
        <f t="shared" si="2"/>
        <v>0</v>
      </c>
      <c r="P51" s="128"/>
      <c r="Q51" s="128"/>
      <c r="R51" s="128"/>
      <c r="S51" s="26">
        <f t="shared" si="3"/>
        <v>0</v>
      </c>
      <c r="T51" s="25" t="str">
        <f t="shared" si="4"/>
        <v>OK</v>
      </c>
      <c r="U51" s="110"/>
      <c r="V51" s="110"/>
      <c r="W51" s="110"/>
      <c r="X51" s="22"/>
      <c r="Y51" s="24"/>
      <c r="Z51" s="24"/>
      <c r="AA51" s="24"/>
      <c r="AB51" s="22"/>
      <c r="AC51" s="22"/>
      <c r="AD51" s="22"/>
      <c r="AE51" s="22"/>
      <c r="AF51" s="22"/>
      <c r="AG51" s="22"/>
      <c r="AH51" s="22"/>
    </row>
    <row r="52" spans="1:34" ht="30.25" customHeight="1" x14ac:dyDescent="0.35">
      <c r="A52" s="209"/>
      <c r="B52" s="44">
        <v>49</v>
      </c>
      <c r="C52" s="206"/>
      <c r="D52" s="46" t="s">
        <v>11</v>
      </c>
      <c r="E52" s="48" t="s">
        <v>8</v>
      </c>
      <c r="F52" s="50" t="s">
        <v>28</v>
      </c>
      <c r="G52" s="44" t="s">
        <v>29</v>
      </c>
      <c r="H52" s="44" t="s">
        <v>8</v>
      </c>
      <c r="I52" s="44" t="s">
        <v>9</v>
      </c>
      <c r="J52" s="47">
        <v>800</v>
      </c>
      <c r="K52" s="27">
        <f>0</f>
        <v>0</v>
      </c>
      <c r="L52" s="127">
        <f t="shared" si="0"/>
        <v>0</v>
      </c>
      <c r="M52" s="127">
        <f t="shared" si="1"/>
        <v>0</v>
      </c>
      <c r="N52" s="128"/>
      <c r="O52" s="129">
        <f t="shared" si="2"/>
        <v>0</v>
      </c>
      <c r="P52" s="128"/>
      <c r="Q52" s="128"/>
      <c r="R52" s="128"/>
      <c r="S52" s="26">
        <f t="shared" si="3"/>
        <v>0</v>
      </c>
      <c r="T52" s="25" t="str">
        <f t="shared" si="4"/>
        <v>OK</v>
      </c>
      <c r="U52" s="110"/>
      <c r="V52" s="110"/>
      <c r="W52" s="110"/>
      <c r="X52" s="22"/>
      <c r="Y52" s="24"/>
      <c r="Z52" s="24"/>
      <c r="AA52" s="24"/>
      <c r="AB52" s="22"/>
      <c r="AC52" s="22"/>
      <c r="AD52" s="22"/>
      <c r="AE52" s="22"/>
      <c r="AF52" s="22"/>
      <c r="AG52" s="22"/>
      <c r="AH52" s="22"/>
    </row>
    <row r="53" spans="1:34" ht="30.25" customHeight="1" x14ac:dyDescent="0.35">
      <c r="A53" s="209"/>
      <c r="B53" s="44">
        <v>50</v>
      </c>
      <c r="C53" s="206"/>
      <c r="D53" s="46" t="s">
        <v>12</v>
      </c>
      <c r="E53" s="48" t="s">
        <v>8</v>
      </c>
      <c r="F53" s="50" t="s">
        <v>28</v>
      </c>
      <c r="G53" s="44" t="s">
        <v>29</v>
      </c>
      <c r="H53" s="44" t="s">
        <v>34</v>
      </c>
      <c r="I53" s="44" t="s">
        <v>9</v>
      </c>
      <c r="J53" s="47">
        <v>50</v>
      </c>
      <c r="K53" s="27">
        <f>0</f>
        <v>0</v>
      </c>
      <c r="L53" s="127">
        <f t="shared" si="0"/>
        <v>0</v>
      </c>
      <c r="M53" s="127">
        <f t="shared" si="1"/>
        <v>0</v>
      </c>
      <c r="N53" s="128"/>
      <c r="O53" s="129">
        <f t="shared" si="2"/>
        <v>0</v>
      </c>
      <c r="P53" s="128"/>
      <c r="Q53" s="128"/>
      <c r="R53" s="128"/>
      <c r="S53" s="26">
        <f t="shared" si="3"/>
        <v>0</v>
      </c>
      <c r="T53" s="25" t="str">
        <f t="shared" si="4"/>
        <v>OK</v>
      </c>
      <c r="U53" s="110"/>
      <c r="V53" s="110"/>
      <c r="W53" s="110"/>
      <c r="X53" s="22"/>
      <c r="Y53" s="24"/>
      <c r="Z53" s="24"/>
      <c r="AA53" s="24"/>
      <c r="AB53" s="22"/>
      <c r="AC53" s="22"/>
      <c r="AD53" s="22"/>
      <c r="AE53" s="22"/>
      <c r="AF53" s="22"/>
      <c r="AG53" s="22"/>
      <c r="AH53" s="22"/>
    </row>
    <row r="54" spans="1:34" ht="30.25" customHeight="1" x14ac:dyDescent="0.35">
      <c r="A54" s="209"/>
      <c r="B54" s="44">
        <v>51</v>
      </c>
      <c r="C54" s="206"/>
      <c r="D54" s="46" t="s">
        <v>156</v>
      </c>
      <c r="E54" s="48" t="s">
        <v>8</v>
      </c>
      <c r="F54" s="50" t="s">
        <v>28</v>
      </c>
      <c r="G54" s="44" t="s">
        <v>29</v>
      </c>
      <c r="H54" s="44" t="s">
        <v>34</v>
      </c>
      <c r="I54" s="44" t="s">
        <v>9</v>
      </c>
      <c r="J54" s="47">
        <v>50</v>
      </c>
      <c r="K54" s="27">
        <f>0</f>
        <v>0</v>
      </c>
      <c r="L54" s="127">
        <f t="shared" si="0"/>
        <v>0</v>
      </c>
      <c r="M54" s="127">
        <f t="shared" si="1"/>
        <v>0</v>
      </c>
      <c r="N54" s="128"/>
      <c r="O54" s="129">
        <f t="shared" si="2"/>
        <v>0</v>
      </c>
      <c r="P54" s="128"/>
      <c r="Q54" s="128"/>
      <c r="R54" s="128"/>
      <c r="S54" s="26">
        <f t="shared" si="3"/>
        <v>0</v>
      </c>
      <c r="T54" s="25" t="str">
        <f t="shared" si="4"/>
        <v>OK</v>
      </c>
      <c r="U54" s="110"/>
      <c r="V54" s="110"/>
      <c r="W54" s="110"/>
      <c r="X54" s="22"/>
      <c r="Y54" s="24"/>
      <c r="Z54" s="24"/>
      <c r="AA54" s="24"/>
      <c r="AB54" s="22"/>
      <c r="AC54" s="22"/>
      <c r="AD54" s="22"/>
      <c r="AE54" s="22"/>
      <c r="AF54" s="22"/>
      <c r="AG54" s="22"/>
      <c r="AH54" s="22"/>
    </row>
    <row r="55" spans="1:34" ht="30.25" customHeight="1" x14ac:dyDescent="0.35">
      <c r="A55" s="209"/>
      <c r="B55" s="44">
        <v>52</v>
      </c>
      <c r="C55" s="206"/>
      <c r="D55" s="46" t="s">
        <v>13</v>
      </c>
      <c r="E55" s="48" t="s">
        <v>8</v>
      </c>
      <c r="F55" s="50" t="s">
        <v>28</v>
      </c>
      <c r="G55" s="44" t="s">
        <v>29</v>
      </c>
      <c r="H55" s="44" t="s">
        <v>34</v>
      </c>
      <c r="I55" s="44" t="s">
        <v>9</v>
      </c>
      <c r="J55" s="47">
        <v>50</v>
      </c>
      <c r="K55" s="27">
        <f>0</f>
        <v>0</v>
      </c>
      <c r="L55" s="127">
        <f t="shared" si="0"/>
        <v>0</v>
      </c>
      <c r="M55" s="127">
        <f t="shared" si="1"/>
        <v>0</v>
      </c>
      <c r="N55" s="128"/>
      <c r="O55" s="129">
        <f t="shared" si="2"/>
        <v>0</v>
      </c>
      <c r="P55" s="128"/>
      <c r="Q55" s="128"/>
      <c r="R55" s="128"/>
      <c r="S55" s="26">
        <f t="shared" si="3"/>
        <v>0</v>
      </c>
      <c r="T55" s="25" t="str">
        <f t="shared" si="4"/>
        <v>OK</v>
      </c>
      <c r="U55" s="110"/>
      <c r="V55" s="110"/>
      <c r="W55" s="110"/>
      <c r="X55" s="22"/>
      <c r="Y55" s="24"/>
      <c r="Z55" s="24"/>
      <c r="AA55" s="24"/>
      <c r="AB55" s="22"/>
      <c r="AC55" s="22"/>
      <c r="AD55" s="22"/>
      <c r="AE55" s="22"/>
      <c r="AF55" s="22"/>
      <c r="AG55" s="22"/>
      <c r="AH55" s="22"/>
    </row>
    <row r="56" spans="1:34" ht="30.25" customHeight="1" x14ac:dyDescent="0.35">
      <c r="A56" s="209"/>
      <c r="B56" s="44">
        <v>53</v>
      </c>
      <c r="C56" s="206"/>
      <c r="D56" s="46" t="s">
        <v>157</v>
      </c>
      <c r="E56" s="48" t="s">
        <v>8</v>
      </c>
      <c r="F56" s="50" t="s">
        <v>28</v>
      </c>
      <c r="G56" s="44" t="s">
        <v>29</v>
      </c>
      <c r="H56" s="44" t="s">
        <v>8</v>
      </c>
      <c r="I56" s="44" t="s">
        <v>9</v>
      </c>
      <c r="J56" s="47">
        <v>50</v>
      </c>
      <c r="K56" s="27">
        <f>0</f>
        <v>0</v>
      </c>
      <c r="L56" s="127">
        <f t="shared" si="0"/>
        <v>0</v>
      </c>
      <c r="M56" s="127">
        <f t="shared" si="1"/>
        <v>0</v>
      </c>
      <c r="N56" s="128"/>
      <c r="O56" s="129">
        <f t="shared" si="2"/>
        <v>0</v>
      </c>
      <c r="P56" s="128"/>
      <c r="Q56" s="128"/>
      <c r="R56" s="128"/>
      <c r="S56" s="26">
        <f t="shared" si="3"/>
        <v>0</v>
      </c>
      <c r="T56" s="25" t="str">
        <f t="shared" si="4"/>
        <v>OK</v>
      </c>
      <c r="U56" s="110"/>
      <c r="V56" s="110"/>
      <c r="W56" s="110"/>
      <c r="X56" s="22"/>
      <c r="Y56" s="24"/>
      <c r="Z56" s="24"/>
      <c r="AA56" s="24"/>
      <c r="AB56" s="22"/>
      <c r="AC56" s="22"/>
      <c r="AD56" s="22"/>
      <c r="AE56" s="22"/>
      <c r="AF56" s="22"/>
      <c r="AG56" s="22"/>
      <c r="AH56" s="22"/>
    </row>
    <row r="57" spans="1:34" ht="30.25" customHeight="1" x14ac:dyDescent="0.35">
      <c r="A57" s="209"/>
      <c r="B57" s="44">
        <v>54</v>
      </c>
      <c r="C57" s="206"/>
      <c r="D57" s="46" t="s">
        <v>30</v>
      </c>
      <c r="E57" s="48" t="s">
        <v>8</v>
      </c>
      <c r="F57" s="50" t="s">
        <v>28</v>
      </c>
      <c r="G57" s="44" t="s">
        <v>29</v>
      </c>
      <c r="H57" s="44" t="s">
        <v>8</v>
      </c>
      <c r="I57" s="44" t="s">
        <v>9</v>
      </c>
      <c r="J57" s="47">
        <v>80</v>
      </c>
      <c r="K57" s="27">
        <f>0</f>
        <v>0</v>
      </c>
      <c r="L57" s="127">
        <f t="shared" si="0"/>
        <v>0</v>
      </c>
      <c r="M57" s="127">
        <f t="shared" si="1"/>
        <v>0</v>
      </c>
      <c r="N57" s="128"/>
      <c r="O57" s="129">
        <f t="shared" si="2"/>
        <v>0</v>
      </c>
      <c r="P57" s="128"/>
      <c r="Q57" s="128"/>
      <c r="R57" s="128"/>
      <c r="S57" s="26">
        <f t="shared" si="3"/>
        <v>0</v>
      </c>
      <c r="T57" s="25" t="str">
        <f t="shared" si="4"/>
        <v>OK</v>
      </c>
      <c r="U57" s="110"/>
      <c r="V57" s="110"/>
      <c r="W57" s="110"/>
      <c r="X57" s="22"/>
      <c r="Y57" s="24"/>
      <c r="Z57" s="24"/>
      <c r="AA57" s="24"/>
      <c r="AB57" s="22"/>
      <c r="AC57" s="22"/>
      <c r="AD57" s="22"/>
      <c r="AE57" s="22"/>
      <c r="AF57" s="22"/>
      <c r="AG57" s="22"/>
      <c r="AH57" s="22"/>
    </row>
    <row r="58" spans="1:34" ht="30.25" customHeight="1" x14ac:dyDescent="0.35">
      <c r="A58" s="209"/>
      <c r="B58" s="44">
        <v>55</v>
      </c>
      <c r="C58" s="206"/>
      <c r="D58" s="46" t="s">
        <v>162</v>
      </c>
      <c r="E58" s="48" t="s">
        <v>8</v>
      </c>
      <c r="F58" s="50" t="s">
        <v>28</v>
      </c>
      <c r="G58" s="44" t="s">
        <v>159</v>
      </c>
      <c r="H58" s="44" t="s">
        <v>8</v>
      </c>
      <c r="I58" s="44" t="s">
        <v>9</v>
      </c>
      <c r="J58" s="47">
        <v>1114</v>
      </c>
      <c r="K58" s="27">
        <f>0</f>
        <v>0</v>
      </c>
      <c r="L58" s="127">
        <f t="shared" si="0"/>
        <v>0</v>
      </c>
      <c r="M58" s="127">
        <f t="shared" si="1"/>
        <v>0</v>
      </c>
      <c r="N58" s="128"/>
      <c r="O58" s="129">
        <f t="shared" si="2"/>
        <v>0</v>
      </c>
      <c r="P58" s="128"/>
      <c r="Q58" s="128"/>
      <c r="R58" s="128"/>
      <c r="S58" s="26">
        <f t="shared" si="3"/>
        <v>0</v>
      </c>
      <c r="T58" s="25" t="str">
        <f t="shared" si="4"/>
        <v>OK</v>
      </c>
      <c r="U58" s="110"/>
      <c r="V58" s="110"/>
      <c r="W58" s="110"/>
      <c r="X58" s="22"/>
      <c r="Y58" s="24"/>
      <c r="Z58" s="24"/>
      <c r="AA58" s="24"/>
      <c r="AB58" s="22"/>
      <c r="AC58" s="22"/>
      <c r="AD58" s="22"/>
      <c r="AE58" s="22"/>
      <c r="AF58" s="22"/>
      <c r="AG58" s="22"/>
      <c r="AH58" s="22"/>
    </row>
    <row r="59" spans="1:34" ht="30.25" customHeight="1" x14ac:dyDescent="0.35">
      <c r="A59" s="210"/>
      <c r="B59" s="44">
        <v>56</v>
      </c>
      <c r="C59" s="207"/>
      <c r="D59" s="46" t="s">
        <v>160</v>
      </c>
      <c r="E59" s="48" t="s">
        <v>8</v>
      </c>
      <c r="F59" s="50" t="s">
        <v>28</v>
      </c>
      <c r="G59" s="44" t="s">
        <v>29</v>
      </c>
      <c r="H59" s="44" t="s">
        <v>8</v>
      </c>
      <c r="I59" s="44" t="s">
        <v>9</v>
      </c>
      <c r="J59" s="47">
        <v>2000</v>
      </c>
      <c r="K59" s="27">
        <f>0</f>
        <v>0</v>
      </c>
      <c r="L59" s="127">
        <f t="shared" si="0"/>
        <v>0</v>
      </c>
      <c r="M59" s="127">
        <f t="shared" si="1"/>
        <v>0</v>
      </c>
      <c r="N59" s="128"/>
      <c r="O59" s="129">
        <f t="shared" si="2"/>
        <v>0</v>
      </c>
      <c r="P59" s="128"/>
      <c r="Q59" s="128"/>
      <c r="R59" s="128"/>
      <c r="S59" s="26">
        <f t="shared" si="3"/>
        <v>0</v>
      </c>
      <c r="T59" s="25" t="str">
        <f t="shared" si="4"/>
        <v>OK</v>
      </c>
      <c r="U59" s="110"/>
      <c r="V59" s="110"/>
      <c r="W59" s="110"/>
      <c r="X59" s="22"/>
      <c r="Y59" s="24"/>
      <c r="Z59" s="24"/>
      <c r="AA59" s="24"/>
      <c r="AB59" s="22"/>
      <c r="AC59" s="22"/>
      <c r="AD59" s="22"/>
      <c r="AE59" s="22"/>
      <c r="AF59" s="22"/>
      <c r="AG59" s="22"/>
      <c r="AH59" s="22"/>
    </row>
    <row r="60" spans="1:34" ht="30.25" customHeight="1" x14ac:dyDescent="0.35">
      <c r="A60" s="198" t="s">
        <v>163</v>
      </c>
      <c r="B60" s="37">
        <v>57</v>
      </c>
      <c r="C60" s="195" t="s">
        <v>33</v>
      </c>
      <c r="D60" s="34" t="s">
        <v>27</v>
      </c>
      <c r="E60" s="41" t="s">
        <v>8</v>
      </c>
      <c r="F60" s="43" t="s">
        <v>28</v>
      </c>
      <c r="G60" s="37" t="s">
        <v>29</v>
      </c>
      <c r="H60" s="37" t="s">
        <v>8</v>
      </c>
      <c r="I60" s="37" t="s">
        <v>9</v>
      </c>
      <c r="J60" s="36">
        <v>250.5</v>
      </c>
      <c r="K60" s="27">
        <f>0</f>
        <v>0</v>
      </c>
      <c r="L60" s="127">
        <f t="shared" si="0"/>
        <v>0</v>
      </c>
      <c r="M60" s="127">
        <f t="shared" si="1"/>
        <v>0</v>
      </c>
      <c r="N60" s="128"/>
      <c r="O60" s="129">
        <f t="shared" si="2"/>
        <v>0</v>
      </c>
      <c r="P60" s="128"/>
      <c r="Q60" s="128"/>
      <c r="R60" s="128"/>
      <c r="S60" s="26">
        <f t="shared" si="3"/>
        <v>0</v>
      </c>
      <c r="T60" s="25" t="str">
        <f t="shared" si="4"/>
        <v>OK</v>
      </c>
      <c r="U60" s="110"/>
      <c r="V60" s="110"/>
      <c r="W60" s="110"/>
      <c r="X60" s="22"/>
      <c r="Y60" s="24"/>
      <c r="Z60" s="24"/>
      <c r="AA60" s="24"/>
      <c r="AB60" s="22"/>
      <c r="AC60" s="22"/>
      <c r="AD60" s="22"/>
      <c r="AE60" s="22"/>
      <c r="AF60" s="22"/>
      <c r="AG60" s="22"/>
      <c r="AH60" s="22"/>
    </row>
    <row r="61" spans="1:34" ht="30.25" customHeight="1" x14ac:dyDescent="0.35">
      <c r="A61" s="199"/>
      <c r="B61" s="37">
        <v>58</v>
      </c>
      <c r="C61" s="196"/>
      <c r="D61" s="34" t="s">
        <v>7</v>
      </c>
      <c r="E61" s="41" t="s">
        <v>8</v>
      </c>
      <c r="F61" s="43" t="s">
        <v>28</v>
      </c>
      <c r="G61" s="37" t="s">
        <v>29</v>
      </c>
      <c r="H61" s="37" t="s">
        <v>8</v>
      </c>
      <c r="I61" s="37" t="s">
        <v>9</v>
      </c>
      <c r="J61" s="36">
        <v>1000</v>
      </c>
      <c r="K61" s="27">
        <f>0</f>
        <v>0</v>
      </c>
      <c r="L61" s="127">
        <f t="shared" si="0"/>
        <v>0</v>
      </c>
      <c r="M61" s="127">
        <f t="shared" si="1"/>
        <v>0</v>
      </c>
      <c r="N61" s="128"/>
      <c r="O61" s="129">
        <f t="shared" si="2"/>
        <v>0</v>
      </c>
      <c r="P61" s="128"/>
      <c r="Q61" s="128"/>
      <c r="R61" s="128"/>
      <c r="S61" s="26">
        <f t="shared" si="3"/>
        <v>0</v>
      </c>
      <c r="T61" s="25" t="str">
        <f t="shared" si="4"/>
        <v>OK</v>
      </c>
      <c r="U61" s="110"/>
      <c r="V61" s="110"/>
      <c r="W61" s="110"/>
      <c r="X61" s="22"/>
      <c r="Y61" s="24"/>
      <c r="Z61" s="24"/>
      <c r="AA61" s="24"/>
      <c r="AB61" s="22"/>
      <c r="AC61" s="22"/>
      <c r="AD61" s="22"/>
      <c r="AE61" s="22"/>
      <c r="AF61" s="22"/>
      <c r="AG61" s="22"/>
      <c r="AH61" s="22"/>
    </row>
    <row r="62" spans="1:34" ht="30.25" customHeight="1" x14ac:dyDescent="0.35">
      <c r="A62" s="199"/>
      <c r="B62" s="37">
        <v>59</v>
      </c>
      <c r="C62" s="196"/>
      <c r="D62" s="34" t="s">
        <v>10</v>
      </c>
      <c r="E62" s="41" t="s">
        <v>8</v>
      </c>
      <c r="F62" s="43" t="s">
        <v>28</v>
      </c>
      <c r="G62" s="37" t="s">
        <v>29</v>
      </c>
      <c r="H62" s="37" t="s">
        <v>8</v>
      </c>
      <c r="I62" s="37" t="s">
        <v>9</v>
      </c>
      <c r="J62" s="36">
        <v>1500</v>
      </c>
      <c r="K62" s="27">
        <f>0</f>
        <v>0</v>
      </c>
      <c r="L62" s="127">
        <f t="shared" si="0"/>
        <v>0</v>
      </c>
      <c r="M62" s="127">
        <f t="shared" si="1"/>
        <v>0</v>
      </c>
      <c r="N62" s="128"/>
      <c r="O62" s="129">
        <f t="shared" si="2"/>
        <v>0</v>
      </c>
      <c r="P62" s="128"/>
      <c r="Q62" s="128"/>
      <c r="R62" s="128"/>
      <c r="S62" s="26">
        <f t="shared" si="3"/>
        <v>0</v>
      </c>
      <c r="T62" s="25" t="str">
        <f t="shared" si="4"/>
        <v>OK</v>
      </c>
      <c r="U62" s="110"/>
      <c r="V62" s="110"/>
      <c r="W62" s="110"/>
      <c r="X62" s="22"/>
      <c r="Y62" s="24"/>
      <c r="Z62" s="24"/>
      <c r="AA62" s="24"/>
      <c r="AB62" s="22"/>
      <c r="AC62" s="22"/>
      <c r="AD62" s="22"/>
      <c r="AE62" s="22"/>
      <c r="AF62" s="22"/>
      <c r="AG62" s="22"/>
      <c r="AH62" s="22"/>
    </row>
    <row r="63" spans="1:34" ht="30.25" customHeight="1" x14ac:dyDescent="0.35">
      <c r="A63" s="199"/>
      <c r="B63" s="37">
        <v>60</v>
      </c>
      <c r="C63" s="196"/>
      <c r="D63" s="34" t="s">
        <v>11</v>
      </c>
      <c r="E63" s="41" t="s">
        <v>8</v>
      </c>
      <c r="F63" s="43" t="s">
        <v>28</v>
      </c>
      <c r="G63" s="37" t="s">
        <v>29</v>
      </c>
      <c r="H63" s="37" t="s">
        <v>8</v>
      </c>
      <c r="I63" s="37" t="s">
        <v>9</v>
      </c>
      <c r="J63" s="36">
        <v>1731</v>
      </c>
      <c r="K63" s="27">
        <f>0</f>
        <v>0</v>
      </c>
      <c r="L63" s="127">
        <f t="shared" si="0"/>
        <v>0</v>
      </c>
      <c r="M63" s="127">
        <f t="shared" si="1"/>
        <v>0</v>
      </c>
      <c r="N63" s="128"/>
      <c r="O63" s="129">
        <f t="shared" si="2"/>
        <v>0</v>
      </c>
      <c r="P63" s="128"/>
      <c r="Q63" s="128"/>
      <c r="R63" s="128"/>
      <c r="S63" s="26">
        <f t="shared" si="3"/>
        <v>0</v>
      </c>
      <c r="T63" s="25" t="str">
        <f t="shared" si="4"/>
        <v>OK</v>
      </c>
      <c r="U63" s="110"/>
      <c r="V63" s="110"/>
      <c r="W63" s="110"/>
      <c r="X63" s="22"/>
      <c r="Y63" s="24"/>
      <c r="Z63" s="24"/>
      <c r="AA63" s="24"/>
      <c r="AB63" s="22"/>
      <c r="AC63" s="22"/>
      <c r="AD63" s="22"/>
      <c r="AE63" s="22"/>
      <c r="AF63" s="22"/>
      <c r="AG63" s="22"/>
      <c r="AH63" s="22"/>
    </row>
    <row r="64" spans="1:34" ht="30.25" customHeight="1" x14ac:dyDescent="0.35">
      <c r="A64" s="199"/>
      <c r="B64" s="37">
        <v>61</v>
      </c>
      <c r="C64" s="196"/>
      <c r="D64" s="34" t="s">
        <v>12</v>
      </c>
      <c r="E64" s="41" t="s">
        <v>8</v>
      </c>
      <c r="F64" s="43" t="s">
        <v>28</v>
      </c>
      <c r="G64" s="37" t="s">
        <v>29</v>
      </c>
      <c r="H64" s="37" t="s">
        <v>34</v>
      </c>
      <c r="I64" s="37" t="s">
        <v>9</v>
      </c>
      <c r="J64" s="36">
        <v>160</v>
      </c>
      <c r="K64" s="27">
        <f>0</f>
        <v>0</v>
      </c>
      <c r="L64" s="127">
        <f t="shared" si="0"/>
        <v>0</v>
      </c>
      <c r="M64" s="127">
        <f t="shared" si="1"/>
        <v>0</v>
      </c>
      <c r="N64" s="128"/>
      <c r="O64" s="129">
        <f t="shared" si="2"/>
        <v>0</v>
      </c>
      <c r="P64" s="128"/>
      <c r="Q64" s="128"/>
      <c r="R64" s="128"/>
      <c r="S64" s="26">
        <f t="shared" si="3"/>
        <v>0</v>
      </c>
      <c r="T64" s="25" t="str">
        <f t="shared" si="4"/>
        <v>OK</v>
      </c>
      <c r="U64" s="110"/>
      <c r="V64" s="110"/>
      <c r="W64" s="110"/>
      <c r="X64" s="22"/>
      <c r="Y64" s="24"/>
      <c r="Z64" s="24"/>
      <c r="AA64" s="24"/>
      <c r="AB64" s="22"/>
      <c r="AC64" s="22"/>
      <c r="AD64" s="22"/>
      <c r="AE64" s="22"/>
      <c r="AF64" s="22"/>
      <c r="AG64" s="22"/>
      <c r="AH64" s="22"/>
    </row>
    <row r="65" spans="1:34" ht="30.25" customHeight="1" x14ac:dyDescent="0.35">
      <c r="A65" s="199"/>
      <c r="B65" s="37">
        <v>62</v>
      </c>
      <c r="C65" s="196"/>
      <c r="D65" s="34" t="s">
        <v>156</v>
      </c>
      <c r="E65" s="41" t="s">
        <v>8</v>
      </c>
      <c r="F65" s="43" t="s">
        <v>28</v>
      </c>
      <c r="G65" s="37" t="s">
        <v>29</v>
      </c>
      <c r="H65" s="37" t="s">
        <v>34</v>
      </c>
      <c r="I65" s="37" t="s">
        <v>9</v>
      </c>
      <c r="J65" s="36">
        <v>135</v>
      </c>
      <c r="K65" s="27">
        <f>0</f>
        <v>0</v>
      </c>
      <c r="L65" s="127">
        <f t="shared" si="0"/>
        <v>0</v>
      </c>
      <c r="M65" s="127">
        <f t="shared" si="1"/>
        <v>0</v>
      </c>
      <c r="N65" s="128"/>
      <c r="O65" s="129">
        <f t="shared" si="2"/>
        <v>0</v>
      </c>
      <c r="P65" s="128"/>
      <c r="Q65" s="128"/>
      <c r="R65" s="128"/>
      <c r="S65" s="26">
        <f t="shared" si="3"/>
        <v>0</v>
      </c>
      <c r="T65" s="25" t="str">
        <f t="shared" si="4"/>
        <v>OK</v>
      </c>
      <c r="U65" s="110"/>
      <c r="V65" s="110"/>
      <c r="W65" s="110"/>
      <c r="X65" s="22"/>
      <c r="Y65" s="24"/>
      <c r="Z65" s="24"/>
      <c r="AA65" s="24"/>
      <c r="AB65" s="22"/>
      <c r="AC65" s="22"/>
      <c r="AD65" s="22"/>
      <c r="AE65" s="22"/>
      <c r="AF65" s="22"/>
      <c r="AG65" s="22"/>
      <c r="AH65" s="22"/>
    </row>
    <row r="66" spans="1:34" ht="30.25" customHeight="1" x14ac:dyDescent="0.35">
      <c r="A66" s="199"/>
      <c r="B66" s="37">
        <v>63</v>
      </c>
      <c r="C66" s="196"/>
      <c r="D66" s="34" t="s">
        <v>13</v>
      </c>
      <c r="E66" s="41" t="s">
        <v>8</v>
      </c>
      <c r="F66" s="43" t="s">
        <v>28</v>
      </c>
      <c r="G66" s="37" t="s">
        <v>29</v>
      </c>
      <c r="H66" s="37" t="s">
        <v>34</v>
      </c>
      <c r="I66" s="37" t="s">
        <v>9</v>
      </c>
      <c r="J66" s="36">
        <v>135</v>
      </c>
      <c r="K66" s="27">
        <f>0</f>
        <v>0</v>
      </c>
      <c r="L66" s="127">
        <f t="shared" si="0"/>
        <v>0</v>
      </c>
      <c r="M66" s="127">
        <f t="shared" si="1"/>
        <v>0</v>
      </c>
      <c r="N66" s="128"/>
      <c r="O66" s="129">
        <f t="shared" si="2"/>
        <v>0</v>
      </c>
      <c r="P66" s="128"/>
      <c r="Q66" s="128"/>
      <c r="R66" s="128"/>
      <c r="S66" s="26">
        <f t="shared" si="3"/>
        <v>0</v>
      </c>
      <c r="T66" s="25" t="str">
        <f t="shared" si="4"/>
        <v>OK</v>
      </c>
      <c r="U66" s="110"/>
      <c r="V66" s="110"/>
      <c r="W66" s="110"/>
      <c r="X66" s="22"/>
      <c r="Y66" s="24"/>
      <c r="Z66" s="24"/>
      <c r="AA66" s="24"/>
      <c r="AB66" s="22"/>
      <c r="AC66" s="22"/>
      <c r="AD66" s="22"/>
      <c r="AE66" s="22"/>
      <c r="AF66" s="22"/>
      <c r="AG66" s="22"/>
      <c r="AH66" s="22"/>
    </row>
    <row r="67" spans="1:34" ht="30.25" customHeight="1" x14ac:dyDescent="0.35">
      <c r="A67" s="199"/>
      <c r="B67" s="37">
        <v>64</v>
      </c>
      <c r="C67" s="196"/>
      <c r="D67" s="34" t="s">
        <v>157</v>
      </c>
      <c r="E67" s="41" t="s">
        <v>8</v>
      </c>
      <c r="F67" s="43" t="s">
        <v>28</v>
      </c>
      <c r="G67" s="37" t="s">
        <v>29</v>
      </c>
      <c r="H67" s="37" t="s">
        <v>8</v>
      </c>
      <c r="I67" s="37" t="s">
        <v>9</v>
      </c>
      <c r="J67" s="36">
        <v>365</v>
      </c>
      <c r="K67" s="27">
        <f>0</f>
        <v>0</v>
      </c>
      <c r="L67" s="127">
        <f t="shared" si="0"/>
        <v>0</v>
      </c>
      <c r="M67" s="127">
        <f t="shared" si="1"/>
        <v>0</v>
      </c>
      <c r="N67" s="128"/>
      <c r="O67" s="129">
        <f t="shared" si="2"/>
        <v>0</v>
      </c>
      <c r="P67" s="128"/>
      <c r="Q67" s="128"/>
      <c r="R67" s="128"/>
      <c r="S67" s="26">
        <f t="shared" si="3"/>
        <v>0</v>
      </c>
      <c r="T67" s="25" t="str">
        <f t="shared" si="4"/>
        <v>OK</v>
      </c>
      <c r="U67" s="110"/>
      <c r="V67" s="110"/>
      <c r="W67" s="110"/>
      <c r="X67" s="22"/>
      <c r="Y67" s="24"/>
      <c r="Z67" s="24"/>
      <c r="AA67" s="24"/>
      <c r="AB67" s="22"/>
      <c r="AC67" s="22"/>
      <c r="AD67" s="22"/>
      <c r="AE67" s="22"/>
      <c r="AF67" s="22"/>
      <c r="AG67" s="22"/>
      <c r="AH67" s="22"/>
    </row>
    <row r="68" spans="1:34" ht="30.25" customHeight="1" x14ac:dyDescent="0.35">
      <c r="A68" s="200"/>
      <c r="B68" s="37">
        <v>65</v>
      </c>
      <c r="C68" s="197"/>
      <c r="D68" s="34" t="s">
        <v>30</v>
      </c>
      <c r="E68" s="41" t="s">
        <v>8</v>
      </c>
      <c r="F68" s="43" t="s">
        <v>28</v>
      </c>
      <c r="G68" s="37" t="s">
        <v>29</v>
      </c>
      <c r="H68" s="37" t="s">
        <v>8</v>
      </c>
      <c r="I68" s="37" t="s">
        <v>9</v>
      </c>
      <c r="J68" s="36">
        <v>100</v>
      </c>
      <c r="K68" s="27">
        <f>0</f>
        <v>0</v>
      </c>
      <c r="L68" s="127">
        <f t="shared" si="0"/>
        <v>0</v>
      </c>
      <c r="M68" s="127">
        <f t="shared" si="1"/>
        <v>0</v>
      </c>
      <c r="N68" s="128"/>
      <c r="O68" s="129">
        <f t="shared" si="2"/>
        <v>0</v>
      </c>
      <c r="P68" s="128"/>
      <c r="Q68" s="128"/>
      <c r="R68" s="128"/>
      <c r="S68" s="26">
        <f t="shared" si="3"/>
        <v>0</v>
      </c>
      <c r="T68" s="25" t="str">
        <f t="shared" si="4"/>
        <v>OK</v>
      </c>
      <c r="U68" s="110"/>
      <c r="V68" s="110"/>
      <c r="W68" s="110"/>
      <c r="X68" s="22"/>
      <c r="Y68" s="24"/>
      <c r="Z68" s="24"/>
      <c r="AA68" s="24"/>
      <c r="AB68" s="22"/>
      <c r="AC68" s="22"/>
      <c r="AD68" s="22"/>
      <c r="AE68" s="22"/>
      <c r="AF68" s="22"/>
      <c r="AG68" s="22"/>
      <c r="AH68" s="22"/>
    </row>
    <row r="69" spans="1:34" ht="30.25" customHeight="1" x14ac:dyDescent="0.35">
      <c r="A69" s="208" t="s">
        <v>164</v>
      </c>
      <c r="B69" s="44">
        <v>66</v>
      </c>
      <c r="C69" s="205" t="s">
        <v>92</v>
      </c>
      <c r="D69" s="46" t="s">
        <v>27</v>
      </c>
      <c r="E69" s="48" t="s">
        <v>8</v>
      </c>
      <c r="F69" s="50" t="s">
        <v>28</v>
      </c>
      <c r="G69" s="44" t="s">
        <v>29</v>
      </c>
      <c r="H69" s="44" t="s">
        <v>8</v>
      </c>
      <c r="I69" s="44" t="s">
        <v>9</v>
      </c>
      <c r="J69" s="47">
        <v>140</v>
      </c>
      <c r="K69" s="27">
        <f>0</f>
        <v>0</v>
      </c>
      <c r="L69" s="127">
        <f t="shared" ref="L69:L81" si="5">IF(SUM(U69:AL69)&gt;K69+N69,K69+N69,SUM(U69:AL69))</f>
        <v>0</v>
      </c>
      <c r="M69" s="127">
        <f t="shared" ref="M69:M81" si="6">(SUM(U69:AL69))</f>
        <v>0</v>
      </c>
      <c r="N69" s="128"/>
      <c r="O69" s="129">
        <f t="shared" ref="O69:O81" si="7">ROUND(IF(K69*0.25-0.5&lt;0,0,K69*0.25-0.5),0)-R69-P69</f>
        <v>0</v>
      </c>
      <c r="P69" s="128"/>
      <c r="Q69" s="128"/>
      <c r="R69" s="128"/>
      <c r="S69" s="26">
        <f t="shared" ref="S69:S81" si="8">K69-SUM(U69:AH69)+N69</f>
        <v>0</v>
      </c>
      <c r="T69" s="25" t="str">
        <f t="shared" ref="T69:T82" si="9">IF(S69&lt;0,"ATENÇÃO","OK")</f>
        <v>OK</v>
      </c>
      <c r="U69" s="110"/>
      <c r="V69" s="110"/>
      <c r="W69" s="110"/>
      <c r="X69" s="22"/>
      <c r="Y69" s="24"/>
      <c r="Z69" s="24"/>
      <c r="AA69" s="24"/>
      <c r="AB69" s="22"/>
      <c r="AC69" s="22"/>
      <c r="AD69" s="22"/>
      <c r="AE69" s="22"/>
      <c r="AF69" s="22"/>
      <c r="AG69" s="22"/>
      <c r="AH69" s="22"/>
    </row>
    <row r="70" spans="1:34" ht="30.25" customHeight="1" x14ac:dyDescent="0.35">
      <c r="A70" s="209"/>
      <c r="B70" s="44">
        <v>67</v>
      </c>
      <c r="C70" s="206"/>
      <c r="D70" s="46" t="s">
        <v>7</v>
      </c>
      <c r="E70" s="48" t="s">
        <v>8</v>
      </c>
      <c r="F70" s="50" t="s">
        <v>28</v>
      </c>
      <c r="G70" s="44" t="s">
        <v>29</v>
      </c>
      <c r="H70" s="44" t="s">
        <v>8</v>
      </c>
      <c r="I70" s="44" t="s">
        <v>9</v>
      </c>
      <c r="J70" s="47">
        <v>530</v>
      </c>
      <c r="K70" s="27">
        <f>0</f>
        <v>0</v>
      </c>
      <c r="L70" s="127">
        <f t="shared" si="5"/>
        <v>0</v>
      </c>
      <c r="M70" s="127">
        <f t="shared" si="6"/>
        <v>0</v>
      </c>
      <c r="N70" s="128"/>
      <c r="O70" s="129">
        <f t="shared" si="7"/>
        <v>0</v>
      </c>
      <c r="P70" s="128"/>
      <c r="Q70" s="128"/>
      <c r="R70" s="128"/>
      <c r="S70" s="26">
        <f t="shared" si="8"/>
        <v>0</v>
      </c>
      <c r="T70" s="25" t="str">
        <f t="shared" si="9"/>
        <v>OK</v>
      </c>
      <c r="U70" s="110"/>
      <c r="V70" s="110"/>
      <c r="W70" s="110"/>
      <c r="X70" s="22"/>
      <c r="Y70" s="24"/>
      <c r="Z70" s="24"/>
      <c r="AA70" s="24"/>
      <c r="AB70" s="22"/>
      <c r="AC70" s="22"/>
      <c r="AD70" s="22"/>
      <c r="AE70" s="22"/>
      <c r="AF70" s="22"/>
      <c r="AG70" s="22"/>
      <c r="AH70" s="22"/>
    </row>
    <row r="71" spans="1:34" ht="30.25" customHeight="1" x14ac:dyDescent="0.35">
      <c r="A71" s="209"/>
      <c r="B71" s="44">
        <v>68</v>
      </c>
      <c r="C71" s="206"/>
      <c r="D71" s="46" t="s">
        <v>10</v>
      </c>
      <c r="E71" s="48" t="s">
        <v>8</v>
      </c>
      <c r="F71" s="50" t="s">
        <v>28</v>
      </c>
      <c r="G71" s="44" t="s">
        <v>29</v>
      </c>
      <c r="H71" s="44" t="s">
        <v>8</v>
      </c>
      <c r="I71" s="44" t="s">
        <v>9</v>
      </c>
      <c r="J71" s="47">
        <v>660</v>
      </c>
      <c r="K71" s="27">
        <f>0</f>
        <v>0</v>
      </c>
      <c r="L71" s="127">
        <f t="shared" si="5"/>
        <v>0</v>
      </c>
      <c r="M71" s="127">
        <f t="shared" si="6"/>
        <v>0</v>
      </c>
      <c r="N71" s="128"/>
      <c r="O71" s="129">
        <f t="shared" si="7"/>
        <v>0</v>
      </c>
      <c r="P71" s="128"/>
      <c r="Q71" s="128"/>
      <c r="R71" s="128"/>
      <c r="S71" s="26">
        <f t="shared" si="8"/>
        <v>0</v>
      </c>
      <c r="T71" s="25" t="str">
        <f t="shared" si="9"/>
        <v>OK</v>
      </c>
      <c r="U71" s="110"/>
      <c r="V71" s="110"/>
      <c r="W71" s="110"/>
      <c r="X71" s="22"/>
      <c r="Y71" s="24"/>
      <c r="Z71" s="24"/>
      <c r="AA71" s="24"/>
      <c r="AB71" s="22"/>
      <c r="AC71" s="22"/>
      <c r="AD71" s="22"/>
      <c r="AE71" s="22"/>
      <c r="AF71" s="22"/>
      <c r="AG71" s="22"/>
      <c r="AH71" s="22"/>
    </row>
    <row r="72" spans="1:34" ht="30.25" customHeight="1" x14ac:dyDescent="0.35">
      <c r="A72" s="209"/>
      <c r="B72" s="44">
        <v>69</v>
      </c>
      <c r="C72" s="206"/>
      <c r="D72" s="46" t="s">
        <v>11</v>
      </c>
      <c r="E72" s="48" t="s">
        <v>8</v>
      </c>
      <c r="F72" s="50" t="s">
        <v>28</v>
      </c>
      <c r="G72" s="44" t="s">
        <v>29</v>
      </c>
      <c r="H72" s="44" t="s">
        <v>8</v>
      </c>
      <c r="I72" s="44" t="s">
        <v>9</v>
      </c>
      <c r="J72" s="47">
        <v>760</v>
      </c>
      <c r="K72" s="27">
        <f>0</f>
        <v>0</v>
      </c>
      <c r="L72" s="127">
        <f t="shared" si="5"/>
        <v>0</v>
      </c>
      <c r="M72" s="127">
        <f t="shared" si="6"/>
        <v>0</v>
      </c>
      <c r="N72" s="128"/>
      <c r="O72" s="129">
        <f t="shared" si="7"/>
        <v>0</v>
      </c>
      <c r="P72" s="128"/>
      <c r="Q72" s="128"/>
      <c r="R72" s="128"/>
      <c r="S72" s="26">
        <f t="shared" si="8"/>
        <v>0</v>
      </c>
      <c r="T72" s="25" t="str">
        <f t="shared" si="9"/>
        <v>OK</v>
      </c>
      <c r="U72" s="110"/>
      <c r="V72" s="110"/>
      <c r="W72" s="110"/>
      <c r="X72" s="22"/>
      <c r="Y72" s="24"/>
      <c r="Z72" s="24"/>
      <c r="AA72" s="24"/>
      <c r="AB72" s="22"/>
      <c r="AC72" s="22"/>
      <c r="AD72" s="22"/>
      <c r="AE72" s="22"/>
      <c r="AF72" s="22"/>
      <c r="AG72" s="22"/>
      <c r="AH72" s="22"/>
    </row>
    <row r="73" spans="1:34" ht="30.25" customHeight="1" x14ac:dyDescent="0.35">
      <c r="A73" s="209"/>
      <c r="B73" s="44">
        <v>70</v>
      </c>
      <c r="C73" s="206"/>
      <c r="D73" s="46" t="s">
        <v>12</v>
      </c>
      <c r="E73" s="48" t="s">
        <v>8</v>
      </c>
      <c r="F73" s="50" t="s">
        <v>28</v>
      </c>
      <c r="G73" s="44" t="s">
        <v>29</v>
      </c>
      <c r="H73" s="44" t="s">
        <v>34</v>
      </c>
      <c r="I73" s="44" t="s">
        <v>9</v>
      </c>
      <c r="J73" s="47">
        <v>70</v>
      </c>
      <c r="K73" s="27">
        <f>0</f>
        <v>0</v>
      </c>
      <c r="L73" s="127">
        <f t="shared" si="5"/>
        <v>0</v>
      </c>
      <c r="M73" s="127">
        <f t="shared" si="6"/>
        <v>0</v>
      </c>
      <c r="N73" s="128"/>
      <c r="O73" s="129">
        <f t="shared" si="7"/>
        <v>0</v>
      </c>
      <c r="P73" s="128"/>
      <c r="Q73" s="128"/>
      <c r="R73" s="128"/>
      <c r="S73" s="26">
        <f t="shared" si="8"/>
        <v>0</v>
      </c>
      <c r="T73" s="25" t="str">
        <f t="shared" si="9"/>
        <v>OK</v>
      </c>
      <c r="U73" s="110"/>
      <c r="V73" s="110"/>
      <c r="W73" s="110"/>
      <c r="X73" s="22"/>
      <c r="Y73" s="24"/>
      <c r="Z73" s="24"/>
      <c r="AA73" s="24"/>
      <c r="AB73" s="22"/>
      <c r="AC73" s="22"/>
      <c r="AD73" s="22"/>
      <c r="AE73" s="22"/>
      <c r="AF73" s="22"/>
      <c r="AG73" s="22"/>
      <c r="AH73" s="22"/>
    </row>
    <row r="74" spans="1:34" ht="30.25" customHeight="1" x14ac:dyDescent="0.35">
      <c r="A74" s="209"/>
      <c r="B74" s="44">
        <v>71</v>
      </c>
      <c r="C74" s="206"/>
      <c r="D74" s="46" t="s">
        <v>156</v>
      </c>
      <c r="E74" s="48" t="s">
        <v>8</v>
      </c>
      <c r="F74" s="50" t="s">
        <v>28</v>
      </c>
      <c r="G74" s="44" t="s">
        <v>29</v>
      </c>
      <c r="H74" s="44" t="s">
        <v>34</v>
      </c>
      <c r="I74" s="44" t="s">
        <v>9</v>
      </c>
      <c r="J74" s="47">
        <v>75</v>
      </c>
      <c r="K74" s="27">
        <f>0</f>
        <v>0</v>
      </c>
      <c r="L74" s="127">
        <f t="shared" si="5"/>
        <v>0</v>
      </c>
      <c r="M74" s="127">
        <f t="shared" si="6"/>
        <v>0</v>
      </c>
      <c r="N74" s="128"/>
      <c r="O74" s="129">
        <f t="shared" si="7"/>
        <v>0</v>
      </c>
      <c r="P74" s="128"/>
      <c r="Q74" s="128"/>
      <c r="R74" s="128"/>
      <c r="S74" s="26">
        <f t="shared" si="8"/>
        <v>0</v>
      </c>
      <c r="T74" s="25" t="str">
        <f t="shared" si="9"/>
        <v>OK</v>
      </c>
      <c r="U74" s="110"/>
      <c r="V74" s="110"/>
      <c r="W74" s="110"/>
      <c r="X74" s="22"/>
      <c r="Y74" s="24"/>
      <c r="Z74" s="24"/>
      <c r="AA74" s="24"/>
      <c r="AB74" s="22"/>
      <c r="AC74" s="22"/>
      <c r="AD74" s="22"/>
      <c r="AE74" s="22"/>
      <c r="AF74" s="22"/>
      <c r="AG74" s="22"/>
      <c r="AH74" s="22"/>
    </row>
    <row r="75" spans="1:34" ht="30.25" customHeight="1" x14ac:dyDescent="0.35">
      <c r="A75" s="209"/>
      <c r="B75" s="44">
        <v>72</v>
      </c>
      <c r="C75" s="206"/>
      <c r="D75" s="46" t="s">
        <v>13</v>
      </c>
      <c r="E75" s="48" t="s">
        <v>8</v>
      </c>
      <c r="F75" s="50" t="s">
        <v>28</v>
      </c>
      <c r="G75" s="44" t="s">
        <v>29</v>
      </c>
      <c r="H75" s="44" t="s">
        <v>34</v>
      </c>
      <c r="I75" s="44" t="s">
        <v>9</v>
      </c>
      <c r="J75" s="47">
        <v>80</v>
      </c>
      <c r="K75" s="27">
        <f>0</f>
        <v>0</v>
      </c>
      <c r="L75" s="127">
        <f t="shared" si="5"/>
        <v>0</v>
      </c>
      <c r="M75" s="127">
        <f t="shared" si="6"/>
        <v>0</v>
      </c>
      <c r="N75" s="128"/>
      <c r="O75" s="129">
        <f t="shared" si="7"/>
        <v>0</v>
      </c>
      <c r="P75" s="128"/>
      <c r="Q75" s="128"/>
      <c r="R75" s="128"/>
      <c r="S75" s="26">
        <f t="shared" si="8"/>
        <v>0</v>
      </c>
      <c r="T75" s="25" t="str">
        <f t="shared" si="9"/>
        <v>OK</v>
      </c>
      <c r="U75" s="110"/>
      <c r="V75" s="110"/>
      <c r="W75" s="110"/>
      <c r="X75" s="22"/>
      <c r="Y75" s="24"/>
      <c r="Z75" s="24"/>
      <c r="AA75" s="24"/>
      <c r="AB75" s="22"/>
      <c r="AC75" s="22"/>
      <c r="AD75" s="22"/>
      <c r="AE75" s="22"/>
      <c r="AF75" s="22"/>
      <c r="AG75" s="22"/>
      <c r="AH75" s="22"/>
    </row>
    <row r="76" spans="1:34" ht="30.25" customHeight="1" x14ac:dyDescent="0.35">
      <c r="A76" s="209"/>
      <c r="B76" s="44">
        <v>73</v>
      </c>
      <c r="C76" s="206"/>
      <c r="D76" s="46" t="s">
        <v>157</v>
      </c>
      <c r="E76" s="48" t="s">
        <v>8</v>
      </c>
      <c r="F76" s="50" t="s">
        <v>28</v>
      </c>
      <c r="G76" s="44" t="s">
        <v>29</v>
      </c>
      <c r="H76" s="44" t="s">
        <v>8</v>
      </c>
      <c r="I76" s="44" t="s">
        <v>9</v>
      </c>
      <c r="J76" s="47">
        <v>150</v>
      </c>
      <c r="K76" s="27">
        <f>0</f>
        <v>0</v>
      </c>
      <c r="L76" s="127">
        <f t="shared" si="5"/>
        <v>0</v>
      </c>
      <c r="M76" s="127">
        <f t="shared" si="6"/>
        <v>0</v>
      </c>
      <c r="N76" s="128"/>
      <c r="O76" s="129">
        <f t="shared" si="7"/>
        <v>0</v>
      </c>
      <c r="P76" s="128"/>
      <c r="Q76" s="128"/>
      <c r="R76" s="128"/>
      <c r="S76" s="26">
        <f t="shared" si="8"/>
        <v>0</v>
      </c>
      <c r="T76" s="25" t="str">
        <f t="shared" si="9"/>
        <v>OK</v>
      </c>
      <c r="U76" s="110"/>
      <c r="V76" s="110"/>
      <c r="W76" s="110"/>
      <c r="X76" s="22"/>
      <c r="Y76" s="24"/>
      <c r="Z76" s="24"/>
      <c r="AA76" s="24"/>
      <c r="AB76" s="22"/>
      <c r="AC76" s="22"/>
      <c r="AD76" s="22"/>
      <c r="AE76" s="22"/>
      <c r="AF76" s="22"/>
      <c r="AG76" s="22"/>
      <c r="AH76" s="22"/>
    </row>
    <row r="77" spans="1:34" ht="30.25" customHeight="1" x14ac:dyDescent="0.35">
      <c r="A77" s="209"/>
      <c r="B77" s="44">
        <v>74</v>
      </c>
      <c r="C77" s="206"/>
      <c r="D77" s="46" t="s">
        <v>30</v>
      </c>
      <c r="E77" s="48" t="s">
        <v>8</v>
      </c>
      <c r="F77" s="50" t="s">
        <v>28</v>
      </c>
      <c r="G77" s="44" t="s">
        <v>29</v>
      </c>
      <c r="H77" s="44" t="s">
        <v>8</v>
      </c>
      <c r="I77" s="44" t="s">
        <v>9</v>
      </c>
      <c r="J77" s="47">
        <v>150</v>
      </c>
      <c r="K77" s="27">
        <f>0</f>
        <v>0</v>
      </c>
      <c r="L77" s="127">
        <f t="shared" si="5"/>
        <v>0</v>
      </c>
      <c r="M77" s="127">
        <f t="shared" si="6"/>
        <v>0</v>
      </c>
      <c r="N77" s="128"/>
      <c r="O77" s="129">
        <f t="shared" si="7"/>
        <v>0</v>
      </c>
      <c r="P77" s="128"/>
      <c r="Q77" s="128"/>
      <c r="R77" s="128"/>
      <c r="S77" s="26">
        <f t="shared" si="8"/>
        <v>0</v>
      </c>
      <c r="T77" s="25" t="str">
        <f t="shared" si="9"/>
        <v>OK</v>
      </c>
      <c r="U77" s="110"/>
      <c r="V77" s="110"/>
      <c r="W77" s="110"/>
      <c r="X77" s="22"/>
      <c r="Y77" s="24"/>
      <c r="Z77" s="24"/>
      <c r="AA77" s="24"/>
      <c r="AB77" s="22"/>
      <c r="AC77" s="22"/>
      <c r="AD77" s="22"/>
      <c r="AE77" s="22"/>
      <c r="AF77" s="22"/>
      <c r="AG77" s="22"/>
      <c r="AH77" s="22"/>
    </row>
    <row r="78" spans="1:34" ht="30.25" customHeight="1" x14ac:dyDescent="0.35">
      <c r="A78" s="210"/>
      <c r="B78" s="44">
        <v>75</v>
      </c>
      <c r="C78" s="207"/>
      <c r="D78" s="46" t="s">
        <v>165</v>
      </c>
      <c r="E78" s="48" t="s">
        <v>8</v>
      </c>
      <c r="F78" s="50" t="s">
        <v>28</v>
      </c>
      <c r="G78" s="44" t="s">
        <v>29</v>
      </c>
      <c r="H78" s="44" t="s">
        <v>8</v>
      </c>
      <c r="I78" s="44" t="s">
        <v>9</v>
      </c>
      <c r="J78" s="47">
        <v>300</v>
      </c>
      <c r="K78" s="27">
        <f>0</f>
        <v>0</v>
      </c>
      <c r="L78" s="127">
        <f t="shared" si="5"/>
        <v>0</v>
      </c>
      <c r="M78" s="127">
        <f t="shared" si="6"/>
        <v>0</v>
      </c>
      <c r="N78" s="128"/>
      <c r="O78" s="129">
        <f t="shared" si="7"/>
        <v>0</v>
      </c>
      <c r="P78" s="128"/>
      <c r="Q78" s="128"/>
      <c r="R78" s="128"/>
      <c r="S78" s="26">
        <f t="shared" si="8"/>
        <v>0</v>
      </c>
      <c r="T78" s="25" t="str">
        <f t="shared" si="9"/>
        <v>OK</v>
      </c>
      <c r="U78" s="110"/>
      <c r="V78" s="110"/>
      <c r="W78" s="110"/>
      <c r="X78" s="22"/>
      <c r="Y78" s="24"/>
      <c r="Z78" s="24"/>
      <c r="AA78" s="24"/>
      <c r="AB78" s="22"/>
      <c r="AC78" s="22"/>
      <c r="AD78" s="22"/>
      <c r="AE78" s="22"/>
      <c r="AF78" s="22"/>
      <c r="AG78" s="22"/>
      <c r="AH78" s="22"/>
    </row>
    <row r="79" spans="1:34" ht="30.25" customHeight="1" x14ac:dyDescent="0.35">
      <c r="A79" s="198" t="s">
        <v>166</v>
      </c>
      <c r="B79" s="37">
        <v>76</v>
      </c>
      <c r="C79" s="195" t="s">
        <v>33</v>
      </c>
      <c r="D79" s="34" t="s">
        <v>7</v>
      </c>
      <c r="E79" s="41" t="s">
        <v>8</v>
      </c>
      <c r="F79" s="43" t="s">
        <v>28</v>
      </c>
      <c r="G79" s="37" t="s">
        <v>29</v>
      </c>
      <c r="H79" s="37" t="s">
        <v>8</v>
      </c>
      <c r="I79" s="37" t="s">
        <v>9</v>
      </c>
      <c r="J79" s="36">
        <v>1001</v>
      </c>
      <c r="K79" s="27">
        <f>0</f>
        <v>0</v>
      </c>
      <c r="L79" s="127">
        <f t="shared" si="5"/>
        <v>0</v>
      </c>
      <c r="M79" s="127">
        <f t="shared" si="6"/>
        <v>0</v>
      </c>
      <c r="N79" s="128"/>
      <c r="O79" s="129">
        <f t="shared" si="7"/>
        <v>0</v>
      </c>
      <c r="P79" s="128"/>
      <c r="Q79" s="128"/>
      <c r="R79" s="128"/>
      <c r="S79" s="26">
        <f t="shared" si="8"/>
        <v>0</v>
      </c>
      <c r="T79" s="25" t="str">
        <f t="shared" si="9"/>
        <v>OK</v>
      </c>
      <c r="U79" s="110"/>
      <c r="V79" s="110"/>
      <c r="W79" s="110"/>
      <c r="X79" s="22"/>
      <c r="Y79" s="24"/>
      <c r="Z79" s="24"/>
      <c r="AA79" s="24"/>
      <c r="AB79" s="22"/>
      <c r="AC79" s="22"/>
      <c r="AD79" s="22"/>
      <c r="AE79" s="22"/>
      <c r="AF79" s="22"/>
      <c r="AG79" s="22"/>
      <c r="AH79" s="22"/>
    </row>
    <row r="80" spans="1:34" ht="30.25" customHeight="1" x14ac:dyDescent="0.35">
      <c r="A80" s="199"/>
      <c r="B80" s="37">
        <v>77</v>
      </c>
      <c r="C80" s="196"/>
      <c r="D80" s="34" t="s">
        <v>12</v>
      </c>
      <c r="E80" s="41" t="s">
        <v>8</v>
      </c>
      <c r="F80" s="43" t="s">
        <v>28</v>
      </c>
      <c r="G80" s="37" t="s">
        <v>29</v>
      </c>
      <c r="H80" s="37" t="s">
        <v>34</v>
      </c>
      <c r="I80" s="37" t="s">
        <v>9</v>
      </c>
      <c r="J80" s="36">
        <v>130</v>
      </c>
      <c r="K80" s="27">
        <f>0</f>
        <v>0</v>
      </c>
      <c r="L80" s="127">
        <f t="shared" si="5"/>
        <v>0</v>
      </c>
      <c r="M80" s="127">
        <f t="shared" si="6"/>
        <v>0</v>
      </c>
      <c r="N80" s="128"/>
      <c r="O80" s="129">
        <f t="shared" si="7"/>
        <v>0</v>
      </c>
      <c r="P80" s="128"/>
      <c r="Q80" s="128"/>
      <c r="R80" s="128"/>
      <c r="S80" s="26">
        <f t="shared" si="8"/>
        <v>0</v>
      </c>
      <c r="T80" s="25" t="str">
        <f t="shared" si="9"/>
        <v>OK</v>
      </c>
      <c r="U80" s="110"/>
      <c r="V80" s="110"/>
      <c r="W80" s="110"/>
      <c r="X80" s="22"/>
      <c r="Y80" s="24"/>
      <c r="Z80" s="24"/>
      <c r="AA80" s="24"/>
      <c r="AB80" s="22"/>
      <c r="AC80" s="22"/>
      <c r="AD80" s="22"/>
      <c r="AE80" s="22"/>
      <c r="AF80" s="22"/>
      <c r="AG80" s="22"/>
      <c r="AH80" s="22"/>
    </row>
    <row r="81" spans="1:34" ht="30.25" customHeight="1" x14ac:dyDescent="0.35">
      <c r="A81" s="200"/>
      <c r="B81" s="37">
        <v>78</v>
      </c>
      <c r="C81" s="197"/>
      <c r="D81" s="34" t="s">
        <v>157</v>
      </c>
      <c r="E81" s="41" t="s">
        <v>8</v>
      </c>
      <c r="F81" s="43" t="s">
        <v>28</v>
      </c>
      <c r="G81" s="37" t="s">
        <v>29</v>
      </c>
      <c r="H81" s="37" t="s">
        <v>8</v>
      </c>
      <c r="I81" s="37" t="s">
        <v>9</v>
      </c>
      <c r="J81" s="36">
        <v>200</v>
      </c>
      <c r="K81" s="27">
        <f>0</f>
        <v>0</v>
      </c>
      <c r="L81" s="127">
        <f t="shared" si="5"/>
        <v>0</v>
      </c>
      <c r="M81" s="127">
        <f t="shared" si="6"/>
        <v>0</v>
      </c>
      <c r="N81" s="128"/>
      <c r="O81" s="129">
        <f t="shared" si="7"/>
        <v>0</v>
      </c>
      <c r="P81" s="128"/>
      <c r="Q81" s="128"/>
      <c r="R81" s="128"/>
      <c r="S81" s="26">
        <f t="shared" si="8"/>
        <v>0</v>
      </c>
      <c r="T81" s="25" t="str">
        <f t="shared" si="9"/>
        <v>OK</v>
      </c>
      <c r="U81" s="110"/>
      <c r="V81" s="110"/>
      <c r="W81" s="110"/>
      <c r="X81" s="22"/>
      <c r="Y81" s="24"/>
      <c r="Z81" s="24"/>
      <c r="AA81" s="24"/>
      <c r="AB81" s="22"/>
      <c r="AC81" s="22"/>
      <c r="AD81" s="22"/>
      <c r="AE81" s="22"/>
      <c r="AF81" s="22"/>
      <c r="AG81" s="22"/>
      <c r="AH81" s="22"/>
    </row>
    <row r="82" spans="1:34" ht="15" thickBot="1" x14ac:dyDescent="0.4">
      <c r="K82" s="4">
        <f>SUM(K4:K81)</f>
        <v>226</v>
      </c>
      <c r="N82" s="132"/>
      <c r="O82" s="132"/>
      <c r="P82" s="132"/>
      <c r="Q82" s="132"/>
      <c r="R82" s="132"/>
      <c r="S82" s="12">
        <f>SUM(S4:S81)</f>
        <v>201</v>
      </c>
      <c r="T82" s="5" t="str">
        <f t="shared" si="9"/>
        <v>OK</v>
      </c>
      <c r="U82" s="111">
        <f>SUMPRODUCT($J$4:$J$81,U4:U81)</f>
        <v>5643.02</v>
      </c>
      <c r="V82" s="111">
        <f t="shared" ref="V82:AH82" si="10">SUMPRODUCT($J$4:$J$81,V4:V81)</f>
        <v>7062.54</v>
      </c>
      <c r="W82" s="111">
        <f t="shared" si="10"/>
        <v>5210</v>
      </c>
      <c r="X82" s="111">
        <f t="shared" si="10"/>
        <v>0</v>
      </c>
      <c r="Y82" s="111">
        <f t="shared" si="10"/>
        <v>0</v>
      </c>
      <c r="Z82" s="111">
        <f t="shared" si="10"/>
        <v>0</v>
      </c>
      <c r="AA82" s="111">
        <f t="shared" si="10"/>
        <v>0</v>
      </c>
      <c r="AB82" s="111">
        <f t="shared" si="10"/>
        <v>0</v>
      </c>
      <c r="AC82" s="111">
        <f t="shared" si="10"/>
        <v>0</v>
      </c>
      <c r="AD82" s="111">
        <f t="shared" si="10"/>
        <v>0</v>
      </c>
      <c r="AE82" s="111">
        <f t="shared" si="10"/>
        <v>0</v>
      </c>
      <c r="AF82" s="111">
        <f t="shared" si="10"/>
        <v>0</v>
      </c>
      <c r="AG82" s="111">
        <f t="shared" si="10"/>
        <v>0</v>
      </c>
      <c r="AH82" s="111">
        <f t="shared" si="10"/>
        <v>0</v>
      </c>
    </row>
    <row r="83" spans="1:34" ht="14.5" x14ac:dyDescent="0.35">
      <c r="D83" s="31" t="s">
        <v>53</v>
      </c>
      <c r="K83" s="132">
        <f>SUMPRODUCT($J$4:$J$81,K4:K81)</f>
        <v>78809.81</v>
      </c>
      <c r="L83" s="132">
        <f>SUMPRODUCT($J$4:$J$81,L4:L81)</f>
        <v>17915.559999999998</v>
      </c>
      <c r="M83" s="132">
        <f>SUMPRODUCT($J$4:$J$81,M4:M81)</f>
        <v>17915.559999999998</v>
      </c>
      <c r="R83" s="126"/>
    </row>
    <row r="84" spans="1:34" ht="29" x14ac:dyDescent="0.35">
      <c r="D84" s="32" t="s">
        <v>54</v>
      </c>
      <c r="R84" s="125"/>
    </row>
    <row r="85" spans="1:34" ht="15" thickBot="1" x14ac:dyDescent="0.4">
      <c r="D85" s="33" t="s">
        <v>55</v>
      </c>
      <c r="R85" s="125"/>
    </row>
    <row r="86" spans="1:34" ht="14.5" x14ac:dyDescent="0.35"/>
    <row r="87" spans="1:34" ht="14.5" x14ac:dyDescent="0.35"/>
    <row r="88" spans="1:34" ht="14.5" x14ac:dyDescent="0.35"/>
    <row r="89" spans="1:34" ht="14.5" x14ac:dyDescent="0.35"/>
    <row r="90" spans="1:34" ht="14.5" x14ac:dyDescent="0.35"/>
    <row r="91" spans="1:34" ht="14.5" x14ac:dyDescent="0.35"/>
    <row r="92" spans="1:34" ht="14.5" x14ac:dyDescent="0.35"/>
  </sheetData>
  <autoFilter ref="A3:AH85" xr:uid="{9CE90415-06BF-4A93-B2BB-38C277FF94F0}"/>
  <mergeCells count="28">
    <mergeCell ref="A69:A78"/>
    <mergeCell ref="C69:C78"/>
    <mergeCell ref="A79:A81"/>
    <mergeCell ref="C79:C81"/>
    <mergeCell ref="A38:A48"/>
    <mergeCell ref="A49:A59"/>
    <mergeCell ref="C49:C59"/>
    <mergeCell ref="A60:A68"/>
    <mergeCell ref="C60:C68"/>
    <mergeCell ref="AD1:AD2"/>
    <mergeCell ref="AE1:AE2"/>
    <mergeCell ref="AF1:AF2"/>
    <mergeCell ref="AG1:AG2"/>
    <mergeCell ref="AH1:AH2"/>
    <mergeCell ref="AA1:AA2"/>
    <mergeCell ref="AB1:AB2"/>
    <mergeCell ref="AC1:AC2"/>
    <mergeCell ref="A1:C1"/>
    <mergeCell ref="D1:J1"/>
    <mergeCell ref="K1:T1"/>
    <mergeCell ref="U1:U2"/>
    <mergeCell ref="V1:V2"/>
    <mergeCell ref="W1:W2"/>
    <mergeCell ref="A2:J2"/>
    <mergeCell ref="K2:T2"/>
    <mergeCell ref="X1:X2"/>
    <mergeCell ref="Y1:Y2"/>
    <mergeCell ref="Z1:Z2"/>
  </mergeCells>
  <conditionalFormatting sqref="T1 T3:T1048576">
    <cfRule type="cellIs" dxfId="37" priority="4" operator="equal">
      <formula>"ATENÇÃO"</formula>
    </cfRule>
  </conditionalFormatting>
  <conditionalFormatting sqref="U4:AH81">
    <cfRule type="cellIs" dxfId="36" priority="1" operator="greaterThan">
      <formula>0</formula>
    </cfRule>
  </conditionalFormatting>
  <pageMargins left="0.511811024" right="0.511811024" top="0.78740157499999996" bottom="0.78740157499999996" header="0.31496062000000002" footer="0.31496062000000002"/>
  <pageSetup paperSize="9" scale="60" orientation="landscape" r:id="rId1"/>
  <colBreaks count="1" manualBreakCount="1">
    <brk id="24"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F47BF-B799-4033-B579-B25F38ACFE12}">
  <dimension ref="A1:AH92"/>
  <sheetViews>
    <sheetView topLeftCell="A37" zoomScale="80" zoomScaleNormal="80" workbookViewId="0">
      <selection activeCell="B39" sqref="B39:B45"/>
    </sheetView>
  </sheetViews>
  <sheetFormatPr defaultColWidth="9.7265625" defaultRowHeight="30.25" customHeight="1" x14ac:dyDescent="0.35"/>
  <cols>
    <col min="1" max="1" width="6.1796875" style="1" customWidth="1"/>
    <col min="2" max="2" width="6.453125" style="1" customWidth="1"/>
    <col min="3" max="3" width="16.453125" style="1" customWidth="1"/>
    <col min="4" max="4" width="14.453125" style="3" customWidth="1"/>
    <col min="5" max="5" width="16.1796875" style="1" customWidth="1"/>
    <col min="6" max="6" width="3.26953125" style="1" customWidth="1"/>
    <col min="7" max="7" width="3.1796875" style="1" customWidth="1"/>
    <col min="8" max="8" width="8.26953125" style="1" customWidth="1"/>
    <col min="9" max="9" width="12.7265625" style="1" customWidth="1"/>
    <col min="10" max="10" width="14.1796875" style="3" customWidth="1"/>
    <col min="11" max="11" width="13.7265625" style="4" bestFit="1" customWidth="1"/>
    <col min="12" max="12" width="17.1796875" style="4" bestFit="1" customWidth="1"/>
    <col min="13" max="13" width="15.81640625" style="4" bestFit="1" customWidth="1"/>
    <col min="14" max="14" width="12.453125" style="4" customWidth="1"/>
    <col min="15" max="15" width="11.1796875" style="4" customWidth="1"/>
    <col min="16" max="17" width="12.453125" style="4" customWidth="1"/>
    <col min="18" max="18" width="16.453125" style="4" bestFit="1" customWidth="1"/>
    <col min="19" max="19" width="13.26953125" style="12" customWidth="1"/>
    <col min="20" max="20" width="12.453125" style="5" customWidth="1"/>
    <col min="21" max="21" width="13.453125" style="6" customWidth="1"/>
    <col min="22" max="22" width="13" style="6" customWidth="1"/>
    <col min="23" max="23" width="13.453125" style="6" customWidth="1"/>
    <col min="24" max="25" width="14.1796875" style="6" customWidth="1"/>
    <col min="26" max="26" width="15.7265625" style="6" customWidth="1"/>
    <col min="27" max="27" width="13.26953125" style="6" customWidth="1"/>
    <col min="28" max="28" width="12.7265625" style="6" customWidth="1"/>
    <col min="29" max="29" width="12" style="6" customWidth="1"/>
    <col min="30" max="30" width="12.7265625" style="6" customWidth="1"/>
    <col min="31" max="31" width="13.81640625" style="6" customWidth="1"/>
    <col min="32" max="32" width="13.453125" style="6" customWidth="1"/>
    <col min="33" max="33" width="12.453125" style="2" customWidth="1"/>
    <col min="34" max="34" width="13.7265625" style="2" customWidth="1"/>
    <col min="35" max="16384" width="9.7265625" style="2"/>
  </cols>
  <sheetData>
    <row r="1" spans="1:34" ht="40.15" customHeight="1" x14ac:dyDescent="0.35">
      <c r="A1" s="202" t="s">
        <v>52</v>
      </c>
      <c r="B1" s="203"/>
      <c r="C1" s="204"/>
      <c r="D1" s="211" t="s">
        <v>48</v>
      </c>
      <c r="E1" s="212"/>
      <c r="F1" s="212"/>
      <c r="G1" s="212"/>
      <c r="H1" s="212"/>
      <c r="I1" s="212"/>
      <c r="J1" s="213"/>
      <c r="K1" s="201" t="s">
        <v>49</v>
      </c>
      <c r="L1" s="201"/>
      <c r="M1" s="201"/>
      <c r="N1" s="201"/>
      <c r="O1" s="201"/>
      <c r="P1" s="201"/>
      <c r="Q1" s="201"/>
      <c r="R1" s="201"/>
      <c r="S1" s="201"/>
      <c r="T1" s="201"/>
      <c r="U1" s="219" t="s">
        <v>234</v>
      </c>
      <c r="V1" s="219" t="s">
        <v>235</v>
      </c>
      <c r="W1" s="175" t="s">
        <v>236</v>
      </c>
      <c r="X1" s="175" t="s">
        <v>238</v>
      </c>
      <c r="Y1" s="175" t="s">
        <v>240</v>
      </c>
      <c r="Z1" s="175" t="s">
        <v>242</v>
      </c>
      <c r="AA1" s="217" t="s">
        <v>51</v>
      </c>
      <c r="AB1" s="217" t="s">
        <v>51</v>
      </c>
      <c r="AC1" s="217" t="s">
        <v>51</v>
      </c>
      <c r="AD1" s="217" t="s">
        <v>51</v>
      </c>
      <c r="AE1" s="217" t="s">
        <v>51</v>
      </c>
      <c r="AF1" s="217" t="s">
        <v>51</v>
      </c>
      <c r="AG1" s="217" t="s">
        <v>51</v>
      </c>
      <c r="AH1" s="217" t="s">
        <v>51</v>
      </c>
    </row>
    <row r="2" spans="1:34" ht="25" customHeight="1" x14ac:dyDescent="0.35">
      <c r="A2" s="211" t="s">
        <v>37</v>
      </c>
      <c r="B2" s="212"/>
      <c r="C2" s="212"/>
      <c r="D2" s="212"/>
      <c r="E2" s="212"/>
      <c r="F2" s="212"/>
      <c r="G2" s="212"/>
      <c r="H2" s="212"/>
      <c r="I2" s="212"/>
      <c r="J2" s="213"/>
      <c r="K2" s="214" t="s">
        <v>62</v>
      </c>
      <c r="L2" s="215"/>
      <c r="M2" s="215"/>
      <c r="N2" s="215"/>
      <c r="O2" s="215"/>
      <c r="P2" s="215"/>
      <c r="Q2" s="215"/>
      <c r="R2" s="215"/>
      <c r="S2" s="215"/>
      <c r="T2" s="216"/>
      <c r="U2" s="220"/>
      <c r="V2" s="220"/>
      <c r="W2" s="176" t="s">
        <v>237</v>
      </c>
      <c r="X2" s="176" t="s">
        <v>239</v>
      </c>
      <c r="Y2" s="176" t="s">
        <v>241</v>
      </c>
      <c r="Z2" s="176" t="s">
        <v>243</v>
      </c>
      <c r="AA2" s="218"/>
      <c r="AB2" s="218"/>
      <c r="AC2" s="218"/>
      <c r="AD2" s="218"/>
      <c r="AE2" s="218"/>
      <c r="AF2" s="218"/>
      <c r="AG2" s="218"/>
      <c r="AH2" s="218"/>
    </row>
    <row r="3" spans="1:34" s="3" customFormat="1" ht="39.65" customHeight="1" x14ac:dyDescent="0.25">
      <c r="A3" s="7" t="s">
        <v>3</v>
      </c>
      <c r="B3" s="7" t="s">
        <v>56</v>
      </c>
      <c r="C3" s="7" t="s">
        <v>57</v>
      </c>
      <c r="D3" s="8" t="s">
        <v>58</v>
      </c>
      <c r="E3" s="8" t="s">
        <v>59</v>
      </c>
      <c r="F3" s="8" t="s">
        <v>18</v>
      </c>
      <c r="G3" s="8" t="s">
        <v>19</v>
      </c>
      <c r="H3" s="8" t="s">
        <v>60</v>
      </c>
      <c r="I3" s="8" t="s">
        <v>61</v>
      </c>
      <c r="J3" s="9" t="s">
        <v>50</v>
      </c>
      <c r="K3" s="10" t="s">
        <v>4</v>
      </c>
      <c r="L3" s="52" t="s">
        <v>207</v>
      </c>
      <c r="M3" s="52" t="s">
        <v>208</v>
      </c>
      <c r="N3" s="52" t="s">
        <v>209</v>
      </c>
      <c r="O3" s="52" t="s">
        <v>210</v>
      </c>
      <c r="P3" s="52" t="s">
        <v>211</v>
      </c>
      <c r="Q3" s="52" t="s">
        <v>213</v>
      </c>
      <c r="R3" s="52" t="s">
        <v>214</v>
      </c>
      <c r="S3" s="11" t="s">
        <v>0</v>
      </c>
      <c r="T3" s="7" t="s">
        <v>2</v>
      </c>
      <c r="U3" s="58">
        <v>45447</v>
      </c>
      <c r="V3" s="58">
        <v>45519</v>
      </c>
      <c r="W3" s="182">
        <v>45596</v>
      </c>
      <c r="X3" s="182">
        <v>45596</v>
      </c>
      <c r="Y3" s="182">
        <v>45596</v>
      </c>
      <c r="Z3" s="182">
        <v>45596</v>
      </c>
      <c r="AA3" s="23" t="s">
        <v>1</v>
      </c>
      <c r="AB3" s="23" t="s">
        <v>1</v>
      </c>
      <c r="AC3" s="23" t="s">
        <v>1</v>
      </c>
      <c r="AD3" s="23" t="s">
        <v>1</v>
      </c>
      <c r="AE3" s="23" t="s">
        <v>1</v>
      </c>
      <c r="AF3" s="23" t="s">
        <v>1</v>
      </c>
      <c r="AG3" s="23" t="s">
        <v>1</v>
      </c>
      <c r="AH3" s="23" t="s">
        <v>1</v>
      </c>
    </row>
    <row r="4" spans="1:34" ht="30.25" customHeight="1" x14ac:dyDescent="0.35">
      <c r="A4" s="37">
        <v>1</v>
      </c>
      <c r="B4" s="37">
        <v>1</v>
      </c>
      <c r="C4" s="35" t="s">
        <v>63</v>
      </c>
      <c r="D4" s="34" t="s">
        <v>64</v>
      </c>
      <c r="E4" s="35" t="s">
        <v>65</v>
      </c>
      <c r="F4" s="35" t="s">
        <v>20</v>
      </c>
      <c r="G4" s="35" t="s">
        <v>66</v>
      </c>
      <c r="H4" s="35" t="s">
        <v>5</v>
      </c>
      <c r="I4" s="35" t="s">
        <v>6</v>
      </c>
      <c r="J4" s="36">
        <v>1670</v>
      </c>
      <c r="K4" s="27">
        <f>18</f>
        <v>18</v>
      </c>
      <c r="L4" s="127">
        <f>IF(SUM(U4:AL4)&gt;K4+N4,K4+N4,SUM(U4:AL4))</f>
        <v>0</v>
      </c>
      <c r="M4" s="127">
        <f>(SUM(U4:AL4))</f>
        <v>0</v>
      </c>
      <c r="N4" s="128"/>
      <c r="O4" s="129">
        <f>ROUND(IF(K4*0.25-0.5&lt;0,0,K4*0.25-0.5),0)-R4-P4</f>
        <v>4</v>
      </c>
      <c r="P4" s="128"/>
      <c r="Q4" s="128"/>
      <c r="R4" s="128"/>
      <c r="S4" s="26">
        <f>K4-SUM(U4:AH4)+N4</f>
        <v>18</v>
      </c>
      <c r="T4" s="25" t="str">
        <f>IF(S4&lt;0,"ATENÇÃO","OK")</f>
        <v>OK</v>
      </c>
      <c r="U4" s="22"/>
      <c r="V4" s="22"/>
      <c r="W4" s="22"/>
      <c r="X4" s="22"/>
      <c r="Y4" s="24"/>
      <c r="Z4" s="24"/>
      <c r="AA4" s="24"/>
      <c r="AB4" s="22"/>
      <c r="AC4" s="22"/>
      <c r="AD4" s="22"/>
      <c r="AE4" s="22"/>
      <c r="AF4" s="22"/>
      <c r="AG4" s="22"/>
      <c r="AH4" s="22"/>
    </row>
    <row r="5" spans="1:34" ht="30.25" customHeight="1" x14ac:dyDescent="0.35">
      <c r="A5" s="44">
        <v>2</v>
      </c>
      <c r="B5" s="44">
        <v>2</v>
      </c>
      <c r="C5" s="45" t="s">
        <v>67</v>
      </c>
      <c r="D5" s="46" t="s">
        <v>68</v>
      </c>
      <c r="E5" s="45" t="s">
        <v>69</v>
      </c>
      <c r="F5" s="45" t="s">
        <v>20</v>
      </c>
      <c r="G5" s="45" t="s">
        <v>66</v>
      </c>
      <c r="H5" s="45" t="s">
        <v>5</v>
      </c>
      <c r="I5" s="45" t="s">
        <v>6</v>
      </c>
      <c r="J5" s="47">
        <v>1651.67</v>
      </c>
      <c r="K5" s="27">
        <f>0</f>
        <v>0</v>
      </c>
      <c r="L5" s="127">
        <f t="shared" ref="L5:L68" si="0">IF(SUM(U5:AL5)&gt;K5+N5,K5+N5,SUM(U5:AL5))</f>
        <v>0</v>
      </c>
      <c r="M5" s="127">
        <f t="shared" ref="M5:M68" si="1">(SUM(U5:AL5))</f>
        <v>0</v>
      </c>
      <c r="N5" s="128"/>
      <c r="O5" s="129">
        <f t="shared" ref="O5:O68" si="2">ROUND(IF(K5*0.25-0.5&lt;0,0,K5*0.25-0.5),0)-R5-P5</f>
        <v>0</v>
      </c>
      <c r="P5" s="128"/>
      <c r="Q5" s="128"/>
      <c r="R5" s="128"/>
      <c r="S5" s="26">
        <f t="shared" ref="S5:S68" si="3">K5-SUM(U5:AH5)+N5</f>
        <v>0</v>
      </c>
      <c r="T5" s="25" t="str">
        <f t="shared" ref="T5:T68" si="4">IF(S5&lt;0,"ATENÇÃO","OK")</f>
        <v>OK</v>
      </c>
      <c r="U5" s="22"/>
      <c r="V5" s="22"/>
      <c r="W5" s="22"/>
      <c r="X5" s="22"/>
      <c r="Y5" s="24"/>
      <c r="Z5" s="24"/>
      <c r="AA5" s="24"/>
      <c r="AB5" s="22"/>
      <c r="AC5" s="22"/>
      <c r="AD5" s="22"/>
      <c r="AE5" s="22"/>
      <c r="AF5" s="22"/>
      <c r="AG5" s="22"/>
      <c r="AH5" s="22"/>
    </row>
    <row r="6" spans="1:34" ht="30.25" customHeight="1" x14ac:dyDescent="0.35">
      <c r="A6" s="37">
        <v>3</v>
      </c>
      <c r="B6" s="37">
        <v>3</v>
      </c>
      <c r="C6" s="35" t="s">
        <v>63</v>
      </c>
      <c r="D6" s="34" t="s">
        <v>70</v>
      </c>
      <c r="E6" s="35" t="s">
        <v>71</v>
      </c>
      <c r="F6" s="35" t="s">
        <v>20</v>
      </c>
      <c r="G6" s="35" t="s">
        <v>72</v>
      </c>
      <c r="H6" s="35" t="s">
        <v>5</v>
      </c>
      <c r="I6" s="35" t="s">
        <v>6</v>
      </c>
      <c r="J6" s="36">
        <v>1802</v>
      </c>
      <c r="K6" s="27">
        <f>15</f>
        <v>15</v>
      </c>
      <c r="L6" s="127">
        <f t="shared" si="0"/>
        <v>2</v>
      </c>
      <c r="M6" s="127">
        <f t="shared" si="1"/>
        <v>2</v>
      </c>
      <c r="N6" s="128"/>
      <c r="O6" s="129">
        <f t="shared" si="2"/>
        <v>3</v>
      </c>
      <c r="P6" s="128"/>
      <c r="Q6" s="128"/>
      <c r="R6" s="128"/>
      <c r="S6" s="26">
        <f t="shared" si="3"/>
        <v>13</v>
      </c>
      <c r="T6" s="25" t="str">
        <f t="shared" si="4"/>
        <v>OK</v>
      </c>
      <c r="U6" s="22"/>
      <c r="V6" s="22"/>
      <c r="W6" s="22">
        <v>2</v>
      </c>
      <c r="X6" s="22"/>
      <c r="Y6" s="24"/>
      <c r="Z6" s="24"/>
      <c r="AA6" s="24"/>
      <c r="AB6" s="22"/>
      <c r="AC6" s="22"/>
      <c r="AD6" s="22"/>
      <c r="AE6" s="22"/>
      <c r="AF6" s="22"/>
      <c r="AG6" s="22"/>
      <c r="AH6" s="22"/>
    </row>
    <row r="7" spans="1:34" ht="30.25" customHeight="1" x14ac:dyDescent="0.35">
      <c r="A7" s="44">
        <v>4</v>
      </c>
      <c r="B7" s="44">
        <v>4</v>
      </c>
      <c r="C7" s="45" t="s">
        <v>67</v>
      </c>
      <c r="D7" s="46" t="s">
        <v>73</v>
      </c>
      <c r="E7" s="45" t="s">
        <v>74</v>
      </c>
      <c r="F7" s="45" t="s">
        <v>20</v>
      </c>
      <c r="G7" s="45" t="s">
        <v>75</v>
      </c>
      <c r="H7" s="45" t="s">
        <v>5</v>
      </c>
      <c r="I7" s="45" t="s">
        <v>6</v>
      </c>
      <c r="J7" s="47">
        <v>1800</v>
      </c>
      <c r="K7" s="27">
        <f>0</f>
        <v>0</v>
      </c>
      <c r="L7" s="127">
        <f t="shared" si="0"/>
        <v>0</v>
      </c>
      <c r="M7" s="127">
        <f t="shared" si="1"/>
        <v>0</v>
      </c>
      <c r="N7" s="128"/>
      <c r="O7" s="129">
        <f t="shared" si="2"/>
        <v>0</v>
      </c>
      <c r="P7" s="128"/>
      <c r="Q7" s="128"/>
      <c r="R7" s="128"/>
      <c r="S7" s="26">
        <f t="shared" si="3"/>
        <v>0</v>
      </c>
      <c r="T7" s="25" t="str">
        <f t="shared" si="4"/>
        <v>OK</v>
      </c>
      <c r="U7" s="22"/>
      <c r="V7" s="22"/>
      <c r="W7" s="22"/>
      <c r="X7" s="22"/>
      <c r="Y7" s="24"/>
      <c r="Z7" s="24"/>
      <c r="AA7" s="24"/>
      <c r="AB7" s="22"/>
      <c r="AC7" s="22"/>
      <c r="AD7" s="22"/>
      <c r="AE7" s="22"/>
      <c r="AF7" s="22"/>
      <c r="AG7" s="22"/>
      <c r="AH7" s="22"/>
    </row>
    <row r="8" spans="1:34" ht="30.25" customHeight="1" x14ac:dyDescent="0.35">
      <c r="A8" s="37">
        <v>5</v>
      </c>
      <c r="B8" s="37">
        <v>5</v>
      </c>
      <c r="C8" s="35" t="s">
        <v>63</v>
      </c>
      <c r="D8" s="34" t="s">
        <v>76</v>
      </c>
      <c r="E8" s="35" t="s">
        <v>77</v>
      </c>
      <c r="F8" s="35" t="s">
        <v>20</v>
      </c>
      <c r="G8" s="35" t="s">
        <v>78</v>
      </c>
      <c r="H8" s="35" t="s">
        <v>5</v>
      </c>
      <c r="I8" s="35" t="s">
        <v>6</v>
      </c>
      <c r="J8" s="36">
        <v>2686</v>
      </c>
      <c r="K8" s="27">
        <f>12</f>
        <v>12</v>
      </c>
      <c r="L8" s="127">
        <f t="shared" si="0"/>
        <v>7</v>
      </c>
      <c r="M8" s="127">
        <f t="shared" si="1"/>
        <v>7</v>
      </c>
      <c r="N8" s="128"/>
      <c r="O8" s="129">
        <f t="shared" si="2"/>
        <v>3</v>
      </c>
      <c r="P8" s="128"/>
      <c r="Q8" s="128"/>
      <c r="R8" s="128"/>
      <c r="S8" s="26">
        <f t="shared" si="3"/>
        <v>5</v>
      </c>
      <c r="T8" s="25" t="str">
        <f t="shared" si="4"/>
        <v>OK</v>
      </c>
      <c r="U8" s="22"/>
      <c r="V8" s="22"/>
      <c r="W8" s="22">
        <v>7</v>
      </c>
      <c r="X8" s="22"/>
      <c r="Y8" s="24"/>
      <c r="Z8" s="24"/>
      <c r="AA8" s="24"/>
      <c r="AB8" s="22"/>
      <c r="AC8" s="22"/>
      <c r="AD8" s="22"/>
      <c r="AE8" s="22"/>
      <c r="AF8" s="22"/>
      <c r="AG8" s="22"/>
      <c r="AH8" s="22"/>
    </row>
    <row r="9" spans="1:34" ht="57.75" customHeight="1" x14ac:dyDescent="0.35">
      <c r="A9" s="80">
        <v>6</v>
      </c>
      <c r="B9" s="80">
        <v>6</v>
      </c>
      <c r="C9" s="81" t="s">
        <v>67</v>
      </c>
      <c r="D9" s="82" t="s">
        <v>79</v>
      </c>
      <c r="E9" s="87" t="s">
        <v>182</v>
      </c>
      <c r="F9" s="81" t="s">
        <v>20</v>
      </c>
      <c r="G9" s="81" t="s">
        <v>21</v>
      </c>
      <c r="H9" s="81" t="s">
        <v>5</v>
      </c>
      <c r="I9" s="81" t="s">
        <v>6</v>
      </c>
      <c r="J9" s="83">
        <v>2821.51</v>
      </c>
      <c r="K9" s="27">
        <f>0</f>
        <v>0</v>
      </c>
      <c r="L9" s="127">
        <f t="shared" si="0"/>
        <v>0</v>
      </c>
      <c r="M9" s="127">
        <f t="shared" si="1"/>
        <v>0</v>
      </c>
      <c r="N9" s="128"/>
      <c r="O9" s="129">
        <f t="shared" si="2"/>
        <v>0</v>
      </c>
      <c r="P9" s="128"/>
      <c r="Q9" s="128"/>
      <c r="R9" s="128"/>
      <c r="S9" s="26">
        <f t="shared" si="3"/>
        <v>0</v>
      </c>
      <c r="T9" s="25" t="str">
        <f t="shared" si="4"/>
        <v>OK</v>
      </c>
      <c r="U9" s="22"/>
      <c r="V9" s="22"/>
      <c r="W9" s="22"/>
      <c r="X9" s="22"/>
      <c r="Y9" s="24"/>
      <c r="Z9" s="24"/>
      <c r="AA9" s="24"/>
      <c r="AB9" s="22"/>
      <c r="AC9" s="22"/>
      <c r="AD9" s="22"/>
      <c r="AE9" s="22"/>
      <c r="AF9" s="22"/>
      <c r="AG9" s="22"/>
      <c r="AH9" s="22"/>
    </row>
    <row r="10" spans="1:34" ht="30.25" customHeight="1" x14ac:dyDescent="0.35">
      <c r="A10" s="37">
        <v>7</v>
      </c>
      <c r="B10" s="37">
        <v>7</v>
      </c>
      <c r="C10" s="35" t="s">
        <v>63</v>
      </c>
      <c r="D10" s="34" t="s">
        <v>80</v>
      </c>
      <c r="E10" s="35" t="s">
        <v>81</v>
      </c>
      <c r="F10" s="35" t="s">
        <v>20</v>
      </c>
      <c r="G10" s="35" t="s">
        <v>21</v>
      </c>
      <c r="H10" s="35" t="s">
        <v>5</v>
      </c>
      <c r="I10" s="35" t="s">
        <v>6</v>
      </c>
      <c r="J10" s="36">
        <v>7446</v>
      </c>
      <c r="K10" s="27">
        <f>3</f>
        <v>3</v>
      </c>
      <c r="L10" s="127">
        <f t="shared" si="0"/>
        <v>0</v>
      </c>
      <c r="M10" s="127">
        <f t="shared" si="1"/>
        <v>0</v>
      </c>
      <c r="N10" s="128"/>
      <c r="O10" s="129">
        <f t="shared" si="2"/>
        <v>0</v>
      </c>
      <c r="P10" s="128"/>
      <c r="Q10" s="128"/>
      <c r="R10" s="128"/>
      <c r="S10" s="26">
        <f t="shared" si="3"/>
        <v>3</v>
      </c>
      <c r="T10" s="25" t="str">
        <f t="shared" si="4"/>
        <v>OK</v>
      </c>
      <c r="U10" s="22"/>
      <c r="V10" s="22"/>
      <c r="W10" s="22"/>
      <c r="X10" s="22"/>
      <c r="Y10" s="24"/>
      <c r="Z10" s="24"/>
      <c r="AA10" s="24"/>
      <c r="AB10" s="22"/>
      <c r="AC10" s="22"/>
      <c r="AD10" s="22"/>
      <c r="AE10" s="22"/>
      <c r="AF10" s="22"/>
      <c r="AG10" s="22"/>
      <c r="AH10" s="22"/>
    </row>
    <row r="11" spans="1:34" ht="30.25" customHeight="1" x14ac:dyDescent="0.35">
      <c r="A11" s="44">
        <v>8</v>
      </c>
      <c r="B11" s="44">
        <v>8</v>
      </c>
      <c r="C11" s="45" t="s">
        <v>63</v>
      </c>
      <c r="D11" s="46" t="s">
        <v>82</v>
      </c>
      <c r="E11" s="45" t="s">
        <v>81</v>
      </c>
      <c r="F11" s="45" t="s">
        <v>20</v>
      </c>
      <c r="G11" s="45" t="s">
        <v>21</v>
      </c>
      <c r="H11" s="45" t="s">
        <v>5</v>
      </c>
      <c r="I11" s="45" t="s">
        <v>6</v>
      </c>
      <c r="J11" s="47">
        <v>7375</v>
      </c>
      <c r="K11" s="27">
        <f>0</f>
        <v>0</v>
      </c>
      <c r="L11" s="127">
        <f t="shared" si="0"/>
        <v>0</v>
      </c>
      <c r="M11" s="127">
        <f t="shared" si="1"/>
        <v>0</v>
      </c>
      <c r="N11" s="128"/>
      <c r="O11" s="129">
        <f t="shared" si="2"/>
        <v>0</v>
      </c>
      <c r="P11" s="128"/>
      <c r="Q11" s="128"/>
      <c r="R11" s="128"/>
      <c r="S11" s="26">
        <f t="shared" si="3"/>
        <v>0</v>
      </c>
      <c r="T11" s="25" t="str">
        <f t="shared" si="4"/>
        <v>OK</v>
      </c>
      <c r="U11" s="22"/>
      <c r="V11" s="22"/>
      <c r="W11" s="22"/>
      <c r="X11" s="22"/>
      <c r="Y11" s="24"/>
      <c r="Z11" s="24"/>
      <c r="AA11" s="24"/>
      <c r="AB11" s="22"/>
      <c r="AC11" s="22"/>
      <c r="AD11" s="22"/>
      <c r="AE11" s="22"/>
      <c r="AF11" s="22"/>
      <c r="AG11" s="22"/>
      <c r="AH11" s="22"/>
    </row>
    <row r="12" spans="1:34" ht="30.25" customHeight="1" x14ac:dyDescent="0.35">
      <c r="A12" s="37">
        <v>9</v>
      </c>
      <c r="B12" s="37">
        <v>9</v>
      </c>
      <c r="C12" s="35" t="s">
        <v>83</v>
      </c>
      <c r="D12" s="34" t="s">
        <v>84</v>
      </c>
      <c r="E12" s="35" t="s">
        <v>85</v>
      </c>
      <c r="F12" s="35" t="s">
        <v>20</v>
      </c>
      <c r="G12" s="35" t="s">
        <v>22</v>
      </c>
      <c r="H12" s="35" t="s">
        <v>5</v>
      </c>
      <c r="I12" s="35" t="s">
        <v>6</v>
      </c>
      <c r="J12" s="36">
        <v>6213.51</v>
      </c>
      <c r="K12" s="27">
        <f>10</f>
        <v>10</v>
      </c>
      <c r="L12" s="127">
        <f t="shared" si="0"/>
        <v>0</v>
      </c>
      <c r="M12" s="127">
        <f t="shared" si="1"/>
        <v>0</v>
      </c>
      <c r="N12" s="128"/>
      <c r="O12" s="129">
        <f t="shared" si="2"/>
        <v>2</v>
      </c>
      <c r="P12" s="128"/>
      <c r="Q12" s="128"/>
      <c r="R12" s="128"/>
      <c r="S12" s="26">
        <f t="shared" si="3"/>
        <v>10</v>
      </c>
      <c r="T12" s="25" t="str">
        <f t="shared" si="4"/>
        <v>OK</v>
      </c>
      <c r="U12" s="22"/>
      <c r="V12" s="22"/>
      <c r="W12" s="22"/>
      <c r="X12" s="22"/>
      <c r="Y12" s="28"/>
      <c r="Z12" s="24"/>
      <c r="AA12" s="24"/>
      <c r="AB12" s="22"/>
      <c r="AC12" s="22"/>
      <c r="AD12" s="22"/>
      <c r="AE12" s="22"/>
      <c r="AF12" s="22"/>
      <c r="AG12" s="22"/>
      <c r="AH12" s="22"/>
    </row>
    <row r="13" spans="1:34" ht="30.25" customHeight="1" x14ac:dyDescent="0.35">
      <c r="A13" s="44">
        <v>10</v>
      </c>
      <c r="B13" s="44">
        <v>10</v>
      </c>
      <c r="C13" s="45" t="s">
        <v>63</v>
      </c>
      <c r="D13" s="46" t="s">
        <v>86</v>
      </c>
      <c r="E13" s="45" t="s">
        <v>87</v>
      </c>
      <c r="F13" s="45" t="s">
        <v>20</v>
      </c>
      <c r="G13" s="45" t="s">
        <v>22</v>
      </c>
      <c r="H13" s="45" t="s">
        <v>5</v>
      </c>
      <c r="I13" s="45" t="s">
        <v>6</v>
      </c>
      <c r="J13" s="47">
        <v>6689.61</v>
      </c>
      <c r="K13" s="27">
        <f>0</f>
        <v>0</v>
      </c>
      <c r="L13" s="127">
        <f t="shared" si="0"/>
        <v>0</v>
      </c>
      <c r="M13" s="127">
        <f t="shared" si="1"/>
        <v>0</v>
      </c>
      <c r="N13" s="128"/>
      <c r="O13" s="129">
        <f t="shared" si="2"/>
        <v>0</v>
      </c>
      <c r="P13" s="128"/>
      <c r="Q13" s="128"/>
      <c r="R13" s="128"/>
      <c r="S13" s="26">
        <f t="shared" si="3"/>
        <v>0</v>
      </c>
      <c r="T13" s="25" t="str">
        <f t="shared" si="4"/>
        <v>OK</v>
      </c>
      <c r="U13" s="22"/>
      <c r="V13" s="22"/>
      <c r="W13" s="22"/>
      <c r="X13" s="22"/>
      <c r="Y13" s="24"/>
      <c r="Z13" s="24"/>
      <c r="AA13" s="24"/>
      <c r="AB13" s="22"/>
      <c r="AC13" s="22"/>
      <c r="AD13" s="22"/>
      <c r="AE13" s="22"/>
      <c r="AF13" s="22"/>
      <c r="AG13" s="22"/>
      <c r="AH13" s="22"/>
    </row>
    <row r="14" spans="1:34" ht="30.25" customHeight="1" x14ac:dyDescent="0.35">
      <c r="A14" s="37">
        <v>11</v>
      </c>
      <c r="B14" s="37">
        <v>11</v>
      </c>
      <c r="C14" s="35" t="s">
        <v>83</v>
      </c>
      <c r="D14" s="34" t="s">
        <v>88</v>
      </c>
      <c r="E14" s="35" t="s">
        <v>89</v>
      </c>
      <c r="F14" s="37" t="s">
        <v>20</v>
      </c>
      <c r="G14" s="35" t="s">
        <v>22</v>
      </c>
      <c r="H14" s="37" t="s">
        <v>5</v>
      </c>
      <c r="I14" s="35" t="s">
        <v>6</v>
      </c>
      <c r="J14" s="36">
        <v>3445.06</v>
      </c>
      <c r="K14" s="27">
        <f>12</f>
        <v>12</v>
      </c>
      <c r="L14" s="127">
        <f t="shared" si="0"/>
        <v>12</v>
      </c>
      <c r="M14" s="127">
        <f t="shared" si="1"/>
        <v>12</v>
      </c>
      <c r="N14" s="128"/>
      <c r="O14" s="129">
        <f t="shared" si="2"/>
        <v>3</v>
      </c>
      <c r="P14" s="128"/>
      <c r="Q14" s="128"/>
      <c r="R14" s="128"/>
      <c r="S14" s="26">
        <f t="shared" si="3"/>
        <v>0</v>
      </c>
      <c r="T14" s="25" t="str">
        <f t="shared" si="4"/>
        <v>OK</v>
      </c>
      <c r="U14" s="22"/>
      <c r="V14" s="22"/>
      <c r="W14" s="22"/>
      <c r="X14" s="22">
        <v>12</v>
      </c>
      <c r="Y14" s="24"/>
      <c r="Z14" s="24"/>
      <c r="AA14" s="24"/>
      <c r="AB14" s="22"/>
      <c r="AC14" s="22"/>
      <c r="AD14" s="22"/>
      <c r="AE14" s="22"/>
      <c r="AF14" s="22"/>
      <c r="AG14" s="22"/>
      <c r="AH14" s="22"/>
    </row>
    <row r="15" spans="1:34" ht="30.25" customHeight="1" x14ac:dyDescent="0.35">
      <c r="A15" s="44">
        <v>12</v>
      </c>
      <c r="B15" s="44">
        <v>12</v>
      </c>
      <c r="C15" s="45" t="s">
        <v>83</v>
      </c>
      <c r="D15" s="46" t="s">
        <v>90</v>
      </c>
      <c r="E15" s="45" t="s">
        <v>91</v>
      </c>
      <c r="F15" s="44" t="s">
        <v>20</v>
      </c>
      <c r="G15" s="44" t="s">
        <v>22</v>
      </c>
      <c r="H15" s="44" t="s">
        <v>5</v>
      </c>
      <c r="I15" s="45" t="s">
        <v>6</v>
      </c>
      <c r="J15" s="47">
        <v>3617.48</v>
      </c>
      <c r="K15" s="27">
        <f>0</f>
        <v>0</v>
      </c>
      <c r="L15" s="127">
        <f t="shared" si="0"/>
        <v>0</v>
      </c>
      <c r="M15" s="127">
        <f t="shared" si="1"/>
        <v>0</v>
      </c>
      <c r="N15" s="128"/>
      <c r="O15" s="129">
        <f t="shared" si="2"/>
        <v>0</v>
      </c>
      <c r="P15" s="128"/>
      <c r="Q15" s="128"/>
      <c r="R15" s="128"/>
      <c r="S15" s="26">
        <f t="shared" si="3"/>
        <v>0</v>
      </c>
      <c r="T15" s="25" t="str">
        <f t="shared" si="4"/>
        <v>OK</v>
      </c>
      <c r="U15" s="22"/>
      <c r="V15" s="22"/>
      <c r="W15" s="22"/>
      <c r="X15" s="22"/>
      <c r="Y15" s="24"/>
      <c r="Z15" s="24"/>
      <c r="AA15" s="24"/>
      <c r="AB15" s="22"/>
      <c r="AC15" s="22"/>
      <c r="AD15" s="22"/>
      <c r="AE15" s="22"/>
      <c r="AF15" s="22"/>
      <c r="AG15" s="22"/>
      <c r="AH15" s="22"/>
    </row>
    <row r="16" spans="1:34" ht="30.25" customHeight="1" x14ac:dyDescent="0.35">
      <c r="A16" s="37">
        <v>13</v>
      </c>
      <c r="B16" s="37">
        <v>13</v>
      </c>
      <c r="C16" s="35" t="s">
        <v>92</v>
      </c>
      <c r="D16" s="34" t="s">
        <v>93</v>
      </c>
      <c r="E16" s="35" t="s">
        <v>94</v>
      </c>
      <c r="F16" s="37" t="s">
        <v>20</v>
      </c>
      <c r="G16" s="37" t="s">
        <v>22</v>
      </c>
      <c r="H16" s="37" t="s">
        <v>5</v>
      </c>
      <c r="I16" s="35" t="s">
        <v>6</v>
      </c>
      <c r="J16" s="36">
        <v>7453.33</v>
      </c>
      <c r="K16" s="27">
        <f>3</f>
        <v>3</v>
      </c>
      <c r="L16" s="127">
        <f t="shared" si="0"/>
        <v>0</v>
      </c>
      <c r="M16" s="127">
        <f t="shared" si="1"/>
        <v>0</v>
      </c>
      <c r="N16" s="128"/>
      <c r="O16" s="129">
        <f t="shared" si="2"/>
        <v>0</v>
      </c>
      <c r="P16" s="128"/>
      <c r="Q16" s="128"/>
      <c r="R16" s="128"/>
      <c r="S16" s="26">
        <f t="shared" si="3"/>
        <v>3</v>
      </c>
      <c r="T16" s="25" t="str">
        <f t="shared" si="4"/>
        <v>OK</v>
      </c>
      <c r="U16" s="22"/>
      <c r="V16" s="22"/>
      <c r="W16" s="22"/>
      <c r="X16" s="22"/>
      <c r="Y16" s="24"/>
      <c r="Z16" s="24"/>
      <c r="AA16" s="24"/>
      <c r="AB16" s="22"/>
      <c r="AC16" s="22"/>
      <c r="AD16" s="22"/>
      <c r="AE16" s="22"/>
      <c r="AF16" s="22"/>
      <c r="AG16" s="22"/>
      <c r="AH16" s="22"/>
    </row>
    <row r="17" spans="1:34" ht="30.25" customHeight="1" x14ac:dyDescent="0.35">
      <c r="A17" s="44">
        <v>14</v>
      </c>
      <c r="B17" s="44">
        <v>14</v>
      </c>
      <c r="C17" s="45" t="s">
        <v>92</v>
      </c>
      <c r="D17" s="46" t="s">
        <v>95</v>
      </c>
      <c r="E17" s="45" t="s">
        <v>94</v>
      </c>
      <c r="F17" s="45" t="s">
        <v>20</v>
      </c>
      <c r="G17" s="45" t="s">
        <v>22</v>
      </c>
      <c r="H17" s="45" t="s">
        <v>5</v>
      </c>
      <c r="I17" s="45" t="s">
        <v>6</v>
      </c>
      <c r="J17" s="47">
        <v>9561.2000000000007</v>
      </c>
      <c r="K17" s="27">
        <f>0</f>
        <v>0</v>
      </c>
      <c r="L17" s="127">
        <f t="shared" si="0"/>
        <v>0</v>
      </c>
      <c r="M17" s="127">
        <f t="shared" si="1"/>
        <v>0</v>
      </c>
      <c r="N17" s="128"/>
      <c r="O17" s="129">
        <f t="shared" si="2"/>
        <v>0</v>
      </c>
      <c r="P17" s="128"/>
      <c r="Q17" s="128"/>
      <c r="R17" s="128"/>
      <c r="S17" s="26">
        <f t="shared" si="3"/>
        <v>0</v>
      </c>
      <c r="T17" s="25" t="str">
        <f t="shared" si="4"/>
        <v>OK</v>
      </c>
      <c r="U17" s="22"/>
      <c r="V17" s="22"/>
      <c r="W17" s="22"/>
      <c r="X17" s="22"/>
      <c r="Y17" s="24"/>
      <c r="Z17" s="24"/>
      <c r="AA17" s="24"/>
      <c r="AB17" s="22"/>
      <c r="AC17" s="22"/>
      <c r="AD17" s="22"/>
      <c r="AE17" s="22"/>
      <c r="AF17" s="22"/>
      <c r="AG17" s="22"/>
      <c r="AH17" s="22"/>
    </row>
    <row r="18" spans="1:34" ht="30.25" customHeight="1" x14ac:dyDescent="0.35">
      <c r="A18" s="37">
        <v>15</v>
      </c>
      <c r="B18" s="37">
        <v>15</v>
      </c>
      <c r="C18" s="35" t="s">
        <v>63</v>
      </c>
      <c r="D18" s="34" t="s">
        <v>96</v>
      </c>
      <c r="E18" s="35" t="s">
        <v>97</v>
      </c>
      <c r="F18" s="35" t="s">
        <v>20</v>
      </c>
      <c r="G18" s="35" t="s">
        <v>31</v>
      </c>
      <c r="H18" s="35" t="s">
        <v>5</v>
      </c>
      <c r="I18" s="35" t="s">
        <v>6</v>
      </c>
      <c r="J18" s="36">
        <v>7598</v>
      </c>
      <c r="K18" s="27">
        <f>8</f>
        <v>8</v>
      </c>
      <c r="L18" s="127">
        <f t="shared" si="0"/>
        <v>0</v>
      </c>
      <c r="M18" s="127">
        <f t="shared" si="1"/>
        <v>0</v>
      </c>
      <c r="N18" s="128"/>
      <c r="O18" s="129">
        <f t="shared" si="2"/>
        <v>2</v>
      </c>
      <c r="P18" s="128"/>
      <c r="Q18" s="128"/>
      <c r="R18" s="128"/>
      <c r="S18" s="26">
        <f t="shared" si="3"/>
        <v>8</v>
      </c>
      <c r="T18" s="25" t="str">
        <f t="shared" si="4"/>
        <v>OK</v>
      </c>
      <c r="U18" s="22"/>
      <c r="V18" s="22"/>
      <c r="W18" s="22"/>
      <c r="X18" s="22"/>
      <c r="Y18" s="24"/>
      <c r="Z18" s="24"/>
      <c r="AA18" s="24"/>
      <c r="AB18" s="22"/>
      <c r="AC18" s="22"/>
      <c r="AD18" s="22"/>
      <c r="AE18" s="22"/>
      <c r="AF18" s="22"/>
      <c r="AG18" s="22"/>
      <c r="AH18" s="22"/>
    </row>
    <row r="19" spans="1:34" ht="30.25" customHeight="1" x14ac:dyDescent="0.35">
      <c r="A19" s="44">
        <v>16</v>
      </c>
      <c r="B19" s="44">
        <v>16</v>
      </c>
      <c r="C19" s="45" t="s">
        <v>83</v>
      </c>
      <c r="D19" s="46" t="s">
        <v>98</v>
      </c>
      <c r="E19" s="45" t="s">
        <v>99</v>
      </c>
      <c r="F19" s="45" t="s">
        <v>20</v>
      </c>
      <c r="G19" s="45" t="s">
        <v>100</v>
      </c>
      <c r="H19" s="45" t="s">
        <v>5</v>
      </c>
      <c r="I19" s="45" t="s">
        <v>6</v>
      </c>
      <c r="J19" s="47">
        <v>4540.34</v>
      </c>
      <c r="K19" s="27">
        <f>0</f>
        <v>0</v>
      </c>
      <c r="L19" s="127">
        <f t="shared" si="0"/>
        <v>0</v>
      </c>
      <c r="M19" s="127">
        <f t="shared" si="1"/>
        <v>0</v>
      </c>
      <c r="N19" s="128"/>
      <c r="O19" s="129">
        <f t="shared" si="2"/>
        <v>0</v>
      </c>
      <c r="P19" s="128"/>
      <c r="Q19" s="128"/>
      <c r="R19" s="128"/>
      <c r="S19" s="26">
        <f t="shared" si="3"/>
        <v>0</v>
      </c>
      <c r="T19" s="25" t="str">
        <f t="shared" si="4"/>
        <v>OK</v>
      </c>
      <c r="U19" s="22"/>
      <c r="V19" s="22"/>
      <c r="W19" s="22"/>
      <c r="X19" s="22"/>
      <c r="Y19" s="24"/>
      <c r="Z19" s="24"/>
      <c r="AA19" s="24"/>
      <c r="AB19" s="22"/>
      <c r="AC19" s="22"/>
      <c r="AD19" s="22"/>
      <c r="AE19" s="22"/>
      <c r="AF19" s="22"/>
      <c r="AG19" s="22"/>
      <c r="AH19" s="22"/>
    </row>
    <row r="20" spans="1:34" ht="30.25" customHeight="1" x14ac:dyDescent="0.35">
      <c r="A20" s="37">
        <v>17</v>
      </c>
      <c r="B20" s="37">
        <v>17</v>
      </c>
      <c r="C20" s="35" t="s">
        <v>63</v>
      </c>
      <c r="D20" s="38" t="s">
        <v>101</v>
      </c>
      <c r="E20" s="39" t="s">
        <v>102</v>
      </c>
      <c r="F20" s="40" t="s">
        <v>20</v>
      </c>
      <c r="G20" s="40" t="s">
        <v>103</v>
      </c>
      <c r="H20" s="40" t="s">
        <v>5</v>
      </c>
      <c r="I20" s="40" t="s">
        <v>6</v>
      </c>
      <c r="J20" s="36">
        <v>7499</v>
      </c>
      <c r="K20" s="27">
        <f>8</f>
        <v>8</v>
      </c>
      <c r="L20" s="127">
        <f t="shared" si="0"/>
        <v>2</v>
      </c>
      <c r="M20" s="127">
        <f t="shared" si="1"/>
        <v>2</v>
      </c>
      <c r="N20" s="128">
        <v>-6</v>
      </c>
      <c r="O20" s="129">
        <f t="shared" si="2"/>
        <v>2</v>
      </c>
      <c r="P20" s="128"/>
      <c r="Q20" s="128"/>
      <c r="R20" s="128"/>
      <c r="S20" s="26">
        <f t="shared" si="3"/>
        <v>0</v>
      </c>
      <c r="T20" s="25" t="str">
        <f t="shared" si="4"/>
        <v>OK</v>
      </c>
      <c r="U20" s="22"/>
      <c r="V20" s="22"/>
      <c r="W20" s="22">
        <v>2</v>
      </c>
      <c r="X20" s="22"/>
      <c r="Y20" s="24"/>
      <c r="Z20" s="24"/>
      <c r="AA20" s="24"/>
      <c r="AB20" s="22"/>
      <c r="AC20" s="22"/>
      <c r="AD20" s="22"/>
      <c r="AE20" s="22"/>
      <c r="AF20" s="22"/>
      <c r="AG20" s="22"/>
      <c r="AH20" s="22"/>
    </row>
    <row r="21" spans="1:34" ht="30.25" customHeight="1" x14ac:dyDescent="0.35">
      <c r="A21" s="44">
        <v>18</v>
      </c>
      <c r="B21" s="44">
        <v>18</v>
      </c>
      <c r="C21" s="45" t="s">
        <v>104</v>
      </c>
      <c r="D21" s="46" t="s">
        <v>105</v>
      </c>
      <c r="E21" s="48" t="s">
        <v>106</v>
      </c>
      <c r="F21" s="49" t="s">
        <v>20</v>
      </c>
      <c r="G21" s="44" t="s">
        <v>107</v>
      </c>
      <c r="H21" s="44" t="s">
        <v>5</v>
      </c>
      <c r="I21" s="44" t="s">
        <v>6</v>
      </c>
      <c r="J21" s="47">
        <v>9553.2000000000007</v>
      </c>
      <c r="K21" s="27">
        <f>0</f>
        <v>0</v>
      </c>
      <c r="L21" s="127">
        <f t="shared" si="0"/>
        <v>0</v>
      </c>
      <c r="M21" s="127">
        <f t="shared" si="1"/>
        <v>0</v>
      </c>
      <c r="N21" s="128"/>
      <c r="O21" s="129">
        <f t="shared" si="2"/>
        <v>0</v>
      </c>
      <c r="P21" s="128"/>
      <c r="Q21" s="128"/>
      <c r="R21" s="128"/>
      <c r="S21" s="26">
        <f t="shared" si="3"/>
        <v>0</v>
      </c>
      <c r="T21" s="25" t="str">
        <f t="shared" si="4"/>
        <v>OK</v>
      </c>
      <c r="U21" s="22"/>
      <c r="V21" s="22"/>
      <c r="W21" s="22"/>
      <c r="X21" s="22"/>
      <c r="Y21" s="24"/>
      <c r="Z21" s="24"/>
      <c r="AA21" s="24"/>
      <c r="AB21" s="22"/>
      <c r="AC21" s="22"/>
      <c r="AD21" s="22"/>
      <c r="AE21" s="22"/>
      <c r="AF21" s="22"/>
      <c r="AG21" s="22"/>
      <c r="AH21" s="22"/>
    </row>
    <row r="22" spans="1:34" ht="30.25" customHeight="1" x14ac:dyDescent="0.35">
      <c r="A22" s="37">
        <v>19</v>
      </c>
      <c r="B22" s="37">
        <v>19</v>
      </c>
      <c r="C22" s="35" t="s">
        <v>63</v>
      </c>
      <c r="D22" s="34" t="s">
        <v>108</v>
      </c>
      <c r="E22" s="41" t="s">
        <v>109</v>
      </c>
      <c r="F22" s="43" t="s">
        <v>20</v>
      </c>
      <c r="G22" s="37" t="s">
        <v>107</v>
      </c>
      <c r="H22" s="37" t="s">
        <v>5</v>
      </c>
      <c r="I22" s="37" t="s">
        <v>6</v>
      </c>
      <c r="J22" s="36">
        <v>8608</v>
      </c>
      <c r="K22" s="27">
        <f>6</f>
        <v>6</v>
      </c>
      <c r="L22" s="127">
        <f t="shared" si="0"/>
        <v>0</v>
      </c>
      <c r="M22" s="127">
        <f t="shared" si="1"/>
        <v>0</v>
      </c>
      <c r="N22" s="128"/>
      <c r="O22" s="129">
        <f t="shared" si="2"/>
        <v>1</v>
      </c>
      <c r="P22" s="128"/>
      <c r="Q22" s="128"/>
      <c r="R22" s="128"/>
      <c r="S22" s="26">
        <f t="shared" si="3"/>
        <v>6</v>
      </c>
      <c r="T22" s="25" t="str">
        <f t="shared" si="4"/>
        <v>OK</v>
      </c>
      <c r="U22" s="22"/>
      <c r="V22" s="22"/>
      <c r="W22" s="22"/>
      <c r="X22" s="29"/>
      <c r="Y22" s="24"/>
      <c r="Z22" s="24"/>
      <c r="AA22" s="24"/>
      <c r="AB22" s="22"/>
      <c r="AC22" s="22"/>
      <c r="AD22" s="22"/>
      <c r="AE22" s="22"/>
      <c r="AF22" s="22"/>
      <c r="AG22" s="22"/>
      <c r="AH22" s="22"/>
    </row>
    <row r="23" spans="1:34" ht="30.25" customHeight="1" x14ac:dyDescent="0.35">
      <c r="A23" s="44">
        <v>20</v>
      </c>
      <c r="B23" s="44">
        <v>20</v>
      </c>
      <c r="C23" s="45" t="s">
        <v>63</v>
      </c>
      <c r="D23" s="46" t="s">
        <v>110</v>
      </c>
      <c r="E23" s="48" t="s">
        <v>111</v>
      </c>
      <c r="F23" s="50" t="s">
        <v>20</v>
      </c>
      <c r="G23" s="44" t="s">
        <v>112</v>
      </c>
      <c r="H23" s="44" t="s">
        <v>5</v>
      </c>
      <c r="I23" s="44" t="s">
        <v>6</v>
      </c>
      <c r="J23" s="47">
        <v>10488</v>
      </c>
      <c r="K23" s="27">
        <f>8</f>
        <v>8</v>
      </c>
      <c r="L23" s="127">
        <f t="shared" si="0"/>
        <v>0</v>
      </c>
      <c r="M23" s="127">
        <f t="shared" si="1"/>
        <v>0</v>
      </c>
      <c r="N23" s="128">
        <v>-8</v>
      </c>
      <c r="O23" s="129">
        <f t="shared" si="2"/>
        <v>2</v>
      </c>
      <c r="P23" s="128"/>
      <c r="Q23" s="128"/>
      <c r="R23" s="128"/>
      <c r="S23" s="26">
        <f t="shared" si="3"/>
        <v>0</v>
      </c>
      <c r="T23" s="25" t="str">
        <f t="shared" si="4"/>
        <v>OK</v>
      </c>
      <c r="U23" s="22"/>
      <c r="V23" s="22"/>
      <c r="W23" s="22"/>
      <c r="X23" s="29"/>
      <c r="Y23" s="24"/>
      <c r="Z23" s="24"/>
      <c r="AA23" s="24"/>
      <c r="AB23" s="22"/>
      <c r="AC23" s="22"/>
      <c r="AD23" s="22"/>
      <c r="AE23" s="22"/>
      <c r="AF23" s="22"/>
      <c r="AG23" s="22"/>
      <c r="AH23" s="22"/>
    </row>
    <row r="24" spans="1:34" ht="30.25" customHeight="1" x14ac:dyDescent="0.35">
      <c r="A24" s="37">
        <v>21</v>
      </c>
      <c r="B24" s="37">
        <v>21</v>
      </c>
      <c r="C24" s="35" t="s">
        <v>63</v>
      </c>
      <c r="D24" s="34" t="s">
        <v>113</v>
      </c>
      <c r="E24" s="41" t="s">
        <v>114</v>
      </c>
      <c r="F24" s="43" t="s">
        <v>20</v>
      </c>
      <c r="G24" s="37" t="s">
        <v>115</v>
      </c>
      <c r="H24" s="37" t="s">
        <v>5</v>
      </c>
      <c r="I24" s="37" t="s">
        <v>6</v>
      </c>
      <c r="J24" s="36">
        <v>10968</v>
      </c>
      <c r="K24" s="27">
        <f>5</f>
        <v>5</v>
      </c>
      <c r="L24" s="127">
        <f t="shared" si="0"/>
        <v>5</v>
      </c>
      <c r="M24" s="127">
        <f t="shared" si="1"/>
        <v>5</v>
      </c>
      <c r="N24" s="128"/>
      <c r="O24" s="129">
        <f t="shared" si="2"/>
        <v>1</v>
      </c>
      <c r="P24" s="128"/>
      <c r="Q24" s="128"/>
      <c r="R24" s="128"/>
      <c r="S24" s="26">
        <f t="shared" si="3"/>
        <v>0</v>
      </c>
      <c r="T24" s="25" t="str">
        <f t="shared" si="4"/>
        <v>OK</v>
      </c>
      <c r="U24" s="22"/>
      <c r="V24" s="22"/>
      <c r="W24" s="22">
        <v>5</v>
      </c>
      <c r="X24" s="29"/>
      <c r="Y24" s="24"/>
      <c r="Z24" s="24"/>
      <c r="AA24" s="24"/>
      <c r="AB24" s="22"/>
      <c r="AC24" s="22"/>
      <c r="AD24" s="22"/>
      <c r="AE24" s="22"/>
      <c r="AF24" s="22"/>
      <c r="AG24" s="22"/>
      <c r="AH24" s="22"/>
    </row>
    <row r="25" spans="1:34" ht="30.25" customHeight="1" x14ac:dyDescent="0.35">
      <c r="A25" s="44">
        <v>22</v>
      </c>
      <c r="B25" s="44">
        <v>22</v>
      </c>
      <c r="C25" s="45" t="s">
        <v>32</v>
      </c>
      <c r="D25" s="46" t="s">
        <v>116</v>
      </c>
      <c r="E25" s="48" t="s">
        <v>117</v>
      </c>
      <c r="F25" s="50" t="s">
        <v>20</v>
      </c>
      <c r="G25" s="44" t="s">
        <v>118</v>
      </c>
      <c r="H25" s="44" t="s">
        <v>5</v>
      </c>
      <c r="I25" s="44" t="s">
        <v>6</v>
      </c>
      <c r="J25" s="47">
        <v>13446</v>
      </c>
      <c r="K25" s="27">
        <f>0</f>
        <v>0</v>
      </c>
      <c r="L25" s="127">
        <f t="shared" si="0"/>
        <v>0</v>
      </c>
      <c r="M25" s="127">
        <f t="shared" si="1"/>
        <v>0</v>
      </c>
      <c r="N25" s="128"/>
      <c r="O25" s="129">
        <f t="shared" si="2"/>
        <v>0</v>
      </c>
      <c r="P25" s="128"/>
      <c r="Q25" s="128"/>
      <c r="R25" s="128"/>
      <c r="S25" s="26">
        <f t="shared" si="3"/>
        <v>0</v>
      </c>
      <c r="T25" s="25" t="str">
        <f t="shared" si="4"/>
        <v>OK</v>
      </c>
      <c r="U25" s="22"/>
      <c r="V25" s="22"/>
      <c r="W25" s="22"/>
      <c r="X25" s="29"/>
      <c r="Y25" s="24"/>
      <c r="Z25" s="24"/>
      <c r="AA25" s="24"/>
      <c r="AB25" s="22"/>
      <c r="AC25" s="22"/>
      <c r="AD25" s="22"/>
      <c r="AE25" s="22"/>
      <c r="AF25" s="22"/>
      <c r="AG25" s="22"/>
      <c r="AH25" s="22"/>
    </row>
    <row r="26" spans="1:34" ht="30.25" customHeight="1" x14ac:dyDescent="0.35">
      <c r="A26" s="37">
        <v>23</v>
      </c>
      <c r="B26" s="37">
        <v>23</v>
      </c>
      <c r="C26" s="35" t="s">
        <v>119</v>
      </c>
      <c r="D26" s="34" t="s">
        <v>120</v>
      </c>
      <c r="E26" s="41" t="s">
        <v>121</v>
      </c>
      <c r="F26" s="43" t="s">
        <v>20</v>
      </c>
      <c r="G26" s="37" t="s">
        <v>115</v>
      </c>
      <c r="H26" s="37" t="s">
        <v>5</v>
      </c>
      <c r="I26" s="37" t="s">
        <v>6</v>
      </c>
      <c r="J26" s="36">
        <v>11764.7</v>
      </c>
      <c r="K26" s="27">
        <f>4</f>
        <v>4</v>
      </c>
      <c r="L26" s="127">
        <f t="shared" si="0"/>
        <v>2</v>
      </c>
      <c r="M26" s="127">
        <f t="shared" si="1"/>
        <v>2</v>
      </c>
      <c r="N26" s="128"/>
      <c r="O26" s="129">
        <f t="shared" si="2"/>
        <v>1</v>
      </c>
      <c r="P26" s="128"/>
      <c r="Q26" s="128"/>
      <c r="R26" s="128"/>
      <c r="S26" s="26">
        <f t="shared" si="3"/>
        <v>2</v>
      </c>
      <c r="T26" s="25" t="str">
        <f t="shared" si="4"/>
        <v>OK</v>
      </c>
      <c r="U26" s="22"/>
      <c r="V26" s="22"/>
      <c r="W26" s="22"/>
      <c r="X26" s="29"/>
      <c r="Y26" s="24">
        <v>2</v>
      </c>
      <c r="Z26" s="24"/>
      <c r="AA26" s="24"/>
      <c r="AB26" s="22"/>
      <c r="AC26" s="22"/>
      <c r="AD26" s="22"/>
      <c r="AE26" s="22"/>
      <c r="AF26" s="22"/>
      <c r="AG26" s="22"/>
      <c r="AH26" s="22"/>
    </row>
    <row r="27" spans="1:34" ht="30.25" customHeight="1" x14ac:dyDescent="0.35">
      <c r="A27" s="44">
        <v>24</v>
      </c>
      <c r="B27" s="44">
        <v>24</v>
      </c>
      <c r="C27" s="45" t="s">
        <v>32</v>
      </c>
      <c r="D27" s="46" t="s">
        <v>122</v>
      </c>
      <c r="E27" s="48" t="s">
        <v>123</v>
      </c>
      <c r="F27" s="50" t="s">
        <v>20</v>
      </c>
      <c r="G27" s="44" t="s">
        <v>124</v>
      </c>
      <c r="H27" s="44" t="s">
        <v>60</v>
      </c>
      <c r="I27" s="44" t="s">
        <v>6</v>
      </c>
      <c r="J27" s="47">
        <v>13333.33</v>
      </c>
      <c r="K27" s="27">
        <f>0</f>
        <v>0</v>
      </c>
      <c r="L27" s="127">
        <f t="shared" si="0"/>
        <v>0</v>
      </c>
      <c r="M27" s="127">
        <f t="shared" si="1"/>
        <v>0</v>
      </c>
      <c r="N27" s="128"/>
      <c r="O27" s="129">
        <f t="shared" si="2"/>
        <v>0</v>
      </c>
      <c r="P27" s="128"/>
      <c r="Q27" s="128"/>
      <c r="R27" s="128"/>
      <c r="S27" s="26">
        <f t="shared" si="3"/>
        <v>0</v>
      </c>
      <c r="T27" s="25" t="str">
        <f t="shared" si="4"/>
        <v>OK</v>
      </c>
      <c r="U27" s="22"/>
      <c r="V27" s="22"/>
      <c r="W27" s="22"/>
      <c r="X27" s="29"/>
      <c r="Y27" s="24"/>
      <c r="Z27" s="24"/>
      <c r="AA27" s="24"/>
      <c r="AB27" s="22"/>
      <c r="AC27" s="22"/>
      <c r="AD27" s="22"/>
      <c r="AE27" s="22"/>
      <c r="AF27" s="22"/>
      <c r="AG27" s="22"/>
      <c r="AH27" s="22"/>
    </row>
    <row r="28" spans="1:34" ht="30.25" customHeight="1" x14ac:dyDescent="0.35">
      <c r="A28" s="37">
        <v>25</v>
      </c>
      <c r="B28" s="37">
        <v>25</v>
      </c>
      <c r="C28" s="35" t="s">
        <v>125</v>
      </c>
      <c r="D28" s="34" t="s">
        <v>126</v>
      </c>
      <c r="E28" s="41" t="s">
        <v>127</v>
      </c>
      <c r="F28" s="43" t="s">
        <v>24</v>
      </c>
      <c r="G28" s="37" t="s">
        <v>25</v>
      </c>
      <c r="H28" s="37" t="s">
        <v>5</v>
      </c>
      <c r="I28" s="37" t="s">
        <v>26</v>
      </c>
      <c r="J28" s="36">
        <v>1320</v>
      </c>
      <c r="K28" s="27">
        <f>6</f>
        <v>6</v>
      </c>
      <c r="L28" s="127">
        <f t="shared" si="0"/>
        <v>0</v>
      </c>
      <c r="M28" s="127">
        <f t="shared" si="1"/>
        <v>0</v>
      </c>
      <c r="N28" s="128"/>
      <c r="O28" s="129">
        <f t="shared" si="2"/>
        <v>1</v>
      </c>
      <c r="P28" s="128"/>
      <c r="Q28" s="128"/>
      <c r="R28" s="128"/>
      <c r="S28" s="26">
        <f t="shared" si="3"/>
        <v>6</v>
      </c>
      <c r="T28" s="25" t="str">
        <f t="shared" si="4"/>
        <v>OK</v>
      </c>
      <c r="U28" s="22"/>
      <c r="V28" s="22"/>
      <c r="W28" s="22"/>
      <c r="X28" s="29"/>
      <c r="Y28" s="24"/>
      <c r="Z28" s="24"/>
      <c r="AA28" s="24"/>
      <c r="AB28" s="22"/>
      <c r="AC28" s="22"/>
      <c r="AD28" s="22"/>
      <c r="AE28" s="22"/>
      <c r="AF28" s="22"/>
      <c r="AG28" s="22"/>
      <c r="AH28" s="22"/>
    </row>
    <row r="29" spans="1:34" ht="30.25" customHeight="1" x14ac:dyDescent="0.35">
      <c r="A29" s="44">
        <v>26</v>
      </c>
      <c r="B29" s="44">
        <v>26</v>
      </c>
      <c r="C29" s="45" t="s">
        <v>119</v>
      </c>
      <c r="D29" s="46" t="s">
        <v>14</v>
      </c>
      <c r="E29" s="48" t="s">
        <v>128</v>
      </c>
      <c r="F29" s="50" t="s">
        <v>23</v>
      </c>
      <c r="G29" s="44" t="s">
        <v>129</v>
      </c>
      <c r="H29" s="44" t="s">
        <v>5</v>
      </c>
      <c r="I29" s="44" t="s">
        <v>6</v>
      </c>
      <c r="J29" s="47">
        <v>650</v>
      </c>
      <c r="K29" s="27">
        <f>6</f>
        <v>6</v>
      </c>
      <c r="L29" s="127">
        <f t="shared" si="0"/>
        <v>1</v>
      </c>
      <c r="M29" s="127">
        <f t="shared" si="1"/>
        <v>1</v>
      </c>
      <c r="N29" s="128"/>
      <c r="O29" s="129">
        <f t="shared" si="2"/>
        <v>1</v>
      </c>
      <c r="P29" s="128"/>
      <c r="Q29" s="128"/>
      <c r="R29" s="128"/>
      <c r="S29" s="26">
        <f t="shared" si="3"/>
        <v>5</v>
      </c>
      <c r="T29" s="25" t="str">
        <f t="shared" si="4"/>
        <v>OK</v>
      </c>
      <c r="U29" s="22"/>
      <c r="V29" s="22"/>
      <c r="W29" s="22"/>
      <c r="X29" s="22"/>
      <c r="Y29" s="24">
        <v>1</v>
      </c>
      <c r="Z29" s="24"/>
      <c r="AA29" s="24"/>
      <c r="AB29" s="22"/>
      <c r="AC29" s="22"/>
      <c r="AD29" s="22"/>
      <c r="AE29" s="22"/>
      <c r="AF29" s="22"/>
      <c r="AG29" s="22"/>
      <c r="AH29" s="22"/>
    </row>
    <row r="30" spans="1:34" ht="30.25" customHeight="1" x14ac:dyDescent="0.35">
      <c r="A30" s="37">
        <v>27</v>
      </c>
      <c r="B30" s="37">
        <v>27</v>
      </c>
      <c r="C30" s="35" t="s">
        <v>130</v>
      </c>
      <c r="D30" s="34" t="s">
        <v>131</v>
      </c>
      <c r="E30" s="41" t="s">
        <v>132</v>
      </c>
      <c r="F30" s="43" t="s">
        <v>28</v>
      </c>
      <c r="G30" s="37" t="s">
        <v>29</v>
      </c>
      <c r="H30" s="37" t="s">
        <v>8</v>
      </c>
      <c r="I30" s="37" t="s">
        <v>26</v>
      </c>
      <c r="J30" s="36">
        <v>39.78</v>
      </c>
      <c r="K30" s="27">
        <f>15</f>
        <v>15</v>
      </c>
      <c r="L30" s="127">
        <f t="shared" si="0"/>
        <v>0</v>
      </c>
      <c r="M30" s="127">
        <f t="shared" si="1"/>
        <v>0</v>
      </c>
      <c r="N30" s="128"/>
      <c r="O30" s="129">
        <f t="shared" si="2"/>
        <v>3</v>
      </c>
      <c r="P30" s="128"/>
      <c r="Q30" s="128"/>
      <c r="R30" s="128"/>
      <c r="S30" s="26">
        <f t="shared" si="3"/>
        <v>15</v>
      </c>
      <c r="T30" s="25" t="str">
        <f t="shared" si="4"/>
        <v>OK</v>
      </c>
      <c r="U30" s="22"/>
      <c r="V30" s="22"/>
      <c r="W30" s="22"/>
      <c r="X30" s="22"/>
      <c r="Y30" s="24"/>
      <c r="Z30" s="24"/>
      <c r="AA30" s="24"/>
      <c r="AB30" s="22"/>
      <c r="AC30" s="22"/>
      <c r="AD30" s="22"/>
      <c r="AE30" s="22"/>
      <c r="AF30" s="22"/>
      <c r="AG30" s="22"/>
      <c r="AH30" s="22"/>
    </row>
    <row r="31" spans="1:34" ht="30.25" customHeight="1" x14ac:dyDescent="0.35">
      <c r="A31" s="44">
        <v>28</v>
      </c>
      <c r="B31" s="44">
        <v>28</v>
      </c>
      <c r="C31" s="45" t="s">
        <v>133</v>
      </c>
      <c r="D31" s="46" t="s">
        <v>134</v>
      </c>
      <c r="E31" s="48" t="s">
        <v>135</v>
      </c>
      <c r="F31" s="50" t="s">
        <v>136</v>
      </c>
      <c r="G31" s="44" t="s">
        <v>137</v>
      </c>
      <c r="H31" s="44" t="s">
        <v>5</v>
      </c>
      <c r="I31" s="44" t="s">
        <v>6</v>
      </c>
      <c r="J31" s="47">
        <v>2259.91</v>
      </c>
      <c r="K31" s="27">
        <f>8</f>
        <v>8</v>
      </c>
      <c r="L31" s="127">
        <f t="shared" si="0"/>
        <v>0</v>
      </c>
      <c r="M31" s="127">
        <f t="shared" si="1"/>
        <v>0</v>
      </c>
      <c r="N31" s="128"/>
      <c r="O31" s="129">
        <f t="shared" si="2"/>
        <v>2</v>
      </c>
      <c r="P31" s="128"/>
      <c r="Q31" s="128"/>
      <c r="R31" s="128"/>
      <c r="S31" s="26">
        <f t="shared" si="3"/>
        <v>8</v>
      </c>
      <c r="T31" s="25" t="str">
        <f t="shared" si="4"/>
        <v>OK</v>
      </c>
      <c r="U31" s="22"/>
      <c r="V31" s="22"/>
      <c r="W31" s="22"/>
      <c r="X31" s="22"/>
      <c r="Y31" s="24"/>
      <c r="Z31" s="24"/>
      <c r="AA31" s="24"/>
      <c r="AB31" s="22"/>
      <c r="AC31" s="22"/>
      <c r="AD31" s="22"/>
      <c r="AE31" s="22"/>
      <c r="AF31" s="22"/>
      <c r="AG31" s="22"/>
      <c r="AH31" s="22"/>
    </row>
    <row r="32" spans="1:34" ht="30.25" customHeight="1" x14ac:dyDescent="0.35">
      <c r="A32" s="37">
        <v>29</v>
      </c>
      <c r="B32" s="37">
        <v>29</v>
      </c>
      <c r="C32" s="35" t="s">
        <v>138</v>
      </c>
      <c r="D32" s="34" t="s">
        <v>139</v>
      </c>
      <c r="E32" s="41" t="s">
        <v>140</v>
      </c>
      <c r="F32" s="43" t="s">
        <v>136</v>
      </c>
      <c r="G32" s="37" t="s">
        <v>137</v>
      </c>
      <c r="H32" s="37" t="s">
        <v>5</v>
      </c>
      <c r="I32" s="37" t="s">
        <v>6</v>
      </c>
      <c r="J32" s="36">
        <v>3391.3</v>
      </c>
      <c r="K32" s="27">
        <f>6</f>
        <v>6</v>
      </c>
      <c r="L32" s="127">
        <f t="shared" si="0"/>
        <v>1</v>
      </c>
      <c r="M32" s="127">
        <f t="shared" si="1"/>
        <v>1</v>
      </c>
      <c r="N32" s="128"/>
      <c r="O32" s="129">
        <f t="shared" si="2"/>
        <v>1</v>
      </c>
      <c r="P32" s="128"/>
      <c r="Q32" s="128"/>
      <c r="R32" s="128"/>
      <c r="S32" s="26">
        <f t="shared" si="3"/>
        <v>5</v>
      </c>
      <c r="T32" s="25" t="str">
        <f t="shared" si="4"/>
        <v>OK</v>
      </c>
      <c r="U32" s="22">
        <v>1</v>
      </c>
      <c r="V32" s="22"/>
      <c r="W32" s="22"/>
      <c r="X32" s="22"/>
      <c r="Y32" s="24"/>
      <c r="Z32" s="24"/>
      <c r="AA32" s="24"/>
      <c r="AB32" s="22"/>
      <c r="AC32" s="22"/>
      <c r="AD32" s="22"/>
      <c r="AE32" s="22"/>
      <c r="AF32" s="22"/>
      <c r="AG32" s="22"/>
      <c r="AH32" s="22"/>
    </row>
    <row r="33" spans="1:34" ht="30.25" customHeight="1" x14ac:dyDescent="0.35">
      <c r="A33" s="44">
        <v>30</v>
      </c>
      <c r="B33" s="44">
        <v>30</v>
      </c>
      <c r="C33" s="45" t="s">
        <v>141</v>
      </c>
      <c r="D33" s="46" t="s">
        <v>142</v>
      </c>
      <c r="E33" s="48" t="s">
        <v>143</v>
      </c>
      <c r="F33" s="50" t="s">
        <v>136</v>
      </c>
      <c r="G33" s="44" t="s">
        <v>137</v>
      </c>
      <c r="H33" s="44" t="s">
        <v>5</v>
      </c>
      <c r="I33" s="44" t="s">
        <v>6</v>
      </c>
      <c r="J33" s="47">
        <v>9961.5300000000007</v>
      </c>
      <c r="K33" s="27">
        <f>8</f>
        <v>8</v>
      </c>
      <c r="L33" s="127">
        <f t="shared" si="0"/>
        <v>0</v>
      </c>
      <c r="M33" s="127">
        <f t="shared" si="1"/>
        <v>0</v>
      </c>
      <c r="N33" s="128"/>
      <c r="O33" s="129">
        <f t="shared" si="2"/>
        <v>2</v>
      </c>
      <c r="P33" s="128"/>
      <c r="Q33" s="128"/>
      <c r="R33" s="128"/>
      <c r="S33" s="26">
        <f t="shared" si="3"/>
        <v>8</v>
      </c>
      <c r="T33" s="25" t="str">
        <f t="shared" si="4"/>
        <v>OK</v>
      </c>
      <c r="U33" s="22"/>
      <c r="V33" s="22"/>
      <c r="W33" s="22"/>
      <c r="X33" s="22"/>
      <c r="Y33" s="24"/>
      <c r="Z33" s="24"/>
      <c r="AA33" s="24"/>
      <c r="AB33" s="22"/>
      <c r="AC33" s="22"/>
      <c r="AD33" s="22"/>
      <c r="AE33" s="22"/>
      <c r="AF33" s="22"/>
      <c r="AG33" s="22"/>
      <c r="AH33" s="22"/>
    </row>
    <row r="34" spans="1:34" ht="30.25" customHeight="1" x14ac:dyDescent="0.35">
      <c r="A34" s="37">
        <v>31</v>
      </c>
      <c r="B34" s="37">
        <v>31</v>
      </c>
      <c r="C34" s="35" t="s">
        <v>144</v>
      </c>
      <c r="D34" s="34" t="s">
        <v>145</v>
      </c>
      <c r="E34" s="41" t="s">
        <v>146</v>
      </c>
      <c r="F34" s="43" t="s">
        <v>20</v>
      </c>
      <c r="G34" s="37" t="s">
        <v>147</v>
      </c>
      <c r="H34" s="37" t="s">
        <v>60</v>
      </c>
      <c r="I34" s="37">
        <v>44905212</v>
      </c>
      <c r="J34" s="36">
        <v>630</v>
      </c>
      <c r="K34" s="27">
        <f>0</f>
        <v>0</v>
      </c>
      <c r="L34" s="127">
        <f t="shared" si="0"/>
        <v>0</v>
      </c>
      <c r="M34" s="127">
        <f t="shared" si="1"/>
        <v>0</v>
      </c>
      <c r="N34" s="128"/>
      <c r="O34" s="129">
        <f t="shared" si="2"/>
        <v>0</v>
      </c>
      <c r="P34" s="128"/>
      <c r="Q34" s="128"/>
      <c r="R34" s="128"/>
      <c r="S34" s="26">
        <f t="shared" si="3"/>
        <v>0</v>
      </c>
      <c r="T34" s="25" t="str">
        <f t="shared" si="4"/>
        <v>OK</v>
      </c>
      <c r="U34" s="22"/>
      <c r="V34" s="22"/>
      <c r="W34" s="22"/>
      <c r="X34" s="22"/>
      <c r="Y34" s="24"/>
      <c r="Z34" s="24"/>
      <c r="AA34" s="24"/>
      <c r="AB34" s="22"/>
      <c r="AC34" s="22"/>
      <c r="AD34" s="22"/>
      <c r="AE34" s="22"/>
      <c r="AF34" s="22"/>
      <c r="AG34" s="22"/>
      <c r="AH34" s="22"/>
    </row>
    <row r="35" spans="1:34" ht="30.25" customHeight="1" x14ac:dyDescent="0.35">
      <c r="A35" s="44">
        <v>32</v>
      </c>
      <c r="B35" s="44">
        <v>32</v>
      </c>
      <c r="C35" s="45" t="s">
        <v>144</v>
      </c>
      <c r="D35" s="46" t="s">
        <v>148</v>
      </c>
      <c r="E35" s="48" t="s">
        <v>149</v>
      </c>
      <c r="F35" s="50" t="s">
        <v>20</v>
      </c>
      <c r="G35" s="44" t="s">
        <v>147</v>
      </c>
      <c r="H35" s="44" t="s">
        <v>60</v>
      </c>
      <c r="I35" s="44">
        <v>44905212</v>
      </c>
      <c r="J35" s="47">
        <v>1550</v>
      </c>
      <c r="K35" s="27">
        <f>0</f>
        <v>0</v>
      </c>
      <c r="L35" s="127">
        <f t="shared" si="0"/>
        <v>0</v>
      </c>
      <c r="M35" s="127">
        <f t="shared" si="1"/>
        <v>0</v>
      </c>
      <c r="N35" s="128"/>
      <c r="O35" s="129">
        <f t="shared" si="2"/>
        <v>0</v>
      </c>
      <c r="P35" s="128"/>
      <c r="Q35" s="128"/>
      <c r="R35" s="128"/>
      <c r="S35" s="26">
        <f t="shared" si="3"/>
        <v>0</v>
      </c>
      <c r="T35" s="25" t="str">
        <f t="shared" si="4"/>
        <v>OK</v>
      </c>
      <c r="U35" s="22"/>
      <c r="V35" s="22"/>
      <c r="W35" s="22"/>
      <c r="X35" s="22"/>
      <c r="Y35" s="24"/>
      <c r="Z35" s="24"/>
      <c r="AA35" s="24"/>
      <c r="AB35" s="22"/>
      <c r="AC35" s="22"/>
      <c r="AD35" s="22"/>
      <c r="AE35" s="22"/>
      <c r="AF35" s="22"/>
      <c r="AG35" s="22"/>
      <c r="AH35" s="22"/>
    </row>
    <row r="36" spans="1:34" ht="30.25" customHeight="1" x14ac:dyDescent="0.35">
      <c r="A36" s="37">
        <v>33</v>
      </c>
      <c r="B36" s="37">
        <v>33</v>
      </c>
      <c r="C36" s="35" t="s">
        <v>150</v>
      </c>
      <c r="D36" s="34" t="s">
        <v>151</v>
      </c>
      <c r="E36" s="41" t="s">
        <v>152</v>
      </c>
      <c r="F36" s="43" t="s">
        <v>20</v>
      </c>
      <c r="G36" s="37" t="s">
        <v>147</v>
      </c>
      <c r="H36" s="37" t="s">
        <v>60</v>
      </c>
      <c r="I36" s="37">
        <v>44905212</v>
      </c>
      <c r="J36" s="36">
        <v>930</v>
      </c>
      <c r="K36" s="27">
        <f>0</f>
        <v>0</v>
      </c>
      <c r="L36" s="127">
        <f t="shared" si="0"/>
        <v>0</v>
      </c>
      <c r="M36" s="127">
        <f t="shared" si="1"/>
        <v>0</v>
      </c>
      <c r="N36" s="128"/>
      <c r="O36" s="129">
        <f t="shared" si="2"/>
        <v>0</v>
      </c>
      <c r="P36" s="128"/>
      <c r="Q36" s="128"/>
      <c r="R36" s="128"/>
      <c r="S36" s="26">
        <f t="shared" si="3"/>
        <v>0</v>
      </c>
      <c r="T36" s="25" t="str">
        <f t="shared" si="4"/>
        <v>OK</v>
      </c>
      <c r="U36" s="22"/>
      <c r="V36" s="22"/>
      <c r="W36" s="22"/>
      <c r="X36" s="22"/>
      <c r="Y36" s="24"/>
      <c r="Z36" s="24"/>
      <c r="AA36" s="24"/>
      <c r="AB36" s="22"/>
      <c r="AC36" s="22"/>
      <c r="AD36" s="22"/>
      <c r="AE36" s="22"/>
      <c r="AF36" s="22"/>
      <c r="AG36" s="22"/>
      <c r="AH36" s="22"/>
    </row>
    <row r="37" spans="1:34" ht="30.25" customHeight="1" x14ac:dyDescent="0.35">
      <c r="A37" s="44">
        <v>34</v>
      </c>
      <c r="B37" s="44">
        <v>34</v>
      </c>
      <c r="C37" s="45" t="s">
        <v>150</v>
      </c>
      <c r="D37" s="46" t="s">
        <v>153</v>
      </c>
      <c r="E37" s="48" t="s">
        <v>154</v>
      </c>
      <c r="F37" s="50" t="s">
        <v>20</v>
      </c>
      <c r="G37" s="44" t="s">
        <v>147</v>
      </c>
      <c r="H37" s="44" t="s">
        <v>60</v>
      </c>
      <c r="I37" s="44">
        <v>44905212</v>
      </c>
      <c r="J37" s="47">
        <v>2560</v>
      </c>
      <c r="K37" s="27">
        <f>0</f>
        <v>0</v>
      </c>
      <c r="L37" s="127">
        <f t="shared" si="0"/>
        <v>0</v>
      </c>
      <c r="M37" s="127">
        <f t="shared" si="1"/>
        <v>0</v>
      </c>
      <c r="N37" s="128"/>
      <c r="O37" s="129">
        <f t="shared" si="2"/>
        <v>0</v>
      </c>
      <c r="P37" s="128"/>
      <c r="Q37" s="128"/>
      <c r="R37" s="128"/>
      <c r="S37" s="26">
        <f t="shared" si="3"/>
        <v>0</v>
      </c>
      <c r="T37" s="25" t="str">
        <f t="shared" si="4"/>
        <v>OK</v>
      </c>
      <c r="U37" s="22"/>
      <c r="V37" s="22"/>
      <c r="W37" s="22"/>
      <c r="X37" s="22"/>
      <c r="Y37" s="24"/>
      <c r="Z37" s="24"/>
      <c r="AA37" s="24"/>
      <c r="AB37" s="22"/>
      <c r="AC37" s="22"/>
      <c r="AD37" s="22"/>
      <c r="AE37" s="22"/>
      <c r="AF37" s="22"/>
      <c r="AG37" s="22"/>
      <c r="AH37" s="22"/>
    </row>
    <row r="38" spans="1:34" ht="30.25" customHeight="1" x14ac:dyDescent="0.35">
      <c r="A38" s="198" t="s">
        <v>155</v>
      </c>
      <c r="B38" s="37">
        <v>35</v>
      </c>
      <c r="C38" s="195" t="s">
        <v>33</v>
      </c>
      <c r="D38" s="34" t="s">
        <v>27</v>
      </c>
      <c r="E38" s="41" t="s">
        <v>8</v>
      </c>
      <c r="F38" s="42" t="s">
        <v>28</v>
      </c>
      <c r="G38" s="37" t="s">
        <v>29</v>
      </c>
      <c r="H38" s="37" t="s">
        <v>8</v>
      </c>
      <c r="I38" s="37" t="s">
        <v>9</v>
      </c>
      <c r="J38" s="36">
        <v>150.13999999999999</v>
      </c>
      <c r="K38" s="27">
        <f>6</f>
        <v>6</v>
      </c>
      <c r="L38" s="127">
        <f t="shared" si="0"/>
        <v>1</v>
      </c>
      <c r="M38" s="127">
        <f t="shared" si="1"/>
        <v>1</v>
      </c>
      <c r="N38" s="128">
        <v>-3</v>
      </c>
      <c r="O38" s="129">
        <f t="shared" si="2"/>
        <v>1</v>
      </c>
      <c r="P38" s="128"/>
      <c r="Q38" s="128"/>
      <c r="R38" s="128"/>
      <c r="S38" s="26">
        <f t="shared" si="3"/>
        <v>2</v>
      </c>
      <c r="T38" s="25" t="str">
        <f t="shared" si="4"/>
        <v>OK</v>
      </c>
      <c r="U38" s="22"/>
      <c r="V38" s="22"/>
      <c r="W38" s="22"/>
      <c r="X38" s="22"/>
      <c r="Y38" s="24"/>
      <c r="Z38" s="24">
        <v>1</v>
      </c>
      <c r="AA38" s="24"/>
      <c r="AB38" s="22"/>
      <c r="AC38" s="22"/>
      <c r="AD38" s="22"/>
      <c r="AE38" s="22"/>
      <c r="AF38" s="22"/>
      <c r="AG38" s="22"/>
      <c r="AH38" s="22"/>
    </row>
    <row r="39" spans="1:34" ht="30.25" customHeight="1" x14ac:dyDescent="0.35">
      <c r="A39" s="199"/>
      <c r="B39" s="84">
        <v>36</v>
      </c>
      <c r="C39" s="196"/>
      <c r="D39" s="34" t="s">
        <v>7</v>
      </c>
      <c r="E39" s="41" t="s">
        <v>8</v>
      </c>
      <c r="F39" s="43" t="s">
        <v>28</v>
      </c>
      <c r="G39" s="37" t="s">
        <v>29</v>
      </c>
      <c r="H39" s="37" t="s">
        <v>8</v>
      </c>
      <c r="I39" s="37" t="s">
        <v>9</v>
      </c>
      <c r="J39" s="36">
        <v>1076</v>
      </c>
      <c r="K39" s="27">
        <f>73</f>
        <v>73</v>
      </c>
      <c r="L39" s="127">
        <f t="shared" si="0"/>
        <v>21</v>
      </c>
      <c r="M39" s="127">
        <f t="shared" si="1"/>
        <v>21</v>
      </c>
      <c r="N39" s="128">
        <f>-6-25-7-5</f>
        <v>-43</v>
      </c>
      <c r="O39" s="129">
        <f t="shared" si="2"/>
        <v>18</v>
      </c>
      <c r="P39" s="128"/>
      <c r="Q39" s="128"/>
      <c r="R39" s="128"/>
      <c r="S39" s="26">
        <f t="shared" si="3"/>
        <v>9</v>
      </c>
      <c r="T39" s="25" t="str">
        <f t="shared" si="4"/>
        <v>OK</v>
      </c>
      <c r="U39" s="22"/>
      <c r="V39" s="22"/>
      <c r="W39" s="22"/>
      <c r="X39" s="22"/>
      <c r="Y39" s="24"/>
      <c r="Z39" s="24">
        <v>21</v>
      </c>
      <c r="AA39" s="24"/>
      <c r="AB39" s="22"/>
      <c r="AC39" s="22"/>
      <c r="AD39" s="22"/>
      <c r="AE39" s="22"/>
      <c r="AF39" s="22"/>
      <c r="AG39" s="22"/>
      <c r="AH39" s="22"/>
    </row>
    <row r="40" spans="1:34" ht="30.25" customHeight="1" x14ac:dyDescent="0.35">
      <c r="A40" s="199"/>
      <c r="B40" s="84">
        <v>37</v>
      </c>
      <c r="C40" s="196"/>
      <c r="D40" s="34" t="s">
        <v>156</v>
      </c>
      <c r="E40" s="41" t="s">
        <v>8</v>
      </c>
      <c r="F40" s="43" t="s">
        <v>28</v>
      </c>
      <c r="G40" s="37" t="s">
        <v>29</v>
      </c>
      <c r="H40" s="37" t="s">
        <v>34</v>
      </c>
      <c r="I40" s="37" t="s">
        <v>9</v>
      </c>
      <c r="J40" s="36">
        <v>75</v>
      </c>
      <c r="K40" s="27">
        <f>16</f>
        <v>16</v>
      </c>
      <c r="L40" s="127">
        <f t="shared" si="0"/>
        <v>0</v>
      </c>
      <c r="M40" s="127">
        <f t="shared" si="1"/>
        <v>0</v>
      </c>
      <c r="N40" s="128">
        <f>-10-5</f>
        <v>-15</v>
      </c>
      <c r="O40" s="129">
        <f t="shared" si="2"/>
        <v>4</v>
      </c>
      <c r="P40" s="128"/>
      <c r="Q40" s="128"/>
      <c r="R40" s="128"/>
      <c r="S40" s="26">
        <f t="shared" si="3"/>
        <v>1</v>
      </c>
      <c r="T40" s="25" t="str">
        <f t="shared" si="4"/>
        <v>OK</v>
      </c>
      <c r="U40" s="22"/>
      <c r="V40" s="22"/>
      <c r="W40" s="22"/>
      <c r="X40" s="22"/>
      <c r="Y40" s="24"/>
      <c r="Z40" s="24"/>
      <c r="AA40" s="24"/>
      <c r="AB40" s="22"/>
      <c r="AC40" s="22"/>
      <c r="AD40" s="22"/>
      <c r="AE40" s="22"/>
      <c r="AF40" s="22"/>
      <c r="AG40" s="22"/>
      <c r="AH40" s="22"/>
    </row>
    <row r="41" spans="1:34" ht="30.25" customHeight="1" x14ac:dyDescent="0.35">
      <c r="A41" s="199"/>
      <c r="B41" s="84">
        <v>38</v>
      </c>
      <c r="C41" s="196"/>
      <c r="D41" s="34" t="s">
        <v>11</v>
      </c>
      <c r="E41" s="41" t="s">
        <v>8</v>
      </c>
      <c r="F41" s="43" t="s">
        <v>28</v>
      </c>
      <c r="G41" s="37" t="s">
        <v>29</v>
      </c>
      <c r="H41" s="37" t="s">
        <v>8</v>
      </c>
      <c r="I41" s="37" t="s">
        <v>9</v>
      </c>
      <c r="J41" s="36">
        <v>1400</v>
      </c>
      <c r="K41" s="27">
        <f>9</f>
        <v>9</v>
      </c>
      <c r="L41" s="127">
        <f t="shared" si="0"/>
        <v>9</v>
      </c>
      <c r="M41" s="127">
        <f t="shared" si="1"/>
        <v>9</v>
      </c>
      <c r="N41" s="128"/>
      <c r="O41" s="129">
        <f t="shared" si="2"/>
        <v>2</v>
      </c>
      <c r="P41" s="128"/>
      <c r="Q41" s="128"/>
      <c r="R41" s="128"/>
      <c r="S41" s="26">
        <f t="shared" si="3"/>
        <v>0</v>
      </c>
      <c r="T41" s="25" t="str">
        <f t="shared" si="4"/>
        <v>OK</v>
      </c>
      <c r="U41" s="22"/>
      <c r="V41" s="22"/>
      <c r="W41" s="22"/>
      <c r="X41" s="22"/>
      <c r="Y41" s="24"/>
      <c r="Z41" s="24">
        <v>9</v>
      </c>
      <c r="AA41" s="24"/>
      <c r="AB41" s="22"/>
      <c r="AC41" s="22"/>
      <c r="AD41" s="22"/>
      <c r="AE41" s="22"/>
      <c r="AF41" s="22"/>
      <c r="AG41" s="22"/>
      <c r="AH41" s="22"/>
    </row>
    <row r="42" spans="1:34" ht="30.25" customHeight="1" x14ac:dyDescent="0.35">
      <c r="A42" s="199"/>
      <c r="B42" s="84">
        <v>39</v>
      </c>
      <c r="C42" s="196"/>
      <c r="D42" s="34" t="s">
        <v>12</v>
      </c>
      <c r="E42" s="41" t="s">
        <v>8</v>
      </c>
      <c r="F42" s="43" t="s">
        <v>28</v>
      </c>
      <c r="G42" s="37" t="s">
        <v>29</v>
      </c>
      <c r="H42" s="37" t="s">
        <v>34</v>
      </c>
      <c r="I42" s="37" t="s">
        <v>9</v>
      </c>
      <c r="J42" s="36">
        <v>75.5</v>
      </c>
      <c r="K42" s="27">
        <f>24</f>
        <v>24</v>
      </c>
      <c r="L42" s="127">
        <f t="shared" si="0"/>
        <v>0</v>
      </c>
      <c r="M42" s="127">
        <f t="shared" si="1"/>
        <v>0</v>
      </c>
      <c r="N42" s="128">
        <f>-15-7</f>
        <v>-22</v>
      </c>
      <c r="O42" s="129">
        <f t="shared" si="2"/>
        <v>6</v>
      </c>
      <c r="P42" s="128"/>
      <c r="Q42" s="128"/>
      <c r="R42" s="128"/>
      <c r="S42" s="26">
        <f t="shared" si="3"/>
        <v>2</v>
      </c>
      <c r="T42" s="25" t="str">
        <f t="shared" si="4"/>
        <v>OK</v>
      </c>
      <c r="U42" s="22"/>
      <c r="V42" s="22"/>
      <c r="W42" s="22"/>
      <c r="X42" s="22"/>
      <c r="Y42" s="24"/>
      <c r="Z42" s="24"/>
      <c r="AA42" s="24"/>
      <c r="AB42" s="22"/>
      <c r="AC42" s="22"/>
      <c r="AD42" s="22"/>
      <c r="AE42" s="22"/>
      <c r="AF42" s="22"/>
      <c r="AG42" s="22"/>
      <c r="AH42" s="22"/>
    </row>
    <row r="43" spans="1:34" ht="30.25" customHeight="1" x14ac:dyDescent="0.35">
      <c r="A43" s="199"/>
      <c r="B43" s="84">
        <v>40</v>
      </c>
      <c r="C43" s="196"/>
      <c r="D43" s="34" t="s">
        <v>10</v>
      </c>
      <c r="E43" s="41" t="s">
        <v>8</v>
      </c>
      <c r="F43" s="43" t="s">
        <v>28</v>
      </c>
      <c r="G43" s="37" t="s">
        <v>29</v>
      </c>
      <c r="H43" s="37" t="s">
        <v>8</v>
      </c>
      <c r="I43" s="37" t="s">
        <v>9</v>
      </c>
      <c r="J43" s="36">
        <v>1600</v>
      </c>
      <c r="K43" s="27">
        <f>55</f>
        <v>55</v>
      </c>
      <c r="L43" s="127">
        <f t="shared" si="0"/>
        <v>2</v>
      </c>
      <c r="M43" s="127">
        <f t="shared" si="1"/>
        <v>2</v>
      </c>
      <c r="N43" s="128">
        <f>-20-25</f>
        <v>-45</v>
      </c>
      <c r="O43" s="129">
        <f t="shared" si="2"/>
        <v>13</v>
      </c>
      <c r="P43" s="128"/>
      <c r="Q43" s="128"/>
      <c r="R43" s="128"/>
      <c r="S43" s="26">
        <f t="shared" si="3"/>
        <v>8</v>
      </c>
      <c r="T43" s="25" t="str">
        <f t="shared" si="4"/>
        <v>OK</v>
      </c>
      <c r="U43" s="22"/>
      <c r="V43" s="22">
        <v>2</v>
      </c>
      <c r="W43" s="22"/>
      <c r="X43" s="22"/>
      <c r="Y43" s="24"/>
      <c r="Z43" s="24"/>
      <c r="AA43" s="24"/>
      <c r="AB43" s="22"/>
      <c r="AC43" s="22"/>
      <c r="AD43" s="22"/>
      <c r="AE43" s="22"/>
      <c r="AF43" s="22"/>
      <c r="AG43" s="22"/>
      <c r="AH43" s="22"/>
    </row>
    <row r="44" spans="1:34" ht="30.25" customHeight="1" x14ac:dyDescent="0.35">
      <c r="A44" s="199"/>
      <c r="B44" s="84">
        <v>41</v>
      </c>
      <c r="C44" s="196"/>
      <c r="D44" s="34" t="s">
        <v>13</v>
      </c>
      <c r="E44" s="41" t="s">
        <v>8</v>
      </c>
      <c r="F44" s="43" t="s">
        <v>28</v>
      </c>
      <c r="G44" s="37" t="s">
        <v>29</v>
      </c>
      <c r="H44" s="37" t="s">
        <v>34</v>
      </c>
      <c r="I44" s="37" t="s">
        <v>9</v>
      </c>
      <c r="J44" s="36">
        <v>75</v>
      </c>
      <c r="K44" s="27">
        <f>8</f>
        <v>8</v>
      </c>
      <c r="L44" s="127">
        <f t="shared" si="0"/>
        <v>0</v>
      </c>
      <c r="M44" s="127">
        <f t="shared" si="1"/>
        <v>0</v>
      </c>
      <c r="N44" s="128">
        <v>-6</v>
      </c>
      <c r="O44" s="129">
        <f t="shared" si="2"/>
        <v>2</v>
      </c>
      <c r="P44" s="128"/>
      <c r="Q44" s="128"/>
      <c r="R44" s="128"/>
      <c r="S44" s="26">
        <f t="shared" si="3"/>
        <v>2</v>
      </c>
      <c r="T44" s="25" t="str">
        <f t="shared" si="4"/>
        <v>OK</v>
      </c>
      <c r="U44" s="22"/>
      <c r="V44" s="22"/>
      <c r="W44" s="22"/>
      <c r="X44" s="22"/>
      <c r="Y44" s="24"/>
      <c r="Z44" s="24"/>
      <c r="AA44" s="24"/>
      <c r="AB44" s="22"/>
      <c r="AC44" s="22"/>
      <c r="AD44" s="22"/>
      <c r="AE44" s="22"/>
      <c r="AF44" s="22"/>
      <c r="AG44" s="22"/>
      <c r="AH44" s="22"/>
    </row>
    <row r="45" spans="1:34" ht="30.25" customHeight="1" x14ac:dyDescent="0.35">
      <c r="A45" s="199"/>
      <c r="B45" s="84">
        <v>42</v>
      </c>
      <c r="C45" s="196"/>
      <c r="D45" s="34" t="s">
        <v>157</v>
      </c>
      <c r="E45" s="41" t="s">
        <v>8</v>
      </c>
      <c r="F45" s="43" t="s">
        <v>28</v>
      </c>
      <c r="G45" s="37" t="s">
        <v>29</v>
      </c>
      <c r="H45" s="37" t="s">
        <v>8</v>
      </c>
      <c r="I45" s="37" t="s">
        <v>9</v>
      </c>
      <c r="J45" s="36">
        <v>350</v>
      </c>
      <c r="K45" s="27">
        <f>30</f>
        <v>30</v>
      </c>
      <c r="L45" s="127">
        <f t="shared" si="0"/>
        <v>0</v>
      </c>
      <c r="M45" s="127">
        <f t="shared" si="1"/>
        <v>0</v>
      </c>
      <c r="N45" s="128">
        <f>-5-20</f>
        <v>-25</v>
      </c>
      <c r="O45" s="129">
        <f t="shared" si="2"/>
        <v>7</v>
      </c>
      <c r="P45" s="128"/>
      <c r="Q45" s="128"/>
      <c r="R45" s="128"/>
      <c r="S45" s="26">
        <f t="shared" si="3"/>
        <v>5</v>
      </c>
      <c r="T45" s="25" t="str">
        <f t="shared" si="4"/>
        <v>OK</v>
      </c>
      <c r="U45" s="22"/>
      <c r="V45" s="22"/>
      <c r="W45" s="22"/>
      <c r="X45" s="22"/>
      <c r="Y45" s="24"/>
      <c r="Z45" s="24"/>
      <c r="AA45" s="24"/>
      <c r="AB45" s="22"/>
      <c r="AC45" s="22"/>
      <c r="AD45" s="22"/>
      <c r="AE45" s="22"/>
      <c r="AF45" s="22"/>
      <c r="AG45" s="22"/>
      <c r="AH45" s="22"/>
    </row>
    <row r="46" spans="1:34" ht="30.25" customHeight="1" x14ac:dyDescent="0.35">
      <c r="A46" s="199"/>
      <c r="B46" s="37">
        <v>43</v>
      </c>
      <c r="C46" s="196"/>
      <c r="D46" s="34" t="s">
        <v>30</v>
      </c>
      <c r="E46" s="41" t="s">
        <v>8</v>
      </c>
      <c r="F46" s="43" t="s">
        <v>28</v>
      </c>
      <c r="G46" s="37" t="s">
        <v>29</v>
      </c>
      <c r="H46" s="37" t="s">
        <v>8</v>
      </c>
      <c r="I46" s="37" t="s">
        <v>9</v>
      </c>
      <c r="J46" s="36">
        <v>100.25</v>
      </c>
      <c r="K46" s="27">
        <f>10</f>
        <v>10</v>
      </c>
      <c r="L46" s="127">
        <f t="shared" si="0"/>
        <v>0</v>
      </c>
      <c r="M46" s="127">
        <f t="shared" si="1"/>
        <v>0</v>
      </c>
      <c r="N46" s="128">
        <f>-4-4</f>
        <v>-8</v>
      </c>
      <c r="O46" s="129">
        <f t="shared" si="2"/>
        <v>2</v>
      </c>
      <c r="P46" s="128"/>
      <c r="Q46" s="128"/>
      <c r="R46" s="128"/>
      <c r="S46" s="26">
        <f t="shared" si="3"/>
        <v>2</v>
      </c>
      <c r="T46" s="25" t="str">
        <f t="shared" si="4"/>
        <v>OK</v>
      </c>
      <c r="U46" s="22"/>
      <c r="V46" s="22"/>
      <c r="W46" s="22"/>
      <c r="X46" s="22"/>
      <c r="Y46" s="24"/>
      <c r="Z46" s="24"/>
      <c r="AA46" s="24"/>
      <c r="AB46" s="22"/>
      <c r="AC46" s="22"/>
      <c r="AD46" s="22"/>
      <c r="AE46" s="22"/>
      <c r="AF46" s="22"/>
      <c r="AG46" s="22"/>
      <c r="AH46" s="22"/>
    </row>
    <row r="47" spans="1:34" ht="30.25" customHeight="1" x14ac:dyDescent="0.35">
      <c r="A47" s="199"/>
      <c r="B47" s="37">
        <v>44</v>
      </c>
      <c r="C47" s="196"/>
      <c r="D47" s="34" t="s">
        <v>158</v>
      </c>
      <c r="E47" s="41" t="s">
        <v>8</v>
      </c>
      <c r="F47" s="42" t="s">
        <v>28</v>
      </c>
      <c r="G47" s="37" t="s">
        <v>159</v>
      </c>
      <c r="H47" s="37" t="s">
        <v>8</v>
      </c>
      <c r="I47" s="37" t="s">
        <v>9</v>
      </c>
      <c r="J47" s="36">
        <v>1424</v>
      </c>
      <c r="K47" s="27">
        <f>5</f>
        <v>5</v>
      </c>
      <c r="L47" s="127">
        <f t="shared" si="0"/>
        <v>0</v>
      </c>
      <c r="M47" s="127">
        <f t="shared" si="1"/>
        <v>0</v>
      </c>
      <c r="N47" s="128">
        <v>-3</v>
      </c>
      <c r="O47" s="129">
        <f t="shared" si="2"/>
        <v>1</v>
      </c>
      <c r="P47" s="128"/>
      <c r="Q47" s="128"/>
      <c r="R47" s="128"/>
      <c r="S47" s="26">
        <f t="shared" si="3"/>
        <v>2</v>
      </c>
      <c r="T47" s="25" t="str">
        <f t="shared" si="4"/>
        <v>OK</v>
      </c>
      <c r="U47" s="22"/>
      <c r="V47" s="22"/>
      <c r="W47" s="22"/>
      <c r="X47" s="22"/>
      <c r="Y47" s="24"/>
      <c r="Z47" s="24"/>
      <c r="AA47" s="24"/>
      <c r="AB47" s="22"/>
      <c r="AC47" s="22"/>
      <c r="AD47" s="22"/>
      <c r="AE47" s="22"/>
      <c r="AF47" s="22"/>
      <c r="AG47" s="22"/>
      <c r="AH47" s="22"/>
    </row>
    <row r="48" spans="1:34" ht="30.25" customHeight="1" x14ac:dyDescent="0.35">
      <c r="A48" s="200"/>
      <c r="B48" s="37">
        <v>45</v>
      </c>
      <c r="C48" s="197"/>
      <c r="D48" s="34" t="s">
        <v>160</v>
      </c>
      <c r="E48" s="41" t="s">
        <v>8</v>
      </c>
      <c r="F48" s="43" t="s">
        <v>28</v>
      </c>
      <c r="G48" s="37" t="s">
        <v>29</v>
      </c>
      <c r="H48" s="37" t="s">
        <v>8</v>
      </c>
      <c r="I48" s="37" t="s">
        <v>9</v>
      </c>
      <c r="J48" s="36">
        <v>2503.0100000000002</v>
      </c>
      <c r="K48" s="27">
        <f>4</f>
        <v>4</v>
      </c>
      <c r="L48" s="127">
        <f t="shared" si="0"/>
        <v>0</v>
      </c>
      <c r="M48" s="127">
        <f t="shared" si="1"/>
        <v>0</v>
      </c>
      <c r="N48" s="128">
        <v>-2</v>
      </c>
      <c r="O48" s="129">
        <f t="shared" si="2"/>
        <v>1</v>
      </c>
      <c r="P48" s="128"/>
      <c r="Q48" s="128"/>
      <c r="R48" s="128"/>
      <c r="S48" s="26">
        <f t="shared" si="3"/>
        <v>2</v>
      </c>
      <c r="T48" s="25" t="str">
        <f t="shared" si="4"/>
        <v>OK</v>
      </c>
      <c r="U48" s="22"/>
      <c r="V48" s="22"/>
      <c r="W48" s="22"/>
      <c r="X48" s="22"/>
      <c r="Y48" s="24"/>
      <c r="Z48" s="24"/>
      <c r="AA48" s="24"/>
      <c r="AB48" s="22"/>
      <c r="AC48" s="22"/>
      <c r="AD48" s="22"/>
      <c r="AE48" s="22"/>
      <c r="AF48" s="22"/>
      <c r="AG48" s="22"/>
      <c r="AH48" s="22"/>
    </row>
    <row r="49" spans="1:34" ht="30.25" customHeight="1" x14ac:dyDescent="0.35">
      <c r="A49" s="208" t="s">
        <v>161</v>
      </c>
      <c r="B49" s="44">
        <v>46</v>
      </c>
      <c r="C49" s="205" t="s">
        <v>33</v>
      </c>
      <c r="D49" s="46" t="s">
        <v>27</v>
      </c>
      <c r="E49" s="48" t="s">
        <v>8</v>
      </c>
      <c r="F49" s="50" t="s">
        <v>28</v>
      </c>
      <c r="G49" s="44" t="s">
        <v>29</v>
      </c>
      <c r="H49" s="44" t="s">
        <v>8</v>
      </c>
      <c r="I49" s="44" t="s">
        <v>9</v>
      </c>
      <c r="J49" s="47">
        <v>80</v>
      </c>
      <c r="K49" s="27">
        <f>0</f>
        <v>0</v>
      </c>
      <c r="L49" s="127">
        <f t="shared" si="0"/>
        <v>0</v>
      </c>
      <c r="M49" s="127">
        <f t="shared" si="1"/>
        <v>0</v>
      </c>
      <c r="N49" s="128"/>
      <c r="O49" s="129">
        <f t="shared" si="2"/>
        <v>0</v>
      </c>
      <c r="P49" s="128"/>
      <c r="Q49" s="128"/>
      <c r="R49" s="128"/>
      <c r="S49" s="26">
        <f t="shared" si="3"/>
        <v>0</v>
      </c>
      <c r="T49" s="25" t="str">
        <f t="shared" si="4"/>
        <v>OK</v>
      </c>
      <c r="U49" s="22"/>
      <c r="V49" s="22"/>
      <c r="W49" s="22"/>
      <c r="X49" s="22"/>
      <c r="Y49" s="24"/>
      <c r="Z49" s="24"/>
      <c r="AA49" s="24"/>
      <c r="AB49" s="22"/>
      <c r="AC49" s="22"/>
      <c r="AD49" s="22"/>
      <c r="AE49" s="22"/>
      <c r="AF49" s="22"/>
      <c r="AG49" s="22"/>
      <c r="AH49" s="22"/>
    </row>
    <row r="50" spans="1:34" ht="30.25" customHeight="1" x14ac:dyDescent="0.35">
      <c r="A50" s="209"/>
      <c r="B50" s="44">
        <v>47</v>
      </c>
      <c r="C50" s="206"/>
      <c r="D50" s="46" t="s">
        <v>7</v>
      </c>
      <c r="E50" s="48" t="s">
        <v>8</v>
      </c>
      <c r="F50" s="50" t="s">
        <v>28</v>
      </c>
      <c r="G50" s="44" t="s">
        <v>29</v>
      </c>
      <c r="H50" s="44" t="s">
        <v>8</v>
      </c>
      <c r="I50" s="44" t="s">
        <v>9</v>
      </c>
      <c r="J50" s="47">
        <v>550</v>
      </c>
      <c r="K50" s="27">
        <f>0</f>
        <v>0</v>
      </c>
      <c r="L50" s="127">
        <f t="shared" si="0"/>
        <v>0</v>
      </c>
      <c r="M50" s="127">
        <f t="shared" si="1"/>
        <v>0</v>
      </c>
      <c r="N50" s="128"/>
      <c r="O50" s="129">
        <f t="shared" si="2"/>
        <v>0</v>
      </c>
      <c r="P50" s="128"/>
      <c r="Q50" s="128"/>
      <c r="R50" s="128"/>
      <c r="S50" s="26">
        <f t="shared" si="3"/>
        <v>0</v>
      </c>
      <c r="T50" s="25" t="str">
        <f t="shared" si="4"/>
        <v>OK</v>
      </c>
      <c r="U50" s="22"/>
      <c r="V50" s="22"/>
      <c r="W50" s="22"/>
      <c r="X50" s="22"/>
      <c r="Y50" s="24"/>
      <c r="Z50" s="24"/>
      <c r="AA50" s="24"/>
      <c r="AB50" s="22"/>
      <c r="AC50" s="22"/>
      <c r="AD50" s="22"/>
      <c r="AE50" s="22"/>
      <c r="AF50" s="22"/>
      <c r="AG50" s="22"/>
      <c r="AH50" s="22"/>
    </row>
    <row r="51" spans="1:34" ht="30.25" customHeight="1" x14ac:dyDescent="0.35">
      <c r="A51" s="209"/>
      <c r="B51" s="44">
        <v>48</v>
      </c>
      <c r="C51" s="206"/>
      <c r="D51" s="46" t="s">
        <v>10</v>
      </c>
      <c r="E51" s="48" t="s">
        <v>8</v>
      </c>
      <c r="F51" s="50" t="s">
        <v>28</v>
      </c>
      <c r="G51" s="44" t="s">
        <v>29</v>
      </c>
      <c r="H51" s="44" t="s">
        <v>8</v>
      </c>
      <c r="I51" s="44" t="s">
        <v>9</v>
      </c>
      <c r="J51" s="47">
        <v>850</v>
      </c>
      <c r="K51" s="27">
        <f>0</f>
        <v>0</v>
      </c>
      <c r="L51" s="127">
        <f t="shared" si="0"/>
        <v>0</v>
      </c>
      <c r="M51" s="127">
        <f t="shared" si="1"/>
        <v>0</v>
      </c>
      <c r="N51" s="128"/>
      <c r="O51" s="129">
        <f t="shared" si="2"/>
        <v>0</v>
      </c>
      <c r="P51" s="128"/>
      <c r="Q51" s="128"/>
      <c r="R51" s="128"/>
      <c r="S51" s="26">
        <f t="shared" si="3"/>
        <v>0</v>
      </c>
      <c r="T51" s="25" t="str">
        <f t="shared" si="4"/>
        <v>OK</v>
      </c>
      <c r="U51" s="22"/>
      <c r="V51" s="22"/>
      <c r="W51" s="22"/>
      <c r="X51" s="22"/>
      <c r="Y51" s="24"/>
      <c r="Z51" s="24"/>
      <c r="AA51" s="24"/>
      <c r="AB51" s="22"/>
      <c r="AC51" s="22"/>
      <c r="AD51" s="22"/>
      <c r="AE51" s="22"/>
      <c r="AF51" s="22"/>
      <c r="AG51" s="22"/>
      <c r="AH51" s="22"/>
    </row>
    <row r="52" spans="1:34" ht="30.25" customHeight="1" x14ac:dyDescent="0.35">
      <c r="A52" s="209"/>
      <c r="B52" s="44">
        <v>49</v>
      </c>
      <c r="C52" s="206"/>
      <c r="D52" s="46" t="s">
        <v>11</v>
      </c>
      <c r="E52" s="48" t="s">
        <v>8</v>
      </c>
      <c r="F52" s="50" t="s">
        <v>28</v>
      </c>
      <c r="G52" s="44" t="s">
        <v>29</v>
      </c>
      <c r="H52" s="44" t="s">
        <v>8</v>
      </c>
      <c r="I52" s="44" t="s">
        <v>9</v>
      </c>
      <c r="J52" s="47">
        <v>800</v>
      </c>
      <c r="K52" s="27">
        <f>0</f>
        <v>0</v>
      </c>
      <c r="L52" s="127">
        <f t="shared" si="0"/>
        <v>0</v>
      </c>
      <c r="M52" s="127">
        <f t="shared" si="1"/>
        <v>0</v>
      </c>
      <c r="N52" s="128"/>
      <c r="O52" s="129">
        <f t="shared" si="2"/>
        <v>0</v>
      </c>
      <c r="P52" s="128"/>
      <c r="Q52" s="128"/>
      <c r="R52" s="128"/>
      <c r="S52" s="26">
        <f t="shared" si="3"/>
        <v>0</v>
      </c>
      <c r="T52" s="25" t="str">
        <f t="shared" si="4"/>
        <v>OK</v>
      </c>
      <c r="U52" s="22"/>
      <c r="V52" s="22"/>
      <c r="W52" s="22"/>
      <c r="X52" s="22"/>
      <c r="Y52" s="24"/>
      <c r="Z52" s="24"/>
      <c r="AA52" s="24"/>
      <c r="AB52" s="22"/>
      <c r="AC52" s="22"/>
      <c r="AD52" s="22"/>
      <c r="AE52" s="22"/>
      <c r="AF52" s="22"/>
      <c r="AG52" s="22"/>
      <c r="AH52" s="22"/>
    </row>
    <row r="53" spans="1:34" ht="30.25" customHeight="1" x14ac:dyDescent="0.35">
      <c r="A53" s="209"/>
      <c r="B53" s="44">
        <v>50</v>
      </c>
      <c r="C53" s="206"/>
      <c r="D53" s="46" t="s">
        <v>12</v>
      </c>
      <c r="E53" s="48" t="s">
        <v>8</v>
      </c>
      <c r="F53" s="50" t="s">
        <v>28</v>
      </c>
      <c r="G53" s="44" t="s">
        <v>29</v>
      </c>
      <c r="H53" s="44" t="s">
        <v>34</v>
      </c>
      <c r="I53" s="44" t="s">
        <v>9</v>
      </c>
      <c r="J53" s="47">
        <v>50</v>
      </c>
      <c r="K53" s="27">
        <f>0</f>
        <v>0</v>
      </c>
      <c r="L53" s="127">
        <f t="shared" si="0"/>
        <v>0</v>
      </c>
      <c r="M53" s="127">
        <f t="shared" si="1"/>
        <v>0</v>
      </c>
      <c r="N53" s="128"/>
      <c r="O53" s="129">
        <f t="shared" si="2"/>
        <v>0</v>
      </c>
      <c r="P53" s="128"/>
      <c r="Q53" s="128"/>
      <c r="R53" s="128"/>
      <c r="S53" s="26">
        <f t="shared" si="3"/>
        <v>0</v>
      </c>
      <c r="T53" s="25" t="str">
        <f t="shared" si="4"/>
        <v>OK</v>
      </c>
      <c r="U53" s="22"/>
      <c r="V53" s="22"/>
      <c r="W53" s="22"/>
      <c r="X53" s="22"/>
      <c r="Y53" s="24"/>
      <c r="Z53" s="24"/>
      <c r="AA53" s="24"/>
      <c r="AB53" s="22"/>
      <c r="AC53" s="22"/>
      <c r="AD53" s="22"/>
      <c r="AE53" s="22"/>
      <c r="AF53" s="22"/>
      <c r="AG53" s="22"/>
      <c r="AH53" s="22"/>
    </row>
    <row r="54" spans="1:34" ht="30.25" customHeight="1" x14ac:dyDescent="0.35">
      <c r="A54" s="209"/>
      <c r="B54" s="44">
        <v>51</v>
      </c>
      <c r="C54" s="206"/>
      <c r="D54" s="46" t="s">
        <v>156</v>
      </c>
      <c r="E54" s="48" t="s">
        <v>8</v>
      </c>
      <c r="F54" s="50" t="s">
        <v>28</v>
      </c>
      <c r="G54" s="44" t="s">
        <v>29</v>
      </c>
      <c r="H54" s="44" t="s">
        <v>34</v>
      </c>
      <c r="I54" s="44" t="s">
        <v>9</v>
      </c>
      <c r="J54" s="47">
        <v>50</v>
      </c>
      <c r="K54" s="27">
        <f>0</f>
        <v>0</v>
      </c>
      <c r="L54" s="127">
        <f t="shared" si="0"/>
        <v>0</v>
      </c>
      <c r="M54" s="127">
        <f t="shared" si="1"/>
        <v>0</v>
      </c>
      <c r="N54" s="128"/>
      <c r="O54" s="129">
        <f t="shared" si="2"/>
        <v>0</v>
      </c>
      <c r="P54" s="128"/>
      <c r="Q54" s="128"/>
      <c r="R54" s="128"/>
      <c r="S54" s="26">
        <f t="shared" si="3"/>
        <v>0</v>
      </c>
      <c r="T54" s="25" t="str">
        <f t="shared" si="4"/>
        <v>OK</v>
      </c>
      <c r="U54" s="22"/>
      <c r="V54" s="22"/>
      <c r="W54" s="22"/>
      <c r="X54" s="22"/>
      <c r="Y54" s="24"/>
      <c r="Z54" s="24"/>
      <c r="AA54" s="24"/>
      <c r="AB54" s="22"/>
      <c r="AC54" s="22"/>
      <c r="AD54" s="22"/>
      <c r="AE54" s="22"/>
      <c r="AF54" s="22"/>
      <c r="AG54" s="22"/>
      <c r="AH54" s="22"/>
    </row>
    <row r="55" spans="1:34" ht="30.25" customHeight="1" x14ac:dyDescent="0.35">
      <c r="A55" s="209"/>
      <c r="B55" s="44">
        <v>52</v>
      </c>
      <c r="C55" s="206"/>
      <c r="D55" s="46" t="s">
        <v>13</v>
      </c>
      <c r="E55" s="48" t="s">
        <v>8</v>
      </c>
      <c r="F55" s="50" t="s">
        <v>28</v>
      </c>
      <c r="G55" s="44" t="s">
        <v>29</v>
      </c>
      <c r="H55" s="44" t="s">
        <v>34</v>
      </c>
      <c r="I55" s="44" t="s">
        <v>9</v>
      </c>
      <c r="J55" s="47">
        <v>50</v>
      </c>
      <c r="K55" s="27">
        <f>0</f>
        <v>0</v>
      </c>
      <c r="L55" s="127">
        <f t="shared" si="0"/>
        <v>0</v>
      </c>
      <c r="M55" s="127">
        <f t="shared" si="1"/>
        <v>0</v>
      </c>
      <c r="N55" s="128"/>
      <c r="O55" s="129">
        <f t="shared" si="2"/>
        <v>0</v>
      </c>
      <c r="P55" s="128"/>
      <c r="Q55" s="128"/>
      <c r="R55" s="128"/>
      <c r="S55" s="26">
        <f t="shared" si="3"/>
        <v>0</v>
      </c>
      <c r="T55" s="25" t="str">
        <f t="shared" si="4"/>
        <v>OK</v>
      </c>
      <c r="U55" s="22"/>
      <c r="V55" s="22"/>
      <c r="W55" s="22"/>
      <c r="X55" s="22"/>
      <c r="Y55" s="24"/>
      <c r="Z55" s="24"/>
      <c r="AA55" s="24"/>
      <c r="AB55" s="22"/>
      <c r="AC55" s="22"/>
      <c r="AD55" s="22"/>
      <c r="AE55" s="22"/>
      <c r="AF55" s="22"/>
      <c r="AG55" s="22"/>
      <c r="AH55" s="22"/>
    </row>
    <row r="56" spans="1:34" ht="30.25" customHeight="1" x14ac:dyDescent="0.35">
      <c r="A56" s="209"/>
      <c r="B56" s="44">
        <v>53</v>
      </c>
      <c r="C56" s="206"/>
      <c r="D56" s="46" t="s">
        <v>157</v>
      </c>
      <c r="E56" s="48" t="s">
        <v>8</v>
      </c>
      <c r="F56" s="50" t="s">
        <v>28</v>
      </c>
      <c r="G56" s="44" t="s">
        <v>29</v>
      </c>
      <c r="H56" s="44" t="s">
        <v>8</v>
      </c>
      <c r="I56" s="44" t="s">
        <v>9</v>
      </c>
      <c r="J56" s="47">
        <v>50</v>
      </c>
      <c r="K56" s="27">
        <f>0</f>
        <v>0</v>
      </c>
      <c r="L56" s="127">
        <f t="shared" si="0"/>
        <v>0</v>
      </c>
      <c r="M56" s="127">
        <f t="shared" si="1"/>
        <v>0</v>
      </c>
      <c r="N56" s="128"/>
      <c r="O56" s="129">
        <f t="shared" si="2"/>
        <v>0</v>
      </c>
      <c r="P56" s="128"/>
      <c r="Q56" s="128"/>
      <c r="R56" s="128"/>
      <c r="S56" s="26">
        <f t="shared" si="3"/>
        <v>0</v>
      </c>
      <c r="T56" s="25" t="str">
        <f t="shared" si="4"/>
        <v>OK</v>
      </c>
      <c r="U56" s="22"/>
      <c r="V56" s="22"/>
      <c r="W56" s="22"/>
      <c r="X56" s="22"/>
      <c r="Y56" s="24"/>
      <c r="Z56" s="24"/>
      <c r="AA56" s="24"/>
      <c r="AB56" s="22"/>
      <c r="AC56" s="22"/>
      <c r="AD56" s="22"/>
      <c r="AE56" s="22"/>
      <c r="AF56" s="22"/>
      <c r="AG56" s="22"/>
      <c r="AH56" s="22"/>
    </row>
    <row r="57" spans="1:34" ht="30.25" customHeight="1" x14ac:dyDescent="0.35">
      <c r="A57" s="209"/>
      <c r="B57" s="44">
        <v>54</v>
      </c>
      <c r="C57" s="206"/>
      <c r="D57" s="46" t="s">
        <v>30</v>
      </c>
      <c r="E57" s="48" t="s">
        <v>8</v>
      </c>
      <c r="F57" s="50" t="s">
        <v>28</v>
      </c>
      <c r="G57" s="44" t="s">
        <v>29</v>
      </c>
      <c r="H57" s="44" t="s">
        <v>8</v>
      </c>
      <c r="I57" s="44" t="s">
        <v>9</v>
      </c>
      <c r="J57" s="47">
        <v>80</v>
      </c>
      <c r="K57" s="27">
        <f>0</f>
        <v>0</v>
      </c>
      <c r="L57" s="127">
        <f t="shared" si="0"/>
        <v>0</v>
      </c>
      <c r="M57" s="127">
        <f t="shared" si="1"/>
        <v>0</v>
      </c>
      <c r="N57" s="128"/>
      <c r="O57" s="129">
        <f t="shared" si="2"/>
        <v>0</v>
      </c>
      <c r="P57" s="128"/>
      <c r="Q57" s="128"/>
      <c r="R57" s="128"/>
      <c r="S57" s="26">
        <f t="shared" si="3"/>
        <v>0</v>
      </c>
      <c r="T57" s="25" t="str">
        <f t="shared" si="4"/>
        <v>OK</v>
      </c>
      <c r="U57" s="22"/>
      <c r="V57" s="22"/>
      <c r="W57" s="22"/>
      <c r="X57" s="22"/>
      <c r="Y57" s="24"/>
      <c r="Z57" s="24"/>
      <c r="AA57" s="24"/>
      <c r="AB57" s="22"/>
      <c r="AC57" s="22"/>
      <c r="AD57" s="22"/>
      <c r="AE57" s="22"/>
      <c r="AF57" s="22"/>
      <c r="AG57" s="22"/>
      <c r="AH57" s="22"/>
    </row>
    <row r="58" spans="1:34" ht="30.25" customHeight="1" x14ac:dyDescent="0.35">
      <c r="A58" s="209"/>
      <c r="B58" s="44">
        <v>55</v>
      </c>
      <c r="C58" s="206"/>
      <c r="D58" s="46" t="s">
        <v>162</v>
      </c>
      <c r="E58" s="48" t="s">
        <v>8</v>
      </c>
      <c r="F58" s="50" t="s">
        <v>28</v>
      </c>
      <c r="G58" s="44" t="s">
        <v>159</v>
      </c>
      <c r="H58" s="44" t="s">
        <v>8</v>
      </c>
      <c r="I58" s="44" t="s">
        <v>9</v>
      </c>
      <c r="J58" s="47">
        <v>1114</v>
      </c>
      <c r="K58" s="27">
        <f>0</f>
        <v>0</v>
      </c>
      <c r="L58" s="127">
        <f t="shared" si="0"/>
        <v>0</v>
      </c>
      <c r="M58" s="127">
        <f t="shared" si="1"/>
        <v>0</v>
      </c>
      <c r="N58" s="128"/>
      <c r="O58" s="129">
        <f t="shared" si="2"/>
        <v>0</v>
      </c>
      <c r="P58" s="128"/>
      <c r="Q58" s="128"/>
      <c r="R58" s="128"/>
      <c r="S58" s="26">
        <f t="shared" si="3"/>
        <v>0</v>
      </c>
      <c r="T58" s="25" t="str">
        <f t="shared" si="4"/>
        <v>OK</v>
      </c>
      <c r="U58" s="22"/>
      <c r="V58" s="22"/>
      <c r="W58" s="22"/>
      <c r="X58" s="22"/>
      <c r="Y58" s="24"/>
      <c r="Z58" s="24"/>
      <c r="AA58" s="24"/>
      <c r="AB58" s="22"/>
      <c r="AC58" s="22"/>
      <c r="AD58" s="22"/>
      <c r="AE58" s="22"/>
      <c r="AF58" s="22"/>
      <c r="AG58" s="22"/>
      <c r="AH58" s="22"/>
    </row>
    <row r="59" spans="1:34" ht="30.25" customHeight="1" x14ac:dyDescent="0.35">
      <c r="A59" s="210"/>
      <c r="B59" s="44">
        <v>56</v>
      </c>
      <c r="C59" s="207"/>
      <c r="D59" s="46" t="s">
        <v>160</v>
      </c>
      <c r="E59" s="48" t="s">
        <v>8</v>
      </c>
      <c r="F59" s="50" t="s">
        <v>28</v>
      </c>
      <c r="G59" s="44" t="s">
        <v>29</v>
      </c>
      <c r="H59" s="44" t="s">
        <v>8</v>
      </c>
      <c r="I59" s="44" t="s">
        <v>9</v>
      </c>
      <c r="J59" s="47">
        <v>2000</v>
      </c>
      <c r="K59" s="27">
        <f>0</f>
        <v>0</v>
      </c>
      <c r="L59" s="127">
        <f t="shared" si="0"/>
        <v>0</v>
      </c>
      <c r="M59" s="127">
        <f t="shared" si="1"/>
        <v>0</v>
      </c>
      <c r="N59" s="128"/>
      <c r="O59" s="129">
        <f t="shared" si="2"/>
        <v>0</v>
      </c>
      <c r="P59" s="128"/>
      <c r="Q59" s="128"/>
      <c r="R59" s="128"/>
      <c r="S59" s="26">
        <f t="shared" si="3"/>
        <v>0</v>
      </c>
      <c r="T59" s="25" t="str">
        <f t="shared" si="4"/>
        <v>OK</v>
      </c>
      <c r="U59" s="22"/>
      <c r="V59" s="22"/>
      <c r="W59" s="22"/>
      <c r="X59" s="22"/>
      <c r="Y59" s="24"/>
      <c r="Z59" s="24"/>
      <c r="AA59" s="24"/>
      <c r="AB59" s="22"/>
      <c r="AC59" s="22"/>
      <c r="AD59" s="22"/>
      <c r="AE59" s="22"/>
      <c r="AF59" s="22"/>
      <c r="AG59" s="22"/>
      <c r="AH59" s="22"/>
    </row>
    <row r="60" spans="1:34" ht="30.25" customHeight="1" x14ac:dyDescent="0.35">
      <c r="A60" s="198" t="s">
        <v>163</v>
      </c>
      <c r="B60" s="37">
        <v>57</v>
      </c>
      <c r="C60" s="195" t="s">
        <v>33</v>
      </c>
      <c r="D60" s="34" t="s">
        <v>27</v>
      </c>
      <c r="E60" s="41" t="s">
        <v>8</v>
      </c>
      <c r="F60" s="43" t="s">
        <v>28</v>
      </c>
      <c r="G60" s="37" t="s">
        <v>29</v>
      </c>
      <c r="H60" s="37" t="s">
        <v>8</v>
      </c>
      <c r="I60" s="37" t="s">
        <v>9</v>
      </c>
      <c r="J60" s="36">
        <v>250.5</v>
      </c>
      <c r="K60" s="27">
        <f>0</f>
        <v>0</v>
      </c>
      <c r="L60" s="127">
        <f t="shared" si="0"/>
        <v>0</v>
      </c>
      <c r="M60" s="127">
        <f t="shared" si="1"/>
        <v>0</v>
      </c>
      <c r="N60" s="128"/>
      <c r="O60" s="129">
        <f t="shared" si="2"/>
        <v>0</v>
      </c>
      <c r="P60" s="128"/>
      <c r="Q60" s="128"/>
      <c r="R60" s="128"/>
      <c r="S60" s="26">
        <f t="shared" si="3"/>
        <v>0</v>
      </c>
      <c r="T60" s="25" t="str">
        <f t="shared" si="4"/>
        <v>OK</v>
      </c>
      <c r="U60" s="22"/>
      <c r="V60" s="22"/>
      <c r="W60" s="22"/>
      <c r="X60" s="22"/>
      <c r="Y60" s="24"/>
      <c r="Z60" s="24"/>
      <c r="AA60" s="24"/>
      <c r="AB60" s="22"/>
      <c r="AC60" s="22"/>
      <c r="AD60" s="22"/>
      <c r="AE60" s="22"/>
      <c r="AF60" s="22"/>
      <c r="AG60" s="22"/>
      <c r="AH60" s="22"/>
    </row>
    <row r="61" spans="1:34" ht="30.25" customHeight="1" x14ac:dyDescent="0.35">
      <c r="A61" s="199"/>
      <c r="B61" s="37">
        <v>58</v>
      </c>
      <c r="C61" s="196"/>
      <c r="D61" s="34" t="s">
        <v>7</v>
      </c>
      <c r="E61" s="41" t="s">
        <v>8</v>
      </c>
      <c r="F61" s="43" t="s">
        <v>28</v>
      </c>
      <c r="G61" s="37" t="s">
        <v>29</v>
      </c>
      <c r="H61" s="37" t="s">
        <v>8</v>
      </c>
      <c r="I61" s="37" t="s">
        <v>9</v>
      </c>
      <c r="J61" s="36">
        <v>1000</v>
      </c>
      <c r="K61" s="27">
        <f>0</f>
        <v>0</v>
      </c>
      <c r="L61" s="127">
        <f t="shared" si="0"/>
        <v>0</v>
      </c>
      <c r="M61" s="127">
        <f t="shared" si="1"/>
        <v>0</v>
      </c>
      <c r="N61" s="128"/>
      <c r="O61" s="129">
        <f t="shared" si="2"/>
        <v>0</v>
      </c>
      <c r="P61" s="128"/>
      <c r="Q61" s="128"/>
      <c r="R61" s="128"/>
      <c r="S61" s="26">
        <f t="shared" si="3"/>
        <v>0</v>
      </c>
      <c r="T61" s="25" t="str">
        <f t="shared" si="4"/>
        <v>OK</v>
      </c>
      <c r="U61" s="22"/>
      <c r="V61" s="22"/>
      <c r="W61" s="22"/>
      <c r="X61" s="22"/>
      <c r="Y61" s="24"/>
      <c r="Z61" s="24"/>
      <c r="AA61" s="24"/>
      <c r="AB61" s="22"/>
      <c r="AC61" s="22"/>
      <c r="AD61" s="22"/>
      <c r="AE61" s="22"/>
      <c r="AF61" s="22"/>
      <c r="AG61" s="22"/>
      <c r="AH61" s="22"/>
    </row>
    <row r="62" spans="1:34" ht="30.25" customHeight="1" x14ac:dyDescent="0.35">
      <c r="A62" s="199"/>
      <c r="B62" s="37">
        <v>59</v>
      </c>
      <c r="C62" s="196"/>
      <c r="D62" s="34" t="s">
        <v>10</v>
      </c>
      <c r="E62" s="41" t="s">
        <v>8</v>
      </c>
      <c r="F62" s="43" t="s">
        <v>28</v>
      </c>
      <c r="G62" s="37" t="s">
        <v>29</v>
      </c>
      <c r="H62" s="37" t="s">
        <v>8</v>
      </c>
      <c r="I62" s="37" t="s">
        <v>9</v>
      </c>
      <c r="J62" s="36">
        <v>1500</v>
      </c>
      <c r="K62" s="27">
        <f>0</f>
        <v>0</v>
      </c>
      <c r="L62" s="127">
        <f t="shared" si="0"/>
        <v>0</v>
      </c>
      <c r="M62" s="127">
        <f t="shared" si="1"/>
        <v>0</v>
      </c>
      <c r="N62" s="128"/>
      <c r="O62" s="129">
        <f t="shared" si="2"/>
        <v>0</v>
      </c>
      <c r="P62" s="128"/>
      <c r="Q62" s="128"/>
      <c r="R62" s="128"/>
      <c r="S62" s="26">
        <f t="shared" si="3"/>
        <v>0</v>
      </c>
      <c r="T62" s="25" t="str">
        <f t="shared" si="4"/>
        <v>OK</v>
      </c>
      <c r="U62" s="22"/>
      <c r="V62" s="22"/>
      <c r="W62" s="22"/>
      <c r="X62" s="22"/>
      <c r="Y62" s="24"/>
      <c r="Z62" s="24"/>
      <c r="AA62" s="24"/>
      <c r="AB62" s="22"/>
      <c r="AC62" s="22"/>
      <c r="AD62" s="22"/>
      <c r="AE62" s="22"/>
      <c r="AF62" s="22"/>
      <c r="AG62" s="22"/>
      <c r="AH62" s="22"/>
    </row>
    <row r="63" spans="1:34" ht="30.25" customHeight="1" x14ac:dyDescent="0.35">
      <c r="A63" s="199"/>
      <c r="B63" s="37">
        <v>60</v>
      </c>
      <c r="C63" s="196"/>
      <c r="D63" s="34" t="s">
        <v>11</v>
      </c>
      <c r="E63" s="41" t="s">
        <v>8</v>
      </c>
      <c r="F63" s="43" t="s">
        <v>28</v>
      </c>
      <c r="G63" s="37" t="s">
        <v>29</v>
      </c>
      <c r="H63" s="37" t="s">
        <v>8</v>
      </c>
      <c r="I63" s="37" t="s">
        <v>9</v>
      </c>
      <c r="J63" s="36">
        <v>1731</v>
      </c>
      <c r="K63" s="27">
        <f>0</f>
        <v>0</v>
      </c>
      <c r="L63" s="127">
        <f t="shared" si="0"/>
        <v>0</v>
      </c>
      <c r="M63" s="127">
        <f t="shared" si="1"/>
        <v>0</v>
      </c>
      <c r="N63" s="128"/>
      <c r="O63" s="129">
        <f t="shared" si="2"/>
        <v>0</v>
      </c>
      <c r="P63" s="128"/>
      <c r="Q63" s="128"/>
      <c r="R63" s="128"/>
      <c r="S63" s="26">
        <f t="shared" si="3"/>
        <v>0</v>
      </c>
      <c r="T63" s="25" t="str">
        <f t="shared" si="4"/>
        <v>OK</v>
      </c>
      <c r="U63" s="22"/>
      <c r="V63" s="22"/>
      <c r="W63" s="22"/>
      <c r="X63" s="22"/>
      <c r="Y63" s="24"/>
      <c r="Z63" s="24"/>
      <c r="AA63" s="24"/>
      <c r="AB63" s="22"/>
      <c r="AC63" s="22"/>
      <c r="AD63" s="22"/>
      <c r="AE63" s="22"/>
      <c r="AF63" s="22"/>
      <c r="AG63" s="22"/>
      <c r="AH63" s="22"/>
    </row>
    <row r="64" spans="1:34" ht="30.25" customHeight="1" x14ac:dyDescent="0.35">
      <c r="A64" s="199"/>
      <c r="B64" s="37">
        <v>61</v>
      </c>
      <c r="C64" s="196"/>
      <c r="D64" s="34" t="s">
        <v>12</v>
      </c>
      <c r="E64" s="41" t="s">
        <v>8</v>
      </c>
      <c r="F64" s="43" t="s">
        <v>28</v>
      </c>
      <c r="G64" s="37" t="s">
        <v>29</v>
      </c>
      <c r="H64" s="37" t="s">
        <v>34</v>
      </c>
      <c r="I64" s="37" t="s">
        <v>9</v>
      </c>
      <c r="J64" s="36">
        <v>160</v>
      </c>
      <c r="K64" s="27">
        <f>0</f>
        <v>0</v>
      </c>
      <c r="L64" s="127">
        <f t="shared" si="0"/>
        <v>0</v>
      </c>
      <c r="M64" s="127">
        <f t="shared" si="1"/>
        <v>0</v>
      </c>
      <c r="N64" s="128"/>
      <c r="O64" s="129">
        <f t="shared" si="2"/>
        <v>0</v>
      </c>
      <c r="P64" s="128"/>
      <c r="Q64" s="128"/>
      <c r="R64" s="128"/>
      <c r="S64" s="26">
        <f t="shared" si="3"/>
        <v>0</v>
      </c>
      <c r="T64" s="25" t="str">
        <f t="shared" si="4"/>
        <v>OK</v>
      </c>
      <c r="U64" s="22"/>
      <c r="V64" s="22"/>
      <c r="W64" s="22"/>
      <c r="X64" s="22"/>
      <c r="Y64" s="24"/>
      <c r="Z64" s="24"/>
      <c r="AA64" s="24"/>
      <c r="AB64" s="22"/>
      <c r="AC64" s="22"/>
      <c r="AD64" s="22"/>
      <c r="AE64" s="22"/>
      <c r="AF64" s="22"/>
      <c r="AG64" s="22"/>
      <c r="AH64" s="22"/>
    </row>
    <row r="65" spans="1:34" ht="30.25" customHeight="1" x14ac:dyDescent="0.35">
      <c r="A65" s="199"/>
      <c r="B65" s="37">
        <v>62</v>
      </c>
      <c r="C65" s="196"/>
      <c r="D65" s="34" t="s">
        <v>156</v>
      </c>
      <c r="E65" s="41" t="s">
        <v>8</v>
      </c>
      <c r="F65" s="43" t="s">
        <v>28</v>
      </c>
      <c r="G65" s="37" t="s">
        <v>29</v>
      </c>
      <c r="H65" s="37" t="s">
        <v>34</v>
      </c>
      <c r="I65" s="37" t="s">
        <v>9</v>
      </c>
      <c r="J65" s="36">
        <v>135</v>
      </c>
      <c r="K65" s="27">
        <f>0</f>
        <v>0</v>
      </c>
      <c r="L65" s="127">
        <f t="shared" si="0"/>
        <v>0</v>
      </c>
      <c r="M65" s="127">
        <f t="shared" si="1"/>
        <v>0</v>
      </c>
      <c r="N65" s="128"/>
      <c r="O65" s="129">
        <f t="shared" si="2"/>
        <v>0</v>
      </c>
      <c r="P65" s="128"/>
      <c r="Q65" s="128"/>
      <c r="R65" s="128"/>
      <c r="S65" s="26">
        <f t="shared" si="3"/>
        <v>0</v>
      </c>
      <c r="T65" s="25" t="str">
        <f t="shared" si="4"/>
        <v>OK</v>
      </c>
      <c r="U65" s="22"/>
      <c r="V65" s="22"/>
      <c r="W65" s="22"/>
      <c r="X65" s="22"/>
      <c r="Y65" s="24"/>
      <c r="Z65" s="24"/>
      <c r="AA65" s="24"/>
      <c r="AB65" s="22"/>
      <c r="AC65" s="22"/>
      <c r="AD65" s="22"/>
      <c r="AE65" s="22"/>
      <c r="AF65" s="22"/>
      <c r="AG65" s="22"/>
      <c r="AH65" s="22"/>
    </row>
    <row r="66" spans="1:34" ht="30.25" customHeight="1" x14ac:dyDescent="0.35">
      <c r="A66" s="199"/>
      <c r="B66" s="37">
        <v>63</v>
      </c>
      <c r="C66" s="196"/>
      <c r="D66" s="34" t="s">
        <v>13</v>
      </c>
      <c r="E66" s="41" t="s">
        <v>8</v>
      </c>
      <c r="F66" s="43" t="s">
        <v>28</v>
      </c>
      <c r="G66" s="37" t="s">
        <v>29</v>
      </c>
      <c r="H66" s="37" t="s">
        <v>34</v>
      </c>
      <c r="I66" s="37" t="s">
        <v>9</v>
      </c>
      <c r="J66" s="36">
        <v>135</v>
      </c>
      <c r="K66" s="27">
        <f>0</f>
        <v>0</v>
      </c>
      <c r="L66" s="127">
        <f t="shared" si="0"/>
        <v>0</v>
      </c>
      <c r="M66" s="127">
        <f t="shared" si="1"/>
        <v>0</v>
      </c>
      <c r="N66" s="128"/>
      <c r="O66" s="129">
        <f t="shared" si="2"/>
        <v>0</v>
      </c>
      <c r="P66" s="128"/>
      <c r="Q66" s="128"/>
      <c r="R66" s="128"/>
      <c r="S66" s="26">
        <f t="shared" si="3"/>
        <v>0</v>
      </c>
      <c r="T66" s="25" t="str">
        <f t="shared" si="4"/>
        <v>OK</v>
      </c>
      <c r="U66" s="22"/>
      <c r="V66" s="22"/>
      <c r="W66" s="22"/>
      <c r="X66" s="22"/>
      <c r="Y66" s="24"/>
      <c r="Z66" s="24"/>
      <c r="AA66" s="24"/>
      <c r="AB66" s="22"/>
      <c r="AC66" s="22"/>
      <c r="AD66" s="22"/>
      <c r="AE66" s="22"/>
      <c r="AF66" s="22"/>
      <c r="AG66" s="22"/>
      <c r="AH66" s="22"/>
    </row>
    <row r="67" spans="1:34" ht="30.25" customHeight="1" x14ac:dyDescent="0.35">
      <c r="A67" s="199"/>
      <c r="B67" s="37">
        <v>64</v>
      </c>
      <c r="C67" s="196"/>
      <c r="D67" s="34" t="s">
        <v>157</v>
      </c>
      <c r="E67" s="41" t="s">
        <v>8</v>
      </c>
      <c r="F67" s="43" t="s">
        <v>28</v>
      </c>
      <c r="G67" s="37" t="s">
        <v>29</v>
      </c>
      <c r="H67" s="37" t="s">
        <v>8</v>
      </c>
      <c r="I67" s="37" t="s">
        <v>9</v>
      </c>
      <c r="J67" s="36">
        <v>365</v>
      </c>
      <c r="K67" s="27">
        <f>0</f>
        <v>0</v>
      </c>
      <c r="L67" s="127">
        <f t="shared" si="0"/>
        <v>0</v>
      </c>
      <c r="M67" s="127">
        <f t="shared" si="1"/>
        <v>0</v>
      </c>
      <c r="N67" s="128"/>
      <c r="O67" s="129">
        <f t="shared" si="2"/>
        <v>0</v>
      </c>
      <c r="P67" s="128"/>
      <c r="Q67" s="128"/>
      <c r="R67" s="128"/>
      <c r="S67" s="26">
        <f t="shared" si="3"/>
        <v>0</v>
      </c>
      <c r="T67" s="25" t="str">
        <f t="shared" si="4"/>
        <v>OK</v>
      </c>
      <c r="U67" s="22"/>
      <c r="V67" s="22"/>
      <c r="W67" s="22"/>
      <c r="X67" s="22"/>
      <c r="Y67" s="24"/>
      <c r="Z67" s="24"/>
      <c r="AA67" s="24"/>
      <c r="AB67" s="22"/>
      <c r="AC67" s="22"/>
      <c r="AD67" s="22"/>
      <c r="AE67" s="22"/>
      <c r="AF67" s="22"/>
      <c r="AG67" s="22"/>
      <c r="AH67" s="22"/>
    </row>
    <row r="68" spans="1:34" ht="30.25" customHeight="1" x14ac:dyDescent="0.35">
      <c r="A68" s="200"/>
      <c r="B68" s="37">
        <v>65</v>
      </c>
      <c r="C68" s="197"/>
      <c r="D68" s="34" t="s">
        <v>30</v>
      </c>
      <c r="E68" s="41" t="s">
        <v>8</v>
      </c>
      <c r="F68" s="43" t="s">
        <v>28</v>
      </c>
      <c r="G68" s="37" t="s">
        <v>29</v>
      </c>
      <c r="H68" s="37" t="s">
        <v>8</v>
      </c>
      <c r="I68" s="37" t="s">
        <v>9</v>
      </c>
      <c r="J68" s="36">
        <v>100</v>
      </c>
      <c r="K68" s="27">
        <f>0</f>
        <v>0</v>
      </c>
      <c r="L68" s="127">
        <f t="shared" si="0"/>
        <v>0</v>
      </c>
      <c r="M68" s="127">
        <f t="shared" si="1"/>
        <v>0</v>
      </c>
      <c r="N68" s="128"/>
      <c r="O68" s="129">
        <f t="shared" si="2"/>
        <v>0</v>
      </c>
      <c r="P68" s="128"/>
      <c r="Q68" s="128"/>
      <c r="R68" s="128"/>
      <c r="S68" s="26">
        <f t="shared" si="3"/>
        <v>0</v>
      </c>
      <c r="T68" s="25" t="str">
        <f t="shared" si="4"/>
        <v>OK</v>
      </c>
      <c r="U68" s="22"/>
      <c r="V68" s="22"/>
      <c r="W68" s="22"/>
      <c r="X68" s="22"/>
      <c r="Y68" s="24"/>
      <c r="Z68" s="24"/>
      <c r="AA68" s="24"/>
      <c r="AB68" s="22"/>
      <c r="AC68" s="22"/>
      <c r="AD68" s="22"/>
      <c r="AE68" s="22"/>
      <c r="AF68" s="22"/>
      <c r="AG68" s="22"/>
      <c r="AH68" s="22"/>
    </row>
    <row r="69" spans="1:34" ht="30.25" customHeight="1" x14ac:dyDescent="0.35">
      <c r="A69" s="208" t="s">
        <v>164</v>
      </c>
      <c r="B69" s="44">
        <v>66</v>
      </c>
      <c r="C69" s="205" t="s">
        <v>92</v>
      </c>
      <c r="D69" s="46" t="s">
        <v>27</v>
      </c>
      <c r="E69" s="48" t="s">
        <v>8</v>
      </c>
      <c r="F69" s="50" t="s">
        <v>28</v>
      </c>
      <c r="G69" s="44" t="s">
        <v>29</v>
      </c>
      <c r="H69" s="44" t="s">
        <v>8</v>
      </c>
      <c r="I69" s="44" t="s">
        <v>9</v>
      </c>
      <c r="J69" s="47">
        <v>140</v>
      </c>
      <c r="K69" s="27">
        <f>0</f>
        <v>0</v>
      </c>
      <c r="L69" s="127">
        <f t="shared" ref="L69:L81" si="5">IF(SUM(U69:AL69)&gt;K69+N69,K69+N69,SUM(U69:AL69))</f>
        <v>0</v>
      </c>
      <c r="M69" s="127">
        <f t="shared" ref="M69:M81" si="6">(SUM(U69:AL69))</f>
        <v>0</v>
      </c>
      <c r="N69" s="128"/>
      <c r="O69" s="129">
        <f t="shared" ref="O69:O82" si="7">ROUND(IF(K69*0.25-0.5&lt;0,0,K69*0.25-0.5),0)-R69-P69</f>
        <v>0</v>
      </c>
      <c r="P69" s="128"/>
      <c r="Q69" s="128"/>
      <c r="R69" s="128"/>
      <c r="S69" s="26">
        <f t="shared" ref="S69:S80" si="8">K69-SUM(U69:AH69)+N69</f>
        <v>0</v>
      </c>
      <c r="T69" s="25" t="str">
        <f t="shared" ref="T69:T82" si="9">IF(S69&lt;0,"ATENÇÃO","OK")</f>
        <v>OK</v>
      </c>
      <c r="U69" s="22"/>
      <c r="V69" s="22"/>
      <c r="W69" s="22"/>
      <c r="X69" s="22"/>
      <c r="Y69" s="24"/>
      <c r="Z69" s="24"/>
      <c r="AA69" s="24"/>
      <c r="AB69" s="22"/>
      <c r="AC69" s="22"/>
      <c r="AD69" s="22"/>
      <c r="AE69" s="22"/>
      <c r="AF69" s="22"/>
      <c r="AG69" s="22"/>
      <c r="AH69" s="22"/>
    </row>
    <row r="70" spans="1:34" ht="30.25" customHeight="1" x14ac:dyDescent="0.35">
      <c r="A70" s="209"/>
      <c r="B70" s="44">
        <v>67</v>
      </c>
      <c r="C70" s="206"/>
      <c r="D70" s="46" t="s">
        <v>7</v>
      </c>
      <c r="E70" s="48" t="s">
        <v>8</v>
      </c>
      <c r="F70" s="50" t="s">
        <v>28</v>
      </c>
      <c r="G70" s="44" t="s">
        <v>29</v>
      </c>
      <c r="H70" s="44" t="s">
        <v>8</v>
      </c>
      <c r="I70" s="44" t="s">
        <v>9</v>
      </c>
      <c r="J70" s="47">
        <v>530</v>
      </c>
      <c r="K70" s="27">
        <f>0</f>
        <v>0</v>
      </c>
      <c r="L70" s="127">
        <f t="shared" si="5"/>
        <v>0</v>
      </c>
      <c r="M70" s="127">
        <f t="shared" si="6"/>
        <v>0</v>
      </c>
      <c r="N70" s="128"/>
      <c r="O70" s="129">
        <f t="shared" si="7"/>
        <v>0</v>
      </c>
      <c r="P70" s="128"/>
      <c r="Q70" s="128"/>
      <c r="R70" s="128"/>
      <c r="S70" s="26">
        <f t="shared" si="8"/>
        <v>0</v>
      </c>
      <c r="T70" s="25" t="str">
        <f t="shared" si="9"/>
        <v>OK</v>
      </c>
      <c r="U70" s="22"/>
      <c r="V70" s="22"/>
      <c r="W70" s="22"/>
      <c r="X70" s="22"/>
      <c r="Y70" s="24"/>
      <c r="Z70" s="24"/>
      <c r="AA70" s="24"/>
      <c r="AB70" s="22"/>
      <c r="AC70" s="22"/>
      <c r="AD70" s="22"/>
      <c r="AE70" s="22"/>
      <c r="AF70" s="22"/>
      <c r="AG70" s="22"/>
      <c r="AH70" s="22"/>
    </row>
    <row r="71" spans="1:34" ht="30.25" customHeight="1" x14ac:dyDescent="0.35">
      <c r="A71" s="209"/>
      <c r="B71" s="44">
        <v>68</v>
      </c>
      <c r="C71" s="206"/>
      <c r="D71" s="46" t="s">
        <v>10</v>
      </c>
      <c r="E71" s="48" t="s">
        <v>8</v>
      </c>
      <c r="F71" s="50" t="s">
        <v>28</v>
      </c>
      <c r="G71" s="44" t="s">
        <v>29</v>
      </c>
      <c r="H71" s="44" t="s">
        <v>8</v>
      </c>
      <c r="I71" s="44" t="s">
        <v>9</v>
      </c>
      <c r="J71" s="47">
        <v>660</v>
      </c>
      <c r="K71" s="27">
        <f>0</f>
        <v>0</v>
      </c>
      <c r="L71" s="127">
        <f t="shared" si="5"/>
        <v>0</v>
      </c>
      <c r="M71" s="127">
        <f t="shared" si="6"/>
        <v>0</v>
      </c>
      <c r="N71" s="128"/>
      <c r="O71" s="129">
        <f t="shared" si="7"/>
        <v>0</v>
      </c>
      <c r="P71" s="128"/>
      <c r="Q71" s="128"/>
      <c r="R71" s="128"/>
      <c r="S71" s="26">
        <f t="shared" si="8"/>
        <v>0</v>
      </c>
      <c r="T71" s="25" t="str">
        <f t="shared" si="9"/>
        <v>OK</v>
      </c>
      <c r="U71" s="22"/>
      <c r="V71" s="22"/>
      <c r="W71" s="22"/>
      <c r="X71" s="22"/>
      <c r="Y71" s="24"/>
      <c r="Z71" s="24"/>
      <c r="AA71" s="24"/>
      <c r="AB71" s="22"/>
      <c r="AC71" s="22"/>
      <c r="AD71" s="22"/>
      <c r="AE71" s="22"/>
      <c r="AF71" s="22"/>
      <c r="AG71" s="22"/>
      <c r="AH71" s="22"/>
    </row>
    <row r="72" spans="1:34" ht="30.25" customHeight="1" x14ac:dyDescent="0.35">
      <c r="A72" s="209"/>
      <c r="B72" s="44">
        <v>69</v>
      </c>
      <c r="C72" s="206"/>
      <c r="D72" s="46" t="s">
        <v>11</v>
      </c>
      <c r="E72" s="48" t="s">
        <v>8</v>
      </c>
      <c r="F72" s="50" t="s">
        <v>28</v>
      </c>
      <c r="G72" s="44" t="s">
        <v>29</v>
      </c>
      <c r="H72" s="44" t="s">
        <v>8</v>
      </c>
      <c r="I72" s="44" t="s">
        <v>9</v>
      </c>
      <c r="J72" s="47">
        <v>760</v>
      </c>
      <c r="K72" s="27">
        <f>0</f>
        <v>0</v>
      </c>
      <c r="L72" s="127">
        <f t="shared" si="5"/>
        <v>0</v>
      </c>
      <c r="M72" s="127">
        <f t="shared" si="6"/>
        <v>0</v>
      </c>
      <c r="N72" s="128"/>
      <c r="O72" s="129">
        <f t="shared" si="7"/>
        <v>0</v>
      </c>
      <c r="P72" s="128"/>
      <c r="Q72" s="128"/>
      <c r="R72" s="128"/>
      <c r="S72" s="26">
        <f t="shared" si="8"/>
        <v>0</v>
      </c>
      <c r="T72" s="25" t="str">
        <f t="shared" si="9"/>
        <v>OK</v>
      </c>
      <c r="U72" s="22"/>
      <c r="V72" s="22"/>
      <c r="W72" s="22"/>
      <c r="X72" s="22"/>
      <c r="Y72" s="24"/>
      <c r="Z72" s="24"/>
      <c r="AA72" s="24"/>
      <c r="AB72" s="22"/>
      <c r="AC72" s="22"/>
      <c r="AD72" s="22"/>
      <c r="AE72" s="22"/>
      <c r="AF72" s="22"/>
      <c r="AG72" s="22"/>
      <c r="AH72" s="22"/>
    </row>
    <row r="73" spans="1:34" ht="30.25" customHeight="1" x14ac:dyDescent="0.35">
      <c r="A73" s="209"/>
      <c r="B73" s="44">
        <v>70</v>
      </c>
      <c r="C73" s="206"/>
      <c r="D73" s="46" t="s">
        <v>12</v>
      </c>
      <c r="E73" s="48" t="s">
        <v>8</v>
      </c>
      <c r="F73" s="50" t="s">
        <v>28</v>
      </c>
      <c r="G73" s="44" t="s">
        <v>29</v>
      </c>
      <c r="H73" s="44" t="s">
        <v>34</v>
      </c>
      <c r="I73" s="44" t="s">
        <v>9</v>
      </c>
      <c r="J73" s="47">
        <v>70</v>
      </c>
      <c r="K73" s="27">
        <f>0</f>
        <v>0</v>
      </c>
      <c r="L73" s="127">
        <f t="shared" si="5"/>
        <v>0</v>
      </c>
      <c r="M73" s="127">
        <f t="shared" si="6"/>
        <v>0</v>
      </c>
      <c r="N73" s="128"/>
      <c r="O73" s="129">
        <f t="shared" si="7"/>
        <v>0</v>
      </c>
      <c r="P73" s="128"/>
      <c r="Q73" s="128"/>
      <c r="R73" s="128"/>
      <c r="S73" s="26">
        <f t="shared" si="8"/>
        <v>0</v>
      </c>
      <c r="T73" s="25" t="str">
        <f t="shared" si="9"/>
        <v>OK</v>
      </c>
      <c r="U73" s="22"/>
      <c r="V73" s="22"/>
      <c r="W73" s="22"/>
      <c r="X73" s="22"/>
      <c r="Y73" s="24"/>
      <c r="Z73" s="24"/>
      <c r="AA73" s="24"/>
      <c r="AB73" s="22"/>
      <c r="AC73" s="22"/>
      <c r="AD73" s="22"/>
      <c r="AE73" s="22"/>
      <c r="AF73" s="22"/>
      <c r="AG73" s="22"/>
      <c r="AH73" s="22"/>
    </row>
    <row r="74" spans="1:34" ht="30.25" customHeight="1" x14ac:dyDescent="0.35">
      <c r="A74" s="209"/>
      <c r="B74" s="44">
        <v>71</v>
      </c>
      <c r="C74" s="206"/>
      <c r="D74" s="46" t="s">
        <v>156</v>
      </c>
      <c r="E74" s="48" t="s">
        <v>8</v>
      </c>
      <c r="F74" s="50" t="s">
        <v>28</v>
      </c>
      <c r="G74" s="44" t="s">
        <v>29</v>
      </c>
      <c r="H74" s="44" t="s">
        <v>34</v>
      </c>
      <c r="I74" s="44" t="s">
        <v>9</v>
      </c>
      <c r="J74" s="47">
        <v>75</v>
      </c>
      <c r="K74" s="27">
        <f>0</f>
        <v>0</v>
      </c>
      <c r="L74" s="127">
        <f t="shared" si="5"/>
        <v>0</v>
      </c>
      <c r="M74" s="127">
        <f t="shared" si="6"/>
        <v>0</v>
      </c>
      <c r="N74" s="128"/>
      <c r="O74" s="129">
        <f t="shared" si="7"/>
        <v>0</v>
      </c>
      <c r="P74" s="128"/>
      <c r="Q74" s="128"/>
      <c r="R74" s="128"/>
      <c r="S74" s="26">
        <f t="shared" si="8"/>
        <v>0</v>
      </c>
      <c r="T74" s="25" t="str">
        <f t="shared" si="9"/>
        <v>OK</v>
      </c>
      <c r="U74" s="22"/>
      <c r="V74" s="22"/>
      <c r="W74" s="22"/>
      <c r="X74" s="22"/>
      <c r="Y74" s="24"/>
      <c r="Z74" s="24"/>
      <c r="AA74" s="24"/>
      <c r="AB74" s="22"/>
      <c r="AC74" s="22"/>
      <c r="AD74" s="22"/>
      <c r="AE74" s="22"/>
      <c r="AF74" s="22"/>
      <c r="AG74" s="22"/>
      <c r="AH74" s="22"/>
    </row>
    <row r="75" spans="1:34" ht="30.25" customHeight="1" x14ac:dyDescent="0.35">
      <c r="A75" s="209"/>
      <c r="B75" s="44">
        <v>72</v>
      </c>
      <c r="C75" s="206"/>
      <c r="D75" s="46" t="s">
        <v>13</v>
      </c>
      <c r="E75" s="48" t="s">
        <v>8</v>
      </c>
      <c r="F75" s="50" t="s">
        <v>28</v>
      </c>
      <c r="G75" s="44" t="s">
        <v>29</v>
      </c>
      <c r="H75" s="44" t="s">
        <v>34</v>
      </c>
      <c r="I75" s="44" t="s">
        <v>9</v>
      </c>
      <c r="J75" s="47">
        <v>80</v>
      </c>
      <c r="K75" s="27">
        <f>0</f>
        <v>0</v>
      </c>
      <c r="L75" s="127">
        <f t="shared" si="5"/>
        <v>0</v>
      </c>
      <c r="M75" s="127">
        <f t="shared" si="6"/>
        <v>0</v>
      </c>
      <c r="N75" s="128"/>
      <c r="O75" s="129">
        <f t="shared" si="7"/>
        <v>0</v>
      </c>
      <c r="P75" s="128"/>
      <c r="Q75" s="128"/>
      <c r="R75" s="128"/>
      <c r="S75" s="26">
        <f t="shared" si="8"/>
        <v>0</v>
      </c>
      <c r="T75" s="25" t="str">
        <f t="shared" si="9"/>
        <v>OK</v>
      </c>
      <c r="U75" s="22"/>
      <c r="V75" s="22"/>
      <c r="W75" s="22"/>
      <c r="X75" s="22"/>
      <c r="Y75" s="24"/>
      <c r="Z75" s="24"/>
      <c r="AA75" s="24"/>
      <c r="AB75" s="22"/>
      <c r="AC75" s="22"/>
      <c r="AD75" s="22"/>
      <c r="AE75" s="22"/>
      <c r="AF75" s="22"/>
      <c r="AG75" s="22"/>
      <c r="AH75" s="22"/>
    </row>
    <row r="76" spans="1:34" ht="30.25" customHeight="1" x14ac:dyDescent="0.35">
      <c r="A76" s="209"/>
      <c r="B76" s="44">
        <v>73</v>
      </c>
      <c r="C76" s="206"/>
      <c r="D76" s="46" t="s">
        <v>157</v>
      </c>
      <c r="E76" s="48" t="s">
        <v>8</v>
      </c>
      <c r="F76" s="50" t="s">
        <v>28</v>
      </c>
      <c r="G76" s="44" t="s">
        <v>29</v>
      </c>
      <c r="H76" s="44" t="s">
        <v>8</v>
      </c>
      <c r="I76" s="44" t="s">
        <v>9</v>
      </c>
      <c r="J76" s="47">
        <v>150</v>
      </c>
      <c r="K76" s="27">
        <f>0</f>
        <v>0</v>
      </c>
      <c r="L76" s="127">
        <f t="shared" si="5"/>
        <v>0</v>
      </c>
      <c r="M76" s="127">
        <f t="shared" si="6"/>
        <v>0</v>
      </c>
      <c r="N76" s="128"/>
      <c r="O76" s="129">
        <f t="shared" si="7"/>
        <v>0</v>
      </c>
      <c r="P76" s="128"/>
      <c r="Q76" s="128"/>
      <c r="R76" s="128"/>
      <c r="S76" s="26">
        <f t="shared" si="8"/>
        <v>0</v>
      </c>
      <c r="T76" s="25" t="str">
        <f t="shared" si="9"/>
        <v>OK</v>
      </c>
      <c r="U76" s="22"/>
      <c r="V76" s="22"/>
      <c r="W76" s="22"/>
      <c r="X76" s="22"/>
      <c r="Y76" s="24"/>
      <c r="Z76" s="24"/>
      <c r="AA76" s="24"/>
      <c r="AB76" s="22"/>
      <c r="AC76" s="22"/>
      <c r="AD76" s="22"/>
      <c r="AE76" s="22"/>
      <c r="AF76" s="22"/>
      <c r="AG76" s="22"/>
      <c r="AH76" s="22"/>
    </row>
    <row r="77" spans="1:34" ht="30.25" customHeight="1" x14ac:dyDescent="0.35">
      <c r="A77" s="209"/>
      <c r="B77" s="44">
        <v>74</v>
      </c>
      <c r="C77" s="206"/>
      <c r="D77" s="46" t="s">
        <v>30</v>
      </c>
      <c r="E77" s="48" t="s">
        <v>8</v>
      </c>
      <c r="F77" s="50" t="s">
        <v>28</v>
      </c>
      <c r="G77" s="44" t="s">
        <v>29</v>
      </c>
      <c r="H77" s="44" t="s">
        <v>8</v>
      </c>
      <c r="I77" s="44" t="s">
        <v>9</v>
      </c>
      <c r="J77" s="47">
        <v>150</v>
      </c>
      <c r="K77" s="27">
        <f>0</f>
        <v>0</v>
      </c>
      <c r="L77" s="127">
        <f t="shared" si="5"/>
        <v>0</v>
      </c>
      <c r="M77" s="127">
        <f t="shared" si="6"/>
        <v>0</v>
      </c>
      <c r="N77" s="128"/>
      <c r="O77" s="129">
        <f t="shared" si="7"/>
        <v>0</v>
      </c>
      <c r="P77" s="128"/>
      <c r="Q77" s="128"/>
      <c r="R77" s="128"/>
      <c r="S77" s="26">
        <f t="shared" si="8"/>
        <v>0</v>
      </c>
      <c r="T77" s="25" t="str">
        <f t="shared" si="9"/>
        <v>OK</v>
      </c>
      <c r="U77" s="22"/>
      <c r="V77" s="22"/>
      <c r="W77" s="22"/>
      <c r="X77" s="22"/>
      <c r="Y77" s="24"/>
      <c r="Z77" s="24"/>
      <c r="AA77" s="24"/>
      <c r="AB77" s="22"/>
      <c r="AC77" s="22"/>
      <c r="AD77" s="22"/>
      <c r="AE77" s="22"/>
      <c r="AF77" s="22"/>
      <c r="AG77" s="22"/>
      <c r="AH77" s="22"/>
    </row>
    <row r="78" spans="1:34" ht="30.25" customHeight="1" x14ac:dyDescent="0.35">
      <c r="A78" s="210"/>
      <c r="B78" s="44">
        <v>75</v>
      </c>
      <c r="C78" s="207"/>
      <c r="D78" s="46" t="s">
        <v>165</v>
      </c>
      <c r="E78" s="48" t="s">
        <v>8</v>
      </c>
      <c r="F78" s="50" t="s">
        <v>28</v>
      </c>
      <c r="G78" s="44" t="s">
        <v>29</v>
      </c>
      <c r="H78" s="44" t="s">
        <v>8</v>
      </c>
      <c r="I78" s="44" t="s">
        <v>9</v>
      </c>
      <c r="J78" s="47">
        <v>300</v>
      </c>
      <c r="K78" s="27">
        <f>0</f>
        <v>0</v>
      </c>
      <c r="L78" s="127">
        <f t="shared" si="5"/>
        <v>0</v>
      </c>
      <c r="M78" s="127">
        <f t="shared" si="6"/>
        <v>0</v>
      </c>
      <c r="N78" s="128"/>
      <c r="O78" s="129">
        <f t="shared" si="7"/>
        <v>0</v>
      </c>
      <c r="P78" s="128"/>
      <c r="Q78" s="128"/>
      <c r="R78" s="128"/>
      <c r="S78" s="26">
        <f t="shared" si="8"/>
        <v>0</v>
      </c>
      <c r="T78" s="25" t="str">
        <f t="shared" si="9"/>
        <v>OK</v>
      </c>
      <c r="U78" s="22"/>
      <c r="V78" s="22"/>
      <c r="W78" s="22"/>
      <c r="X78" s="22"/>
      <c r="Y78" s="24"/>
      <c r="Z78" s="24"/>
      <c r="AA78" s="24"/>
      <c r="AB78" s="22"/>
      <c r="AC78" s="22"/>
      <c r="AD78" s="22"/>
      <c r="AE78" s="22"/>
      <c r="AF78" s="22"/>
      <c r="AG78" s="22"/>
      <c r="AH78" s="22"/>
    </row>
    <row r="79" spans="1:34" ht="30.25" customHeight="1" x14ac:dyDescent="0.35">
      <c r="A79" s="198" t="s">
        <v>166</v>
      </c>
      <c r="B79" s="37">
        <v>76</v>
      </c>
      <c r="C79" s="195" t="s">
        <v>33</v>
      </c>
      <c r="D79" s="34" t="s">
        <v>7</v>
      </c>
      <c r="E79" s="41" t="s">
        <v>8</v>
      </c>
      <c r="F79" s="43" t="s">
        <v>28</v>
      </c>
      <c r="G79" s="37" t="s">
        <v>29</v>
      </c>
      <c r="H79" s="37" t="s">
        <v>8</v>
      </c>
      <c r="I79" s="37" t="s">
        <v>9</v>
      </c>
      <c r="J79" s="36">
        <v>1001</v>
      </c>
      <c r="K79" s="27">
        <f>0</f>
        <v>0</v>
      </c>
      <c r="L79" s="127">
        <f t="shared" si="5"/>
        <v>0</v>
      </c>
      <c r="M79" s="127">
        <f t="shared" si="6"/>
        <v>0</v>
      </c>
      <c r="N79" s="128"/>
      <c r="O79" s="129">
        <f t="shared" si="7"/>
        <v>0</v>
      </c>
      <c r="P79" s="128"/>
      <c r="Q79" s="128"/>
      <c r="R79" s="128"/>
      <c r="S79" s="26">
        <f t="shared" si="8"/>
        <v>0</v>
      </c>
      <c r="T79" s="25" t="str">
        <f t="shared" si="9"/>
        <v>OK</v>
      </c>
      <c r="U79" s="22"/>
      <c r="V79" s="22"/>
      <c r="W79" s="22"/>
      <c r="X79" s="22"/>
      <c r="Y79" s="24"/>
      <c r="Z79" s="24"/>
      <c r="AA79" s="24"/>
      <c r="AB79" s="22"/>
      <c r="AC79" s="22"/>
      <c r="AD79" s="22"/>
      <c r="AE79" s="22"/>
      <c r="AF79" s="22"/>
      <c r="AG79" s="22"/>
      <c r="AH79" s="22"/>
    </row>
    <row r="80" spans="1:34" ht="30.25" customHeight="1" x14ac:dyDescent="0.35">
      <c r="A80" s="199"/>
      <c r="B80" s="37">
        <v>77</v>
      </c>
      <c r="C80" s="196"/>
      <c r="D80" s="34" t="s">
        <v>12</v>
      </c>
      <c r="E80" s="41" t="s">
        <v>8</v>
      </c>
      <c r="F80" s="43" t="s">
        <v>28</v>
      </c>
      <c r="G80" s="37" t="s">
        <v>29</v>
      </c>
      <c r="H80" s="37" t="s">
        <v>34</v>
      </c>
      <c r="I80" s="37" t="s">
        <v>9</v>
      </c>
      <c r="J80" s="36">
        <v>130</v>
      </c>
      <c r="K80" s="27">
        <f>0</f>
        <v>0</v>
      </c>
      <c r="L80" s="127">
        <f t="shared" si="5"/>
        <v>0</v>
      </c>
      <c r="M80" s="127">
        <f t="shared" si="6"/>
        <v>0</v>
      </c>
      <c r="N80" s="128"/>
      <c r="O80" s="129">
        <f t="shared" si="7"/>
        <v>0</v>
      </c>
      <c r="P80" s="128"/>
      <c r="Q80" s="128"/>
      <c r="R80" s="128"/>
      <c r="S80" s="26">
        <f t="shared" si="8"/>
        <v>0</v>
      </c>
      <c r="T80" s="25" t="str">
        <f t="shared" si="9"/>
        <v>OK</v>
      </c>
      <c r="U80" s="22"/>
      <c r="V80" s="22"/>
      <c r="W80" s="22"/>
      <c r="X80" s="22"/>
      <c r="Y80" s="24"/>
      <c r="Z80" s="24"/>
      <c r="AA80" s="24"/>
      <c r="AB80" s="22"/>
      <c r="AC80" s="22"/>
      <c r="AD80" s="22"/>
      <c r="AE80" s="22"/>
      <c r="AF80" s="22"/>
      <c r="AG80" s="22"/>
      <c r="AH80" s="22"/>
    </row>
    <row r="81" spans="1:34" ht="30.25" customHeight="1" x14ac:dyDescent="0.35">
      <c r="A81" s="200"/>
      <c r="B81" s="37">
        <v>78</v>
      </c>
      <c r="C81" s="197"/>
      <c r="D81" s="34" t="s">
        <v>157</v>
      </c>
      <c r="E81" s="41" t="s">
        <v>8</v>
      </c>
      <c r="F81" s="43" t="s">
        <v>28</v>
      </c>
      <c r="G81" s="37" t="s">
        <v>29</v>
      </c>
      <c r="H81" s="37" t="s">
        <v>8</v>
      </c>
      <c r="I81" s="37" t="s">
        <v>9</v>
      </c>
      <c r="J81" s="36">
        <v>200</v>
      </c>
      <c r="K81" s="27">
        <f>0</f>
        <v>0</v>
      </c>
      <c r="L81" s="127">
        <f t="shared" si="5"/>
        <v>0</v>
      </c>
      <c r="M81" s="127">
        <f t="shared" si="6"/>
        <v>0</v>
      </c>
      <c r="N81" s="128"/>
      <c r="O81" s="129">
        <f t="shared" si="7"/>
        <v>0</v>
      </c>
      <c r="P81" s="128"/>
      <c r="Q81" s="128"/>
      <c r="R81" s="128"/>
      <c r="S81" s="26">
        <f>K81-SUM(U81:AH81)+N81</f>
        <v>0</v>
      </c>
      <c r="T81" s="25" t="str">
        <f t="shared" si="9"/>
        <v>OK</v>
      </c>
      <c r="U81" s="22"/>
      <c r="V81" s="22"/>
      <c r="W81" s="22"/>
      <c r="X81" s="22"/>
      <c r="Y81" s="24"/>
      <c r="Z81" s="24"/>
      <c r="AA81" s="24"/>
      <c r="AB81" s="22"/>
      <c r="AC81" s="22"/>
      <c r="AD81" s="22"/>
      <c r="AE81" s="22"/>
      <c r="AF81" s="22"/>
      <c r="AG81" s="22"/>
      <c r="AH81" s="22"/>
    </row>
    <row r="82" spans="1:34" ht="15" thickBot="1" x14ac:dyDescent="0.4">
      <c r="K82" s="4">
        <f>SUM(K4:K81)</f>
        <v>401</v>
      </c>
      <c r="N82" s="132"/>
      <c r="O82" s="132">
        <f t="shared" si="7"/>
        <v>100</v>
      </c>
      <c r="P82" s="132"/>
      <c r="Q82" s="132"/>
      <c r="R82" s="132"/>
      <c r="S82" s="12">
        <f>SUM(S4:S81)</f>
        <v>150</v>
      </c>
      <c r="T82" s="5" t="str">
        <f t="shared" si="9"/>
        <v>OK</v>
      </c>
      <c r="U82" s="30">
        <f t="shared" ref="U82:AH82" si="10">SUMPRODUCT($J$4:$J$81,U4:U81)</f>
        <v>3391.3</v>
      </c>
      <c r="V82" s="30">
        <f t="shared" si="10"/>
        <v>3200</v>
      </c>
      <c r="W82" s="30">
        <f t="shared" si="10"/>
        <v>92244</v>
      </c>
      <c r="X82" s="30">
        <f t="shared" si="10"/>
        <v>41340.720000000001</v>
      </c>
      <c r="Y82" s="30">
        <f t="shared" si="10"/>
        <v>24179.4</v>
      </c>
      <c r="Z82" s="30">
        <f t="shared" si="10"/>
        <v>35346.14</v>
      </c>
      <c r="AA82" s="30">
        <f t="shared" si="10"/>
        <v>0</v>
      </c>
      <c r="AB82" s="30">
        <f t="shared" si="10"/>
        <v>0</v>
      </c>
      <c r="AC82" s="30">
        <f t="shared" si="10"/>
        <v>0</v>
      </c>
      <c r="AD82" s="30">
        <f t="shared" si="10"/>
        <v>0</v>
      </c>
      <c r="AE82" s="30">
        <f t="shared" si="10"/>
        <v>0</v>
      </c>
      <c r="AF82" s="30">
        <f t="shared" si="10"/>
        <v>0</v>
      </c>
      <c r="AG82" s="30">
        <f t="shared" si="10"/>
        <v>0</v>
      </c>
      <c r="AH82" s="30">
        <f t="shared" si="10"/>
        <v>0</v>
      </c>
    </row>
    <row r="83" spans="1:34" ht="14.5" x14ac:dyDescent="0.35">
      <c r="D83" s="31" t="s">
        <v>53</v>
      </c>
      <c r="K83" s="132">
        <f>SUMPRODUCT($J$4:$J$81,K4:K81)</f>
        <v>938554.01000000013</v>
      </c>
      <c r="L83" s="132">
        <f>SUMPRODUCT($J$4:$J$81,L4:L81)</f>
        <v>199701.56</v>
      </c>
      <c r="M83" s="132">
        <f>SUMPRODUCT($J$4:$J$81,M4:M81)</f>
        <v>199701.56</v>
      </c>
      <c r="R83" s="126"/>
    </row>
    <row r="84" spans="1:34" ht="30" customHeight="1" x14ac:dyDescent="0.35">
      <c r="D84" s="32" t="s">
        <v>54</v>
      </c>
      <c r="R84" s="125"/>
      <c r="W84" s="146"/>
    </row>
    <row r="85" spans="1:34" ht="15.75" customHeight="1" thickBot="1" x14ac:dyDescent="0.4">
      <c r="D85" s="33" t="s">
        <v>55</v>
      </c>
      <c r="R85" s="125"/>
    </row>
    <row r="86" spans="1:34" ht="14.5" x14ac:dyDescent="0.35"/>
    <row r="87" spans="1:34" ht="14.5" x14ac:dyDescent="0.35"/>
    <row r="88" spans="1:34" ht="14.5" x14ac:dyDescent="0.35"/>
    <row r="89" spans="1:34" ht="14.5" x14ac:dyDescent="0.35"/>
    <row r="90" spans="1:34" ht="14.5" x14ac:dyDescent="0.35"/>
    <row r="91" spans="1:34" ht="14.5" x14ac:dyDescent="0.35"/>
    <row r="92" spans="1:34" ht="14.5" x14ac:dyDescent="0.35"/>
  </sheetData>
  <mergeCells count="25">
    <mergeCell ref="A69:A78"/>
    <mergeCell ref="C69:C78"/>
    <mergeCell ref="A79:A81"/>
    <mergeCell ref="C79:C81"/>
    <mergeCell ref="A38:A48"/>
    <mergeCell ref="C38:C48"/>
    <mergeCell ref="A49:A59"/>
    <mergeCell ref="C49:C59"/>
    <mergeCell ref="A60:A68"/>
    <mergeCell ref="C60:C68"/>
    <mergeCell ref="AD1:AD2"/>
    <mergeCell ref="AE1:AE2"/>
    <mergeCell ref="AF1:AF2"/>
    <mergeCell ref="AG1:AG2"/>
    <mergeCell ref="AH1:AH2"/>
    <mergeCell ref="AA1:AA2"/>
    <mergeCell ref="AB1:AB2"/>
    <mergeCell ref="AC1:AC2"/>
    <mergeCell ref="A1:C1"/>
    <mergeCell ref="D1:J1"/>
    <mergeCell ref="K1:T1"/>
    <mergeCell ref="U1:U2"/>
    <mergeCell ref="V1:V2"/>
    <mergeCell ref="A2:J2"/>
    <mergeCell ref="K2:T2"/>
  </mergeCells>
  <conditionalFormatting sqref="T1 T3:T1048576">
    <cfRule type="cellIs" dxfId="35" priority="2" operator="equal">
      <formula>"ATENÇÃO"</formula>
    </cfRule>
  </conditionalFormatting>
  <conditionalFormatting sqref="U4:AH81">
    <cfRule type="cellIs" dxfId="34" priority="1" operator="greaterThan">
      <formula>0</formula>
    </cfRule>
  </conditionalFormatting>
  <pageMargins left="0.511811024" right="0.511811024" top="0.78740157499999996" bottom="0.78740157499999996" header="0.31496062000000002" footer="0.31496062000000002"/>
  <pageSetup paperSize="9" scale="60" orientation="landscape" r:id="rId1"/>
  <colBreaks count="1" manualBreakCount="1">
    <brk id="24"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BC7D0-BB78-40E5-A2AF-B8E761B4A306}">
  <dimension ref="A1:AH92"/>
  <sheetViews>
    <sheetView topLeftCell="A46" zoomScale="80" zoomScaleNormal="80" workbookViewId="0">
      <pane xSplit="2" topLeftCell="F1" activePane="topRight" state="frozen"/>
      <selection activeCell="A31" sqref="A31"/>
      <selection pane="topRight" activeCell="B42" sqref="B42"/>
    </sheetView>
  </sheetViews>
  <sheetFormatPr defaultColWidth="9.7265625" defaultRowHeight="30.25" customHeight="1" x14ac:dyDescent="0.35"/>
  <cols>
    <col min="1" max="1" width="6.1796875" style="1" customWidth="1"/>
    <col min="2" max="2" width="6.453125" style="1" customWidth="1"/>
    <col min="3" max="3" width="20.54296875" style="1" customWidth="1"/>
    <col min="4" max="4" width="17.7265625" style="3" customWidth="1"/>
    <col min="5" max="5" width="16.1796875" style="1" customWidth="1"/>
    <col min="6" max="6" width="8.54296875" style="1" customWidth="1"/>
    <col min="7" max="7" width="8.453125" style="1" customWidth="1"/>
    <col min="8" max="8" width="8.26953125" style="1" customWidth="1"/>
    <col min="9" max="9" width="12.7265625" style="1" customWidth="1"/>
    <col min="10" max="10" width="12.1796875" style="3" customWidth="1"/>
    <col min="11" max="11" width="13.7265625" style="4" bestFit="1" customWidth="1"/>
    <col min="12" max="14" width="12.453125" style="4" customWidth="1"/>
    <col min="15" max="15" width="18.1796875" style="4" customWidth="1"/>
    <col min="16" max="17" width="12.453125" style="4" customWidth="1"/>
    <col min="18" max="18" width="16.453125" style="4" bestFit="1" customWidth="1"/>
    <col min="19" max="19" width="13.26953125" style="12" customWidth="1"/>
    <col min="20" max="20" width="12.453125" style="5" customWidth="1"/>
    <col min="21" max="21" width="13.453125" style="6" customWidth="1"/>
    <col min="22" max="22" width="14.54296875" style="6" customWidth="1"/>
    <col min="23" max="23" width="13.453125" style="6" customWidth="1"/>
    <col min="24" max="25" width="14.1796875" style="6" customWidth="1"/>
    <col min="26" max="26" width="12.453125" style="6" customWidth="1"/>
    <col min="27" max="27" width="13.26953125" style="6" customWidth="1"/>
    <col min="28" max="28" width="12.7265625" style="6" customWidth="1"/>
    <col min="29" max="29" width="12" style="6" customWidth="1"/>
    <col min="30" max="30" width="12.7265625" style="6" customWidth="1"/>
    <col min="31" max="31" width="13.81640625" style="6" customWidth="1"/>
    <col min="32" max="32" width="13.453125" style="6" customWidth="1"/>
    <col min="33" max="33" width="12.453125" style="2" customWidth="1"/>
    <col min="34" max="34" width="13.7265625" style="2" customWidth="1"/>
    <col min="35" max="16384" width="9.7265625" style="2"/>
  </cols>
  <sheetData>
    <row r="1" spans="1:34" ht="40.15" customHeight="1" x14ac:dyDescent="0.35">
      <c r="A1" s="202" t="s">
        <v>52</v>
      </c>
      <c r="B1" s="203"/>
      <c r="C1" s="204"/>
      <c r="D1" s="211" t="s">
        <v>48</v>
      </c>
      <c r="E1" s="212"/>
      <c r="F1" s="212"/>
      <c r="G1" s="212"/>
      <c r="H1" s="212"/>
      <c r="I1" s="212"/>
      <c r="J1" s="213"/>
      <c r="K1" s="201" t="s">
        <v>49</v>
      </c>
      <c r="L1" s="201"/>
      <c r="M1" s="201"/>
      <c r="N1" s="201"/>
      <c r="O1" s="201"/>
      <c r="P1" s="201"/>
      <c r="Q1" s="201"/>
      <c r="R1" s="201"/>
      <c r="S1" s="201"/>
      <c r="T1" s="201"/>
      <c r="U1" s="221" t="s">
        <v>276</v>
      </c>
      <c r="V1" s="221" t="s">
        <v>277</v>
      </c>
      <c r="W1" s="221" t="s">
        <v>278</v>
      </c>
      <c r="X1" s="221" t="s">
        <v>358</v>
      </c>
      <c r="Y1" s="221" t="s">
        <v>359</v>
      </c>
      <c r="Z1" s="217" t="s">
        <v>51</v>
      </c>
      <c r="AA1" s="217" t="s">
        <v>51</v>
      </c>
      <c r="AB1" s="217" t="s">
        <v>51</v>
      </c>
      <c r="AC1" s="217" t="s">
        <v>51</v>
      </c>
      <c r="AD1" s="217" t="s">
        <v>51</v>
      </c>
      <c r="AE1" s="217" t="s">
        <v>51</v>
      </c>
      <c r="AF1" s="217" t="s">
        <v>51</v>
      </c>
      <c r="AG1" s="217" t="s">
        <v>51</v>
      </c>
      <c r="AH1" s="217" t="s">
        <v>51</v>
      </c>
    </row>
    <row r="2" spans="1:34" ht="25" customHeight="1" x14ac:dyDescent="0.35">
      <c r="A2" s="211" t="s">
        <v>38</v>
      </c>
      <c r="B2" s="212"/>
      <c r="C2" s="212"/>
      <c r="D2" s="212"/>
      <c r="E2" s="212"/>
      <c r="F2" s="212"/>
      <c r="G2" s="212"/>
      <c r="H2" s="212"/>
      <c r="I2" s="212"/>
      <c r="J2" s="213"/>
      <c r="K2" s="214" t="s">
        <v>62</v>
      </c>
      <c r="L2" s="215"/>
      <c r="M2" s="215"/>
      <c r="N2" s="215"/>
      <c r="O2" s="215"/>
      <c r="P2" s="215"/>
      <c r="Q2" s="215"/>
      <c r="R2" s="215"/>
      <c r="S2" s="215"/>
      <c r="T2" s="216"/>
      <c r="U2" s="222"/>
      <c r="V2" s="222"/>
      <c r="W2" s="222"/>
      <c r="X2" s="222"/>
      <c r="Y2" s="222"/>
      <c r="Z2" s="218"/>
      <c r="AA2" s="218"/>
      <c r="AB2" s="218"/>
      <c r="AC2" s="218"/>
      <c r="AD2" s="218"/>
      <c r="AE2" s="218"/>
      <c r="AF2" s="218"/>
      <c r="AG2" s="218"/>
      <c r="AH2" s="218"/>
    </row>
    <row r="3" spans="1:34" s="3" customFormat="1" ht="30.25" customHeight="1" x14ac:dyDescent="0.25">
      <c r="A3" s="7" t="s">
        <v>3</v>
      </c>
      <c r="B3" s="7" t="s">
        <v>56</v>
      </c>
      <c r="C3" s="7" t="s">
        <v>57</v>
      </c>
      <c r="D3" s="8" t="s">
        <v>58</v>
      </c>
      <c r="E3" s="8" t="s">
        <v>59</v>
      </c>
      <c r="F3" s="8" t="s">
        <v>18</v>
      </c>
      <c r="G3" s="8" t="s">
        <v>19</v>
      </c>
      <c r="H3" s="8" t="s">
        <v>60</v>
      </c>
      <c r="I3" s="8" t="s">
        <v>61</v>
      </c>
      <c r="J3" s="9" t="s">
        <v>50</v>
      </c>
      <c r="K3" s="10" t="s">
        <v>4</v>
      </c>
      <c r="L3" s="52" t="s">
        <v>207</v>
      </c>
      <c r="M3" s="52" t="s">
        <v>208</v>
      </c>
      <c r="N3" s="52" t="s">
        <v>209</v>
      </c>
      <c r="O3" s="52" t="s">
        <v>210</v>
      </c>
      <c r="P3" s="52" t="s">
        <v>211</v>
      </c>
      <c r="Q3" s="52" t="s">
        <v>213</v>
      </c>
      <c r="R3" s="52" t="s">
        <v>214</v>
      </c>
      <c r="S3" s="11" t="s">
        <v>0</v>
      </c>
      <c r="T3" s="7" t="s">
        <v>2</v>
      </c>
      <c r="U3" s="148" t="s">
        <v>1</v>
      </c>
      <c r="V3" s="148" t="s">
        <v>1</v>
      </c>
      <c r="W3" s="148" t="s">
        <v>1</v>
      </c>
      <c r="X3" s="148" t="s">
        <v>1</v>
      </c>
      <c r="Y3" s="148" t="s">
        <v>1</v>
      </c>
      <c r="Z3" s="23" t="s">
        <v>1</v>
      </c>
      <c r="AA3" s="23" t="s">
        <v>1</v>
      </c>
      <c r="AB3" s="23" t="s">
        <v>1</v>
      </c>
      <c r="AC3" s="23" t="s">
        <v>1</v>
      </c>
      <c r="AD3" s="23" t="s">
        <v>1</v>
      </c>
      <c r="AE3" s="23" t="s">
        <v>1</v>
      </c>
      <c r="AF3" s="23" t="s">
        <v>1</v>
      </c>
      <c r="AG3" s="23" t="s">
        <v>1</v>
      </c>
      <c r="AH3" s="23" t="s">
        <v>1</v>
      </c>
    </row>
    <row r="4" spans="1:34" ht="30.25" customHeight="1" x14ac:dyDescent="0.35">
      <c r="A4" s="37">
        <v>1</v>
      </c>
      <c r="B4" s="37">
        <v>1</v>
      </c>
      <c r="C4" s="35" t="s">
        <v>63</v>
      </c>
      <c r="D4" s="34" t="s">
        <v>64</v>
      </c>
      <c r="E4" s="35" t="s">
        <v>65</v>
      </c>
      <c r="F4" s="35" t="s">
        <v>20</v>
      </c>
      <c r="G4" s="35" t="s">
        <v>66</v>
      </c>
      <c r="H4" s="35" t="s">
        <v>5</v>
      </c>
      <c r="I4" s="35" t="s">
        <v>6</v>
      </c>
      <c r="J4" s="36">
        <v>1670</v>
      </c>
      <c r="K4" s="27">
        <f>0</f>
        <v>0</v>
      </c>
      <c r="L4" s="127">
        <f>IF(SUM(U4:AL4)&gt;K4+N4,K4+N4,SUM(U4:AL4))</f>
        <v>0</v>
      </c>
      <c r="M4" s="127">
        <f>(SUM(U4:AL4))</f>
        <v>0</v>
      </c>
      <c r="N4" s="128"/>
      <c r="O4" s="129">
        <f>ROUND(IF(K4*0.25-0.5&lt;0,0,K4*0.25-0.5),0)-R4-P4</f>
        <v>0</v>
      </c>
      <c r="P4" s="128"/>
      <c r="Q4" s="128"/>
      <c r="R4" s="128"/>
      <c r="S4" s="184">
        <f>K4-SUM(U4:AH4)+N4</f>
        <v>0</v>
      </c>
      <c r="T4" s="25" t="str">
        <f>IF(S4&lt;0,"ATENÇÃO","OK")</f>
        <v>OK</v>
      </c>
      <c r="U4" s="138"/>
      <c r="V4" s="138"/>
      <c r="W4" s="138"/>
      <c r="X4" s="138"/>
      <c r="Y4" s="139"/>
      <c r="Z4" s="24"/>
      <c r="AA4" s="24"/>
      <c r="AB4" s="22"/>
      <c r="AC4" s="22"/>
      <c r="AD4" s="22"/>
      <c r="AE4" s="22"/>
      <c r="AF4" s="22"/>
      <c r="AG4" s="22"/>
      <c r="AH4" s="22"/>
    </row>
    <row r="5" spans="1:34" ht="30.25" customHeight="1" x14ac:dyDescent="0.35">
      <c r="A5" s="44">
        <v>2</v>
      </c>
      <c r="B5" s="44">
        <v>2</v>
      </c>
      <c r="C5" s="45" t="s">
        <v>67</v>
      </c>
      <c r="D5" s="46" t="s">
        <v>68</v>
      </c>
      <c r="E5" s="45" t="s">
        <v>69</v>
      </c>
      <c r="F5" s="45" t="s">
        <v>20</v>
      </c>
      <c r="G5" s="45" t="s">
        <v>66</v>
      </c>
      <c r="H5" s="45" t="s">
        <v>5</v>
      </c>
      <c r="I5" s="45" t="s">
        <v>6</v>
      </c>
      <c r="J5" s="47">
        <v>1651.67</v>
      </c>
      <c r="K5" s="27">
        <f>0</f>
        <v>0</v>
      </c>
      <c r="L5" s="127">
        <f t="shared" ref="L5:L68" si="0">IF(SUM(U5:AL5)&gt;K5+N5,K5+N5,SUM(U5:AL5))</f>
        <v>0</v>
      </c>
      <c r="M5" s="127">
        <f t="shared" ref="M5:M68" si="1">(SUM(U5:AL5))</f>
        <v>0</v>
      </c>
      <c r="N5" s="128"/>
      <c r="O5" s="129">
        <f t="shared" ref="O5:O68" si="2">ROUND(IF(K5*0.25-0.5&lt;0,0,K5*0.25-0.5),0)-R5-P5</f>
        <v>0</v>
      </c>
      <c r="P5" s="128"/>
      <c r="Q5" s="128"/>
      <c r="R5" s="128"/>
      <c r="S5" s="184">
        <f t="shared" ref="S5:S68" si="3">K5-SUM(U5:AH5)+N5</f>
        <v>0</v>
      </c>
      <c r="T5" s="25" t="str">
        <f t="shared" ref="T5:T68" si="4">IF(S5&lt;0,"ATENÇÃO","OK")</f>
        <v>OK</v>
      </c>
      <c r="U5" s="138"/>
      <c r="V5" s="138"/>
      <c r="W5" s="138"/>
      <c r="X5" s="138"/>
      <c r="Y5" s="139"/>
      <c r="Z5" s="24"/>
      <c r="AA5" s="24"/>
      <c r="AB5" s="22"/>
      <c r="AC5" s="22"/>
      <c r="AD5" s="22"/>
      <c r="AE5" s="22"/>
      <c r="AF5" s="22"/>
      <c r="AG5" s="22"/>
      <c r="AH5" s="22"/>
    </row>
    <row r="6" spans="1:34" ht="30.25" customHeight="1" x14ac:dyDescent="0.35">
      <c r="A6" s="37">
        <v>3</v>
      </c>
      <c r="B6" s="37">
        <v>3</v>
      </c>
      <c r="C6" s="35" t="s">
        <v>63</v>
      </c>
      <c r="D6" s="34" t="s">
        <v>70</v>
      </c>
      <c r="E6" s="35" t="s">
        <v>71</v>
      </c>
      <c r="F6" s="35" t="s">
        <v>20</v>
      </c>
      <c r="G6" s="35" t="s">
        <v>72</v>
      </c>
      <c r="H6" s="35" t="s">
        <v>5</v>
      </c>
      <c r="I6" s="35" t="s">
        <v>6</v>
      </c>
      <c r="J6" s="36">
        <v>1802</v>
      </c>
      <c r="K6" s="27">
        <f>0</f>
        <v>0</v>
      </c>
      <c r="L6" s="127">
        <f t="shared" si="0"/>
        <v>0</v>
      </c>
      <c r="M6" s="127">
        <f t="shared" si="1"/>
        <v>0</v>
      </c>
      <c r="N6" s="128"/>
      <c r="O6" s="129">
        <f t="shared" si="2"/>
        <v>0</v>
      </c>
      <c r="P6" s="128"/>
      <c r="Q6" s="128"/>
      <c r="R6" s="128"/>
      <c r="S6" s="184">
        <f t="shared" si="3"/>
        <v>0</v>
      </c>
      <c r="T6" s="25" t="str">
        <f t="shared" si="4"/>
        <v>OK</v>
      </c>
      <c r="U6" s="138"/>
      <c r="V6" s="138"/>
      <c r="W6" s="138"/>
      <c r="X6" s="138"/>
      <c r="Y6" s="139"/>
      <c r="Z6" s="24"/>
      <c r="AA6" s="24"/>
      <c r="AB6" s="22"/>
      <c r="AC6" s="22"/>
      <c r="AD6" s="22"/>
      <c r="AE6" s="22"/>
      <c r="AF6" s="22"/>
      <c r="AG6" s="22"/>
      <c r="AH6" s="22"/>
    </row>
    <row r="7" spans="1:34" ht="30.25" customHeight="1" x14ac:dyDescent="0.35">
      <c r="A7" s="44">
        <v>4</v>
      </c>
      <c r="B7" s="44">
        <v>4</v>
      </c>
      <c r="C7" s="45" t="s">
        <v>67</v>
      </c>
      <c r="D7" s="46" t="s">
        <v>73</v>
      </c>
      <c r="E7" s="45" t="s">
        <v>74</v>
      </c>
      <c r="F7" s="45" t="s">
        <v>20</v>
      </c>
      <c r="G7" s="45" t="s">
        <v>75</v>
      </c>
      <c r="H7" s="45" t="s">
        <v>5</v>
      </c>
      <c r="I7" s="45" t="s">
        <v>6</v>
      </c>
      <c r="J7" s="47">
        <v>1800</v>
      </c>
      <c r="K7" s="27">
        <f>0</f>
        <v>0</v>
      </c>
      <c r="L7" s="127">
        <f t="shared" si="0"/>
        <v>0</v>
      </c>
      <c r="M7" s="127">
        <f t="shared" si="1"/>
        <v>0</v>
      </c>
      <c r="N7" s="128"/>
      <c r="O7" s="129">
        <f t="shared" si="2"/>
        <v>0</v>
      </c>
      <c r="P7" s="128"/>
      <c r="Q7" s="128"/>
      <c r="R7" s="128"/>
      <c r="S7" s="184">
        <f t="shared" si="3"/>
        <v>0</v>
      </c>
      <c r="T7" s="25" t="str">
        <f t="shared" si="4"/>
        <v>OK</v>
      </c>
      <c r="U7" s="138"/>
      <c r="V7" s="138"/>
      <c r="W7" s="138"/>
      <c r="X7" s="138"/>
      <c r="Y7" s="139"/>
      <c r="Z7" s="24"/>
      <c r="AA7" s="24"/>
      <c r="AB7" s="22"/>
      <c r="AC7" s="22"/>
      <c r="AD7" s="22"/>
      <c r="AE7" s="22"/>
      <c r="AF7" s="22"/>
      <c r="AG7" s="22"/>
      <c r="AH7" s="22"/>
    </row>
    <row r="8" spans="1:34" ht="30.25" customHeight="1" x14ac:dyDescent="0.35">
      <c r="A8" s="37">
        <v>5</v>
      </c>
      <c r="B8" s="37">
        <v>5</v>
      </c>
      <c r="C8" s="35" t="s">
        <v>63</v>
      </c>
      <c r="D8" s="34" t="s">
        <v>76</v>
      </c>
      <c r="E8" s="35" t="s">
        <v>77</v>
      </c>
      <c r="F8" s="35" t="s">
        <v>20</v>
      </c>
      <c r="G8" s="35" t="s">
        <v>78</v>
      </c>
      <c r="H8" s="35" t="s">
        <v>5</v>
      </c>
      <c r="I8" s="35" t="s">
        <v>6</v>
      </c>
      <c r="J8" s="36">
        <v>2686</v>
      </c>
      <c r="K8" s="27">
        <f>13</f>
        <v>13</v>
      </c>
      <c r="L8" s="127">
        <f t="shared" si="0"/>
        <v>13</v>
      </c>
      <c r="M8" s="127">
        <f t="shared" si="1"/>
        <v>13</v>
      </c>
      <c r="N8" s="128"/>
      <c r="O8" s="129">
        <f t="shared" si="2"/>
        <v>3</v>
      </c>
      <c r="P8" s="128"/>
      <c r="Q8" s="128"/>
      <c r="R8" s="128"/>
      <c r="S8" s="184">
        <f t="shared" si="3"/>
        <v>0</v>
      </c>
      <c r="T8" s="25" t="str">
        <f t="shared" si="4"/>
        <v>OK</v>
      </c>
      <c r="U8" s="138"/>
      <c r="V8" s="140">
        <v>13</v>
      </c>
      <c r="W8" s="138"/>
      <c r="X8" s="138"/>
      <c r="Y8" s="139"/>
      <c r="Z8" s="24"/>
      <c r="AA8" s="24"/>
      <c r="AB8" s="22"/>
      <c r="AC8" s="22"/>
      <c r="AD8" s="22"/>
      <c r="AE8" s="22"/>
      <c r="AF8" s="22"/>
      <c r="AG8" s="22"/>
      <c r="AH8" s="22"/>
    </row>
    <row r="9" spans="1:34" ht="57.75" customHeight="1" x14ac:dyDescent="0.35">
      <c r="A9" s="80">
        <v>6</v>
      </c>
      <c r="B9" s="80">
        <v>6</v>
      </c>
      <c r="C9" s="81" t="s">
        <v>67</v>
      </c>
      <c r="D9" s="82" t="s">
        <v>79</v>
      </c>
      <c r="E9" s="87" t="s">
        <v>182</v>
      </c>
      <c r="F9" s="81" t="s">
        <v>20</v>
      </c>
      <c r="G9" s="81" t="s">
        <v>21</v>
      </c>
      <c r="H9" s="81" t="s">
        <v>5</v>
      </c>
      <c r="I9" s="81" t="s">
        <v>6</v>
      </c>
      <c r="J9" s="83">
        <v>2821.51</v>
      </c>
      <c r="K9" s="27">
        <f>0</f>
        <v>0</v>
      </c>
      <c r="L9" s="127">
        <f t="shared" si="0"/>
        <v>0</v>
      </c>
      <c r="M9" s="127">
        <f t="shared" si="1"/>
        <v>0</v>
      </c>
      <c r="N9" s="128"/>
      <c r="O9" s="129">
        <f t="shared" si="2"/>
        <v>0</v>
      </c>
      <c r="P9" s="128"/>
      <c r="Q9" s="128"/>
      <c r="R9" s="128"/>
      <c r="S9" s="184">
        <f t="shared" si="3"/>
        <v>0</v>
      </c>
      <c r="T9" s="25" t="str">
        <f t="shared" si="4"/>
        <v>OK</v>
      </c>
      <c r="U9" s="138"/>
      <c r="V9" s="138"/>
      <c r="W9" s="138"/>
      <c r="X9" s="138"/>
      <c r="Y9" s="139"/>
      <c r="Z9" s="24"/>
      <c r="AA9" s="24"/>
      <c r="AB9" s="22"/>
      <c r="AC9" s="22"/>
      <c r="AD9" s="22"/>
      <c r="AE9" s="22"/>
      <c r="AF9" s="22"/>
      <c r="AG9" s="22"/>
      <c r="AH9" s="22"/>
    </row>
    <row r="10" spans="1:34" ht="30.25" customHeight="1" x14ac:dyDescent="0.35">
      <c r="A10" s="37">
        <v>7</v>
      </c>
      <c r="B10" s="37">
        <v>7</v>
      </c>
      <c r="C10" s="35" t="s">
        <v>63</v>
      </c>
      <c r="D10" s="34" t="s">
        <v>80</v>
      </c>
      <c r="E10" s="35" t="s">
        <v>81</v>
      </c>
      <c r="F10" s="35" t="s">
        <v>20</v>
      </c>
      <c r="G10" s="35" t="s">
        <v>21</v>
      </c>
      <c r="H10" s="35" t="s">
        <v>5</v>
      </c>
      <c r="I10" s="35" t="s">
        <v>6</v>
      </c>
      <c r="J10" s="36">
        <v>7446</v>
      </c>
      <c r="K10" s="27">
        <f>0</f>
        <v>0</v>
      </c>
      <c r="L10" s="127">
        <f t="shared" si="0"/>
        <v>0</v>
      </c>
      <c r="M10" s="127">
        <f t="shared" si="1"/>
        <v>0</v>
      </c>
      <c r="N10" s="128"/>
      <c r="O10" s="129">
        <f t="shared" si="2"/>
        <v>0</v>
      </c>
      <c r="P10" s="128"/>
      <c r="Q10" s="128"/>
      <c r="R10" s="128"/>
      <c r="S10" s="184">
        <f t="shared" si="3"/>
        <v>0</v>
      </c>
      <c r="T10" s="25" t="str">
        <f t="shared" si="4"/>
        <v>OK</v>
      </c>
      <c r="U10" s="138"/>
      <c r="V10" s="138"/>
      <c r="W10" s="138"/>
      <c r="X10" s="138"/>
      <c r="Y10" s="139"/>
      <c r="Z10" s="24"/>
      <c r="AA10" s="24"/>
      <c r="AB10" s="22"/>
      <c r="AC10" s="22"/>
      <c r="AD10" s="22"/>
      <c r="AE10" s="22"/>
      <c r="AF10" s="22"/>
      <c r="AG10" s="22"/>
      <c r="AH10" s="22"/>
    </row>
    <row r="11" spans="1:34" ht="30.25" customHeight="1" x14ac:dyDescent="0.35">
      <c r="A11" s="44">
        <v>8</v>
      </c>
      <c r="B11" s="44">
        <v>8</v>
      </c>
      <c r="C11" s="45" t="s">
        <v>63</v>
      </c>
      <c r="D11" s="46" t="s">
        <v>82</v>
      </c>
      <c r="E11" s="45" t="s">
        <v>81</v>
      </c>
      <c r="F11" s="45" t="s">
        <v>20</v>
      </c>
      <c r="G11" s="45" t="s">
        <v>21</v>
      </c>
      <c r="H11" s="45" t="s">
        <v>5</v>
      </c>
      <c r="I11" s="45" t="s">
        <v>6</v>
      </c>
      <c r="J11" s="47">
        <v>7375</v>
      </c>
      <c r="K11" s="27">
        <f>0</f>
        <v>0</v>
      </c>
      <c r="L11" s="127">
        <f t="shared" si="0"/>
        <v>0</v>
      </c>
      <c r="M11" s="127">
        <f t="shared" si="1"/>
        <v>0</v>
      </c>
      <c r="N11" s="128"/>
      <c r="O11" s="129">
        <f t="shared" si="2"/>
        <v>0</v>
      </c>
      <c r="P11" s="128"/>
      <c r="Q11" s="128"/>
      <c r="R11" s="128"/>
      <c r="S11" s="184">
        <f t="shared" si="3"/>
        <v>0</v>
      </c>
      <c r="T11" s="25" t="str">
        <f t="shared" si="4"/>
        <v>OK</v>
      </c>
      <c r="U11" s="138"/>
      <c r="V11" s="138"/>
      <c r="W11" s="138"/>
      <c r="X11" s="138"/>
      <c r="Y11" s="139"/>
      <c r="Z11" s="24"/>
      <c r="AA11" s="24"/>
      <c r="AB11" s="22"/>
      <c r="AC11" s="22"/>
      <c r="AD11" s="22"/>
      <c r="AE11" s="22"/>
      <c r="AF11" s="22"/>
      <c r="AG11" s="22"/>
      <c r="AH11" s="22"/>
    </row>
    <row r="12" spans="1:34" ht="30.25" customHeight="1" x14ac:dyDescent="0.35">
      <c r="A12" s="37">
        <v>9</v>
      </c>
      <c r="B12" s="37">
        <v>9</v>
      </c>
      <c r="C12" s="35" t="s">
        <v>83</v>
      </c>
      <c r="D12" s="34" t="s">
        <v>84</v>
      </c>
      <c r="E12" s="35" t="s">
        <v>85</v>
      </c>
      <c r="F12" s="35" t="s">
        <v>20</v>
      </c>
      <c r="G12" s="35" t="s">
        <v>22</v>
      </c>
      <c r="H12" s="35" t="s">
        <v>5</v>
      </c>
      <c r="I12" s="35" t="s">
        <v>6</v>
      </c>
      <c r="J12" s="36">
        <v>6213.51</v>
      </c>
      <c r="K12" s="27">
        <f>0</f>
        <v>0</v>
      </c>
      <c r="L12" s="127">
        <f t="shared" si="0"/>
        <v>0</v>
      </c>
      <c r="M12" s="127">
        <f t="shared" si="1"/>
        <v>0</v>
      </c>
      <c r="N12" s="128"/>
      <c r="O12" s="129">
        <f t="shared" si="2"/>
        <v>0</v>
      </c>
      <c r="P12" s="128"/>
      <c r="Q12" s="128"/>
      <c r="R12" s="128"/>
      <c r="S12" s="184">
        <f t="shared" si="3"/>
        <v>0</v>
      </c>
      <c r="T12" s="25" t="str">
        <f t="shared" si="4"/>
        <v>OK</v>
      </c>
      <c r="U12" s="138"/>
      <c r="V12" s="138"/>
      <c r="W12" s="138"/>
      <c r="X12" s="138"/>
      <c r="Y12" s="139"/>
      <c r="Z12" s="24"/>
      <c r="AA12" s="24"/>
      <c r="AB12" s="22"/>
      <c r="AC12" s="22"/>
      <c r="AD12" s="22"/>
      <c r="AE12" s="22"/>
      <c r="AF12" s="22"/>
      <c r="AG12" s="22"/>
      <c r="AH12" s="22"/>
    </row>
    <row r="13" spans="1:34" ht="30.25" customHeight="1" x14ac:dyDescent="0.35">
      <c r="A13" s="44">
        <v>10</v>
      </c>
      <c r="B13" s="44">
        <v>10</v>
      </c>
      <c r="C13" s="45" t="s">
        <v>63</v>
      </c>
      <c r="D13" s="46" t="s">
        <v>86</v>
      </c>
      <c r="E13" s="45" t="s">
        <v>87</v>
      </c>
      <c r="F13" s="45" t="s">
        <v>20</v>
      </c>
      <c r="G13" s="45" t="s">
        <v>22</v>
      </c>
      <c r="H13" s="45" t="s">
        <v>5</v>
      </c>
      <c r="I13" s="45" t="s">
        <v>6</v>
      </c>
      <c r="J13" s="47">
        <v>6689.61</v>
      </c>
      <c r="K13" s="27">
        <f>0</f>
        <v>0</v>
      </c>
      <c r="L13" s="127">
        <f t="shared" si="0"/>
        <v>0</v>
      </c>
      <c r="M13" s="127">
        <f t="shared" si="1"/>
        <v>0</v>
      </c>
      <c r="N13" s="128"/>
      <c r="O13" s="129">
        <f t="shared" si="2"/>
        <v>0</v>
      </c>
      <c r="P13" s="128"/>
      <c r="Q13" s="128"/>
      <c r="R13" s="128"/>
      <c r="S13" s="184">
        <f t="shared" si="3"/>
        <v>0</v>
      </c>
      <c r="T13" s="25" t="str">
        <f t="shared" si="4"/>
        <v>OK</v>
      </c>
      <c r="U13" s="138"/>
      <c r="V13" s="138"/>
      <c r="W13" s="138"/>
      <c r="X13" s="138"/>
      <c r="Y13" s="139"/>
      <c r="Z13" s="24"/>
      <c r="AA13" s="24"/>
      <c r="AB13" s="22"/>
      <c r="AC13" s="22"/>
      <c r="AD13" s="22"/>
      <c r="AE13" s="22"/>
      <c r="AF13" s="22"/>
      <c r="AG13" s="22"/>
      <c r="AH13" s="22"/>
    </row>
    <row r="14" spans="1:34" ht="30.25" customHeight="1" x14ac:dyDescent="0.35">
      <c r="A14" s="37">
        <v>11</v>
      </c>
      <c r="B14" s="37">
        <v>11</v>
      </c>
      <c r="C14" s="35" t="s">
        <v>83</v>
      </c>
      <c r="D14" s="34" t="s">
        <v>88</v>
      </c>
      <c r="E14" s="35" t="s">
        <v>89</v>
      </c>
      <c r="F14" s="37" t="s">
        <v>20</v>
      </c>
      <c r="G14" s="35" t="s">
        <v>22</v>
      </c>
      <c r="H14" s="37" t="s">
        <v>5</v>
      </c>
      <c r="I14" s="35" t="s">
        <v>6</v>
      </c>
      <c r="J14" s="36">
        <v>3445.06</v>
      </c>
      <c r="K14" s="27">
        <f>12</f>
        <v>12</v>
      </c>
      <c r="L14" s="127">
        <f t="shared" si="0"/>
        <v>12</v>
      </c>
      <c r="M14" s="127">
        <f t="shared" si="1"/>
        <v>12</v>
      </c>
      <c r="N14" s="128"/>
      <c r="O14" s="129">
        <f t="shared" si="2"/>
        <v>3</v>
      </c>
      <c r="P14" s="128"/>
      <c r="Q14" s="128"/>
      <c r="R14" s="128"/>
      <c r="S14" s="184">
        <f t="shared" si="3"/>
        <v>0</v>
      </c>
      <c r="T14" s="25" t="str">
        <f t="shared" si="4"/>
        <v>OK</v>
      </c>
      <c r="U14" s="140">
        <v>12</v>
      </c>
      <c r="V14" s="138"/>
      <c r="W14" s="138"/>
      <c r="X14" s="138"/>
      <c r="Y14" s="139"/>
      <c r="Z14" s="24"/>
      <c r="AA14" s="24"/>
      <c r="AB14" s="22"/>
      <c r="AC14" s="22"/>
      <c r="AD14" s="22"/>
      <c r="AE14" s="22"/>
      <c r="AF14" s="22"/>
      <c r="AG14" s="22"/>
      <c r="AH14" s="22"/>
    </row>
    <row r="15" spans="1:34" ht="30.25" customHeight="1" x14ac:dyDescent="0.35">
      <c r="A15" s="44">
        <v>12</v>
      </c>
      <c r="B15" s="44">
        <v>12</v>
      </c>
      <c r="C15" s="45" t="s">
        <v>83</v>
      </c>
      <c r="D15" s="46" t="s">
        <v>90</v>
      </c>
      <c r="E15" s="45" t="s">
        <v>91</v>
      </c>
      <c r="F15" s="44" t="s">
        <v>20</v>
      </c>
      <c r="G15" s="44" t="s">
        <v>22</v>
      </c>
      <c r="H15" s="44" t="s">
        <v>5</v>
      </c>
      <c r="I15" s="45" t="s">
        <v>6</v>
      </c>
      <c r="J15" s="47">
        <v>3617.48</v>
      </c>
      <c r="K15" s="27">
        <f>0</f>
        <v>0</v>
      </c>
      <c r="L15" s="127">
        <f t="shared" si="0"/>
        <v>0</v>
      </c>
      <c r="M15" s="127">
        <f t="shared" si="1"/>
        <v>0</v>
      </c>
      <c r="N15" s="128"/>
      <c r="O15" s="129">
        <f t="shared" si="2"/>
        <v>0</v>
      </c>
      <c r="P15" s="128"/>
      <c r="Q15" s="128"/>
      <c r="R15" s="128"/>
      <c r="S15" s="184">
        <f t="shared" si="3"/>
        <v>0</v>
      </c>
      <c r="T15" s="25" t="str">
        <f t="shared" si="4"/>
        <v>OK</v>
      </c>
      <c r="U15" s="138"/>
      <c r="V15" s="138"/>
      <c r="W15" s="138"/>
      <c r="X15" s="138"/>
      <c r="Y15" s="139"/>
      <c r="Z15" s="24"/>
      <c r="AA15" s="24"/>
      <c r="AB15" s="22"/>
      <c r="AC15" s="22"/>
      <c r="AD15" s="22"/>
      <c r="AE15" s="22"/>
      <c r="AF15" s="22"/>
      <c r="AG15" s="22"/>
      <c r="AH15" s="22"/>
    </row>
    <row r="16" spans="1:34" ht="30.25" customHeight="1" x14ac:dyDescent="0.35">
      <c r="A16" s="37">
        <v>13</v>
      </c>
      <c r="B16" s="37">
        <v>13</v>
      </c>
      <c r="C16" s="35" t="s">
        <v>92</v>
      </c>
      <c r="D16" s="34" t="s">
        <v>93</v>
      </c>
      <c r="E16" s="35" t="s">
        <v>94</v>
      </c>
      <c r="F16" s="37" t="s">
        <v>20</v>
      </c>
      <c r="G16" s="37" t="s">
        <v>22</v>
      </c>
      <c r="H16" s="37" t="s">
        <v>5</v>
      </c>
      <c r="I16" s="35" t="s">
        <v>6</v>
      </c>
      <c r="J16" s="36">
        <v>7453.33</v>
      </c>
      <c r="K16" s="27">
        <f>0</f>
        <v>0</v>
      </c>
      <c r="L16" s="127">
        <f t="shared" si="0"/>
        <v>0</v>
      </c>
      <c r="M16" s="127">
        <f t="shared" si="1"/>
        <v>0</v>
      </c>
      <c r="N16" s="128"/>
      <c r="O16" s="129">
        <f t="shared" si="2"/>
        <v>0</v>
      </c>
      <c r="P16" s="128"/>
      <c r="Q16" s="128"/>
      <c r="R16" s="128"/>
      <c r="S16" s="184">
        <f t="shared" si="3"/>
        <v>0</v>
      </c>
      <c r="T16" s="25" t="str">
        <f t="shared" si="4"/>
        <v>OK</v>
      </c>
      <c r="U16" s="138"/>
      <c r="V16" s="138"/>
      <c r="W16" s="138"/>
      <c r="X16" s="138"/>
      <c r="Y16" s="139"/>
      <c r="Z16" s="24"/>
      <c r="AA16" s="24"/>
      <c r="AB16" s="22"/>
      <c r="AC16" s="22"/>
      <c r="AD16" s="22"/>
      <c r="AE16" s="22"/>
      <c r="AF16" s="22"/>
      <c r="AG16" s="22"/>
      <c r="AH16" s="22"/>
    </row>
    <row r="17" spans="1:34" ht="30.25" customHeight="1" x14ac:dyDescent="0.35">
      <c r="A17" s="44">
        <v>14</v>
      </c>
      <c r="B17" s="44">
        <v>14</v>
      </c>
      <c r="C17" s="45" t="s">
        <v>92</v>
      </c>
      <c r="D17" s="46" t="s">
        <v>95</v>
      </c>
      <c r="E17" s="45" t="s">
        <v>94</v>
      </c>
      <c r="F17" s="45" t="s">
        <v>20</v>
      </c>
      <c r="G17" s="45" t="s">
        <v>22</v>
      </c>
      <c r="H17" s="45" t="s">
        <v>5</v>
      </c>
      <c r="I17" s="45" t="s">
        <v>6</v>
      </c>
      <c r="J17" s="47">
        <v>9561.2000000000007</v>
      </c>
      <c r="K17" s="27">
        <f>0</f>
        <v>0</v>
      </c>
      <c r="L17" s="127">
        <f t="shared" si="0"/>
        <v>0</v>
      </c>
      <c r="M17" s="127">
        <f t="shared" si="1"/>
        <v>0</v>
      </c>
      <c r="N17" s="128"/>
      <c r="O17" s="129">
        <f t="shared" si="2"/>
        <v>0</v>
      </c>
      <c r="P17" s="128"/>
      <c r="Q17" s="128"/>
      <c r="R17" s="128"/>
      <c r="S17" s="184">
        <f t="shared" si="3"/>
        <v>0</v>
      </c>
      <c r="T17" s="25" t="str">
        <f t="shared" si="4"/>
        <v>OK</v>
      </c>
      <c r="U17" s="138"/>
      <c r="V17" s="138"/>
      <c r="W17" s="138"/>
      <c r="X17" s="138"/>
      <c r="Y17" s="139"/>
      <c r="Z17" s="24"/>
      <c r="AA17" s="24"/>
      <c r="AB17" s="22"/>
      <c r="AC17" s="22"/>
      <c r="AD17" s="22"/>
      <c r="AE17" s="22"/>
      <c r="AF17" s="22"/>
      <c r="AG17" s="22"/>
      <c r="AH17" s="22"/>
    </row>
    <row r="18" spans="1:34" ht="30.25" customHeight="1" x14ac:dyDescent="0.35">
      <c r="A18" s="37">
        <v>15</v>
      </c>
      <c r="B18" s="37">
        <v>15</v>
      </c>
      <c r="C18" s="35" t="s">
        <v>63</v>
      </c>
      <c r="D18" s="34" t="s">
        <v>96</v>
      </c>
      <c r="E18" s="35" t="s">
        <v>97</v>
      </c>
      <c r="F18" s="35" t="s">
        <v>20</v>
      </c>
      <c r="G18" s="35" t="s">
        <v>31</v>
      </c>
      <c r="H18" s="35" t="s">
        <v>5</v>
      </c>
      <c r="I18" s="35" t="s">
        <v>6</v>
      </c>
      <c r="J18" s="36">
        <v>7598</v>
      </c>
      <c r="K18" s="27">
        <f>0</f>
        <v>0</v>
      </c>
      <c r="L18" s="127">
        <f t="shared" si="0"/>
        <v>0</v>
      </c>
      <c r="M18" s="127">
        <f t="shared" si="1"/>
        <v>0</v>
      </c>
      <c r="N18" s="128"/>
      <c r="O18" s="129">
        <f t="shared" si="2"/>
        <v>0</v>
      </c>
      <c r="P18" s="128"/>
      <c r="Q18" s="128"/>
      <c r="R18" s="128"/>
      <c r="S18" s="184">
        <f t="shared" si="3"/>
        <v>0</v>
      </c>
      <c r="T18" s="25" t="str">
        <f t="shared" si="4"/>
        <v>OK</v>
      </c>
      <c r="U18" s="138"/>
      <c r="V18" s="138"/>
      <c r="W18" s="138"/>
      <c r="X18" s="138"/>
      <c r="Y18" s="139"/>
      <c r="Z18" s="24"/>
      <c r="AA18" s="24"/>
      <c r="AB18" s="22"/>
      <c r="AC18" s="22"/>
      <c r="AD18" s="22"/>
      <c r="AE18" s="22"/>
      <c r="AF18" s="22"/>
      <c r="AG18" s="22"/>
      <c r="AH18" s="22"/>
    </row>
    <row r="19" spans="1:34" ht="30.25" customHeight="1" x14ac:dyDescent="0.35">
      <c r="A19" s="44">
        <v>16</v>
      </c>
      <c r="B19" s="44">
        <v>16</v>
      </c>
      <c r="C19" s="45" t="s">
        <v>83</v>
      </c>
      <c r="D19" s="46" t="s">
        <v>98</v>
      </c>
      <c r="E19" s="45" t="s">
        <v>99</v>
      </c>
      <c r="F19" s="45" t="s">
        <v>20</v>
      </c>
      <c r="G19" s="45" t="s">
        <v>100</v>
      </c>
      <c r="H19" s="45" t="s">
        <v>5</v>
      </c>
      <c r="I19" s="45" t="s">
        <v>6</v>
      </c>
      <c r="J19" s="47">
        <v>4540.34</v>
      </c>
      <c r="K19" s="27">
        <f>0</f>
        <v>0</v>
      </c>
      <c r="L19" s="127">
        <f t="shared" si="0"/>
        <v>0</v>
      </c>
      <c r="M19" s="127">
        <f t="shared" si="1"/>
        <v>0</v>
      </c>
      <c r="N19" s="128"/>
      <c r="O19" s="129">
        <f t="shared" si="2"/>
        <v>0</v>
      </c>
      <c r="P19" s="128"/>
      <c r="Q19" s="128"/>
      <c r="R19" s="128"/>
      <c r="S19" s="184">
        <f t="shared" si="3"/>
        <v>0</v>
      </c>
      <c r="T19" s="25" t="str">
        <f t="shared" si="4"/>
        <v>OK</v>
      </c>
      <c r="U19" s="138"/>
      <c r="V19" s="138"/>
      <c r="W19" s="138"/>
      <c r="X19" s="138"/>
      <c r="Y19" s="139"/>
      <c r="Z19" s="24"/>
      <c r="AA19" s="24"/>
      <c r="AB19" s="22"/>
      <c r="AC19" s="22"/>
      <c r="AD19" s="22"/>
      <c r="AE19" s="22"/>
      <c r="AF19" s="22"/>
      <c r="AG19" s="22"/>
      <c r="AH19" s="22"/>
    </row>
    <row r="20" spans="1:34" ht="30.25" customHeight="1" x14ac:dyDescent="0.35">
      <c r="A20" s="37">
        <v>17</v>
      </c>
      <c r="B20" s="37">
        <v>17</v>
      </c>
      <c r="C20" s="35" t="s">
        <v>63</v>
      </c>
      <c r="D20" s="38" t="s">
        <v>101</v>
      </c>
      <c r="E20" s="39" t="s">
        <v>102</v>
      </c>
      <c r="F20" s="40" t="s">
        <v>20</v>
      </c>
      <c r="G20" s="40" t="s">
        <v>103</v>
      </c>
      <c r="H20" s="40" t="s">
        <v>5</v>
      </c>
      <c r="I20" s="40" t="s">
        <v>6</v>
      </c>
      <c r="J20" s="36">
        <v>7499</v>
      </c>
      <c r="K20" s="27">
        <f>0</f>
        <v>0</v>
      </c>
      <c r="L20" s="127">
        <f t="shared" si="0"/>
        <v>0</v>
      </c>
      <c r="M20" s="127">
        <f t="shared" si="1"/>
        <v>0</v>
      </c>
      <c r="N20" s="128"/>
      <c r="O20" s="129">
        <f t="shared" si="2"/>
        <v>0</v>
      </c>
      <c r="P20" s="128"/>
      <c r="Q20" s="128"/>
      <c r="R20" s="128"/>
      <c r="S20" s="184">
        <f t="shared" si="3"/>
        <v>0</v>
      </c>
      <c r="T20" s="25" t="str">
        <f t="shared" si="4"/>
        <v>OK</v>
      </c>
      <c r="U20" s="138"/>
      <c r="V20" s="138"/>
      <c r="W20" s="138"/>
      <c r="X20" s="138"/>
      <c r="Y20" s="139"/>
      <c r="Z20" s="24"/>
      <c r="AA20" s="24"/>
      <c r="AB20" s="22"/>
      <c r="AC20" s="22"/>
      <c r="AD20" s="22"/>
      <c r="AE20" s="22"/>
      <c r="AF20" s="22"/>
      <c r="AG20" s="22"/>
      <c r="AH20" s="22"/>
    </row>
    <row r="21" spans="1:34" ht="30.25" customHeight="1" x14ac:dyDescent="0.35">
      <c r="A21" s="44">
        <v>18</v>
      </c>
      <c r="B21" s="44">
        <v>18</v>
      </c>
      <c r="C21" s="45" t="s">
        <v>104</v>
      </c>
      <c r="D21" s="46" t="s">
        <v>105</v>
      </c>
      <c r="E21" s="48" t="s">
        <v>106</v>
      </c>
      <c r="F21" s="49" t="s">
        <v>20</v>
      </c>
      <c r="G21" s="44" t="s">
        <v>107</v>
      </c>
      <c r="H21" s="44" t="s">
        <v>5</v>
      </c>
      <c r="I21" s="44" t="s">
        <v>6</v>
      </c>
      <c r="J21" s="47">
        <v>9553.2000000000007</v>
      </c>
      <c r="K21" s="27">
        <f>0</f>
        <v>0</v>
      </c>
      <c r="L21" s="127">
        <f t="shared" si="0"/>
        <v>0</v>
      </c>
      <c r="M21" s="127">
        <f t="shared" si="1"/>
        <v>0</v>
      </c>
      <c r="N21" s="128"/>
      <c r="O21" s="129">
        <f t="shared" si="2"/>
        <v>0</v>
      </c>
      <c r="P21" s="128"/>
      <c r="Q21" s="128"/>
      <c r="R21" s="128"/>
      <c r="S21" s="184">
        <f t="shared" si="3"/>
        <v>0</v>
      </c>
      <c r="T21" s="25" t="str">
        <f t="shared" si="4"/>
        <v>OK</v>
      </c>
      <c r="U21" s="138"/>
      <c r="V21" s="138"/>
      <c r="W21" s="138"/>
      <c r="X21" s="138"/>
      <c r="Y21" s="139"/>
      <c r="Z21" s="24"/>
      <c r="AA21" s="24"/>
      <c r="AB21" s="22"/>
      <c r="AC21" s="22"/>
      <c r="AD21" s="22"/>
      <c r="AE21" s="22"/>
      <c r="AF21" s="22"/>
      <c r="AG21" s="22"/>
      <c r="AH21" s="22"/>
    </row>
    <row r="22" spans="1:34" ht="30.25" customHeight="1" x14ac:dyDescent="0.35">
      <c r="A22" s="37">
        <v>19</v>
      </c>
      <c r="B22" s="37">
        <v>19</v>
      </c>
      <c r="C22" s="35" t="s">
        <v>63</v>
      </c>
      <c r="D22" s="34" t="s">
        <v>108</v>
      </c>
      <c r="E22" s="41" t="s">
        <v>109</v>
      </c>
      <c r="F22" s="43" t="s">
        <v>20</v>
      </c>
      <c r="G22" s="37" t="s">
        <v>107</v>
      </c>
      <c r="H22" s="37" t="s">
        <v>5</v>
      </c>
      <c r="I22" s="37" t="s">
        <v>6</v>
      </c>
      <c r="J22" s="36">
        <v>8608</v>
      </c>
      <c r="K22" s="27">
        <f>0</f>
        <v>0</v>
      </c>
      <c r="L22" s="127">
        <f t="shared" si="0"/>
        <v>0</v>
      </c>
      <c r="M22" s="127">
        <f t="shared" si="1"/>
        <v>0</v>
      </c>
      <c r="N22" s="128"/>
      <c r="O22" s="129">
        <f t="shared" si="2"/>
        <v>0</v>
      </c>
      <c r="P22" s="128"/>
      <c r="Q22" s="128"/>
      <c r="R22" s="128"/>
      <c r="S22" s="184">
        <f t="shared" si="3"/>
        <v>0</v>
      </c>
      <c r="T22" s="25" t="str">
        <f t="shared" si="4"/>
        <v>OK</v>
      </c>
      <c r="U22" s="138"/>
      <c r="V22" s="138"/>
      <c r="W22" s="138"/>
      <c r="X22" s="138"/>
      <c r="Y22" s="139"/>
      <c r="Z22" s="24"/>
      <c r="AA22" s="24"/>
      <c r="AB22" s="22"/>
      <c r="AC22" s="22"/>
      <c r="AD22" s="22"/>
      <c r="AE22" s="22"/>
      <c r="AF22" s="22"/>
      <c r="AG22" s="22"/>
      <c r="AH22" s="22"/>
    </row>
    <row r="23" spans="1:34" ht="30.25" customHeight="1" x14ac:dyDescent="0.35">
      <c r="A23" s="44">
        <v>20</v>
      </c>
      <c r="B23" s="44">
        <v>20</v>
      </c>
      <c r="C23" s="45" t="s">
        <v>63</v>
      </c>
      <c r="D23" s="46" t="s">
        <v>110</v>
      </c>
      <c r="E23" s="48" t="s">
        <v>111</v>
      </c>
      <c r="F23" s="50" t="s">
        <v>20</v>
      </c>
      <c r="G23" s="44" t="s">
        <v>112</v>
      </c>
      <c r="H23" s="44" t="s">
        <v>5</v>
      </c>
      <c r="I23" s="44" t="s">
        <v>6</v>
      </c>
      <c r="J23" s="47">
        <v>10488</v>
      </c>
      <c r="K23" s="27">
        <f>0</f>
        <v>0</v>
      </c>
      <c r="L23" s="127">
        <f t="shared" si="0"/>
        <v>0</v>
      </c>
      <c r="M23" s="127">
        <f t="shared" si="1"/>
        <v>0</v>
      </c>
      <c r="N23" s="128"/>
      <c r="O23" s="129">
        <f t="shared" si="2"/>
        <v>0</v>
      </c>
      <c r="P23" s="128"/>
      <c r="Q23" s="128"/>
      <c r="R23" s="128"/>
      <c r="S23" s="184">
        <f t="shared" si="3"/>
        <v>0</v>
      </c>
      <c r="T23" s="25" t="str">
        <f t="shared" si="4"/>
        <v>OK</v>
      </c>
      <c r="U23" s="138"/>
      <c r="V23" s="138"/>
      <c r="W23" s="138"/>
      <c r="X23" s="138"/>
      <c r="Y23" s="139"/>
      <c r="Z23" s="24"/>
      <c r="AA23" s="24"/>
      <c r="AB23" s="22"/>
      <c r="AC23" s="22"/>
      <c r="AD23" s="22"/>
      <c r="AE23" s="22"/>
      <c r="AF23" s="22"/>
      <c r="AG23" s="22"/>
      <c r="AH23" s="22"/>
    </row>
    <row r="24" spans="1:34" ht="30.25" customHeight="1" x14ac:dyDescent="0.35">
      <c r="A24" s="37">
        <v>21</v>
      </c>
      <c r="B24" s="37">
        <v>21</v>
      </c>
      <c r="C24" s="35" t="s">
        <v>63</v>
      </c>
      <c r="D24" s="34" t="s">
        <v>113</v>
      </c>
      <c r="E24" s="41" t="s">
        <v>114</v>
      </c>
      <c r="F24" s="43" t="s">
        <v>20</v>
      </c>
      <c r="G24" s="37" t="s">
        <v>115</v>
      </c>
      <c r="H24" s="37" t="s">
        <v>5</v>
      </c>
      <c r="I24" s="37" t="s">
        <v>6</v>
      </c>
      <c r="J24" s="36">
        <v>10968</v>
      </c>
      <c r="K24" s="27">
        <f>0</f>
        <v>0</v>
      </c>
      <c r="L24" s="127">
        <f t="shared" si="0"/>
        <v>0</v>
      </c>
      <c r="M24" s="127">
        <f t="shared" si="1"/>
        <v>0</v>
      </c>
      <c r="N24" s="128"/>
      <c r="O24" s="129">
        <f t="shared" si="2"/>
        <v>0</v>
      </c>
      <c r="P24" s="128"/>
      <c r="Q24" s="128"/>
      <c r="R24" s="128"/>
      <c r="S24" s="184">
        <f t="shared" si="3"/>
        <v>0</v>
      </c>
      <c r="T24" s="25" t="str">
        <f t="shared" si="4"/>
        <v>OK</v>
      </c>
      <c r="U24" s="138"/>
      <c r="V24" s="138"/>
      <c r="W24" s="138"/>
      <c r="X24" s="138"/>
      <c r="Y24" s="139"/>
      <c r="Z24" s="24"/>
      <c r="AA24" s="24"/>
      <c r="AB24" s="22"/>
      <c r="AC24" s="22"/>
      <c r="AD24" s="22"/>
      <c r="AE24" s="22"/>
      <c r="AF24" s="22"/>
      <c r="AG24" s="22"/>
      <c r="AH24" s="22"/>
    </row>
    <row r="25" spans="1:34" ht="30.25" customHeight="1" x14ac:dyDescent="0.35">
      <c r="A25" s="44">
        <v>22</v>
      </c>
      <c r="B25" s="44">
        <v>22</v>
      </c>
      <c r="C25" s="45" t="s">
        <v>32</v>
      </c>
      <c r="D25" s="46" t="s">
        <v>116</v>
      </c>
      <c r="E25" s="48" t="s">
        <v>117</v>
      </c>
      <c r="F25" s="50" t="s">
        <v>20</v>
      </c>
      <c r="G25" s="44" t="s">
        <v>118</v>
      </c>
      <c r="H25" s="44" t="s">
        <v>5</v>
      </c>
      <c r="I25" s="44" t="s">
        <v>6</v>
      </c>
      <c r="J25" s="47">
        <v>13446</v>
      </c>
      <c r="K25" s="27">
        <f>0</f>
        <v>0</v>
      </c>
      <c r="L25" s="127">
        <f t="shared" si="0"/>
        <v>0</v>
      </c>
      <c r="M25" s="127">
        <f t="shared" si="1"/>
        <v>0</v>
      </c>
      <c r="N25" s="128"/>
      <c r="O25" s="129">
        <f t="shared" si="2"/>
        <v>0</v>
      </c>
      <c r="P25" s="128"/>
      <c r="Q25" s="128"/>
      <c r="R25" s="128"/>
      <c r="S25" s="184">
        <f t="shared" si="3"/>
        <v>0</v>
      </c>
      <c r="T25" s="25" t="str">
        <f t="shared" si="4"/>
        <v>OK</v>
      </c>
      <c r="U25" s="138"/>
      <c r="V25" s="138"/>
      <c r="W25" s="138"/>
      <c r="X25" s="138"/>
      <c r="Y25" s="139"/>
      <c r="Z25" s="24"/>
      <c r="AA25" s="24"/>
      <c r="AB25" s="22"/>
      <c r="AC25" s="22"/>
      <c r="AD25" s="22"/>
      <c r="AE25" s="22"/>
      <c r="AF25" s="22"/>
      <c r="AG25" s="22"/>
      <c r="AH25" s="22"/>
    </row>
    <row r="26" spans="1:34" ht="30.25" customHeight="1" x14ac:dyDescent="0.35">
      <c r="A26" s="37">
        <v>23</v>
      </c>
      <c r="B26" s="37">
        <v>23</v>
      </c>
      <c r="C26" s="35" t="s">
        <v>119</v>
      </c>
      <c r="D26" s="34" t="s">
        <v>120</v>
      </c>
      <c r="E26" s="41" t="s">
        <v>121</v>
      </c>
      <c r="F26" s="43" t="s">
        <v>20</v>
      </c>
      <c r="G26" s="37" t="s">
        <v>115</v>
      </c>
      <c r="H26" s="37" t="s">
        <v>5</v>
      </c>
      <c r="I26" s="37" t="s">
        <v>6</v>
      </c>
      <c r="J26" s="36">
        <v>11764.7</v>
      </c>
      <c r="K26" s="27">
        <f>0</f>
        <v>0</v>
      </c>
      <c r="L26" s="127">
        <f t="shared" si="0"/>
        <v>0</v>
      </c>
      <c r="M26" s="127">
        <f t="shared" si="1"/>
        <v>0</v>
      </c>
      <c r="N26" s="128"/>
      <c r="O26" s="129">
        <f t="shared" si="2"/>
        <v>0</v>
      </c>
      <c r="P26" s="128"/>
      <c r="Q26" s="128"/>
      <c r="R26" s="128"/>
      <c r="S26" s="184">
        <f t="shared" si="3"/>
        <v>0</v>
      </c>
      <c r="T26" s="25" t="str">
        <f t="shared" si="4"/>
        <v>OK</v>
      </c>
      <c r="U26" s="138"/>
      <c r="V26" s="138"/>
      <c r="W26" s="138"/>
      <c r="X26" s="138"/>
      <c r="Y26" s="139"/>
      <c r="Z26" s="24"/>
      <c r="AA26" s="24"/>
      <c r="AB26" s="22"/>
      <c r="AC26" s="22"/>
      <c r="AD26" s="22"/>
      <c r="AE26" s="22"/>
      <c r="AF26" s="22"/>
      <c r="AG26" s="22"/>
      <c r="AH26" s="22"/>
    </row>
    <row r="27" spans="1:34" ht="30.25" customHeight="1" x14ac:dyDescent="0.35">
      <c r="A27" s="44">
        <v>24</v>
      </c>
      <c r="B27" s="44">
        <v>24</v>
      </c>
      <c r="C27" s="45" t="s">
        <v>32</v>
      </c>
      <c r="D27" s="46" t="s">
        <v>122</v>
      </c>
      <c r="E27" s="48" t="s">
        <v>123</v>
      </c>
      <c r="F27" s="50" t="s">
        <v>20</v>
      </c>
      <c r="G27" s="44" t="s">
        <v>124</v>
      </c>
      <c r="H27" s="44" t="s">
        <v>60</v>
      </c>
      <c r="I27" s="44" t="s">
        <v>6</v>
      </c>
      <c r="J27" s="47">
        <v>13333.33</v>
      </c>
      <c r="K27" s="27">
        <f>0</f>
        <v>0</v>
      </c>
      <c r="L27" s="127">
        <f t="shared" si="0"/>
        <v>0</v>
      </c>
      <c r="M27" s="127">
        <f t="shared" si="1"/>
        <v>0</v>
      </c>
      <c r="N27" s="128"/>
      <c r="O27" s="129">
        <f t="shared" si="2"/>
        <v>0</v>
      </c>
      <c r="P27" s="128"/>
      <c r="Q27" s="128"/>
      <c r="R27" s="128"/>
      <c r="S27" s="184">
        <f t="shared" si="3"/>
        <v>0</v>
      </c>
      <c r="T27" s="25" t="str">
        <f t="shared" si="4"/>
        <v>OK</v>
      </c>
      <c r="U27" s="138"/>
      <c r="V27" s="138"/>
      <c r="W27" s="138"/>
      <c r="X27" s="138"/>
      <c r="Y27" s="139"/>
      <c r="Z27" s="24"/>
      <c r="AA27" s="24"/>
      <c r="AB27" s="22"/>
      <c r="AC27" s="22"/>
      <c r="AD27" s="22"/>
      <c r="AE27" s="22"/>
      <c r="AF27" s="22"/>
      <c r="AG27" s="22"/>
      <c r="AH27" s="22"/>
    </row>
    <row r="28" spans="1:34" ht="30.25" customHeight="1" x14ac:dyDescent="0.35">
      <c r="A28" s="37">
        <v>25</v>
      </c>
      <c r="B28" s="37">
        <v>25</v>
      </c>
      <c r="C28" s="35" t="s">
        <v>125</v>
      </c>
      <c r="D28" s="34" t="s">
        <v>126</v>
      </c>
      <c r="E28" s="41" t="s">
        <v>127</v>
      </c>
      <c r="F28" s="43" t="s">
        <v>24</v>
      </c>
      <c r="G28" s="37" t="s">
        <v>25</v>
      </c>
      <c r="H28" s="37" t="s">
        <v>5</v>
      </c>
      <c r="I28" s="37" t="s">
        <v>26</v>
      </c>
      <c r="J28" s="36">
        <v>1320</v>
      </c>
      <c r="K28" s="27">
        <f>0</f>
        <v>0</v>
      </c>
      <c r="L28" s="127">
        <f t="shared" si="0"/>
        <v>0</v>
      </c>
      <c r="M28" s="127">
        <f t="shared" si="1"/>
        <v>0</v>
      </c>
      <c r="N28" s="128"/>
      <c r="O28" s="129">
        <f t="shared" si="2"/>
        <v>0</v>
      </c>
      <c r="P28" s="128"/>
      <c r="Q28" s="128"/>
      <c r="R28" s="128"/>
      <c r="S28" s="184">
        <f t="shared" si="3"/>
        <v>0</v>
      </c>
      <c r="T28" s="25" t="str">
        <f t="shared" si="4"/>
        <v>OK</v>
      </c>
      <c r="U28" s="138"/>
      <c r="V28" s="138"/>
      <c r="W28" s="138"/>
      <c r="X28" s="138"/>
      <c r="Y28" s="139"/>
      <c r="Z28" s="24"/>
      <c r="AA28" s="24"/>
      <c r="AB28" s="22"/>
      <c r="AC28" s="22"/>
      <c r="AD28" s="22"/>
      <c r="AE28" s="22"/>
      <c r="AF28" s="22"/>
      <c r="AG28" s="22"/>
      <c r="AH28" s="22"/>
    </row>
    <row r="29" spans="1:34" ht="30.25" customHeight="1" x14ac:dyDescent="0.35">
      <c r="A29" s="44">
        <v>26</v>
      </c>
      <c r="B29" s="44">
        <v>26</v>
      </c>
      <c r="C29" s="45" t="s">
        <v>119</v>
      </c>
      <c r="D29" s="46" t="s">
        <v>14</v>
      </c>
      <c r="E29" s="48" t="s">
        <v>128</v>
      </c>
      <c r="F29" s="50" t="s">
        <v>23</v>
      </c>
      <c r="G29" s="44" t="s">
        <v>129</v>
      </c>
      <c r="H29" s="44" t="s">
        <v>5</v>
      </c>
      <c r="I29" s="44" t="s">
        <v>6</v>
      </c>
      <c r="J29" s="47">
        <v>650</v>
      </c>
      <c r="K29" s="27">
        <f>0</f>
        <v>0</v>
      </c>
      <c r="L29" s="127">
        <f t="shared" si="0"/>
        <v>0</v>
      </c>
      <c r="M29" s="127">
        <f t="shared" si="1"/>
        <v>0</v>
      </c>
      <c r="N29" s="128"/>
      <c r="O29" s="129">
        <f t="shared" si="2"/>
        <v>0</v>
      </c>
      <c r="P29" s="128"/>
      <c r="Q29" s="128"/>
      <c r="R29" s="128"/>
      <c r="S29" s="184">
        <f t="shared" si="3"/>
        <v>0</v>
      </c>
      <c r="T29" s="25" t="str">
        <f t="shared" si="4"/>
        <v>OK</v>
      </c>
      <c r="U29" s="138"/>
      <c r="V29" s="138"/>
      <c r="W29" s="138"/>
      <c r="X29" s="138"/>
      <c r="Y29" s="139"/>
      <c r="Z29" s="24"/>
      <c r="AA29" s="24"/>
      <c r="AB29" s="22"/>
      <c r="AC29" s="22"/>
      <c r="AD29" s="22"/>
      <c r="AE29" s="22"/>
      <c r="AF29" s="22"/>
      <c r="AG29" s="22"/>
      <c r="AH29" s="22"/>
    </row>
    <row r="30" spans="1:34" ht="30.25" customHeight="1" x14ac:dyDescent="0.35">
      <c r="A30" s="37">
        <v>27</v>
      </c>
      <c r="B30" s="37">
        <v>27</v>
      </c>
      <c r="C30" s="35" t="s">
        <v>130</v>
      </c>
      <c r="D30" s="34" t="s">
        <v>131</v>
      </c>
      <c r="E30" s="41" t="s">
        <v>132</v>
      </c>
      <c r="F30" s="43" t="s">
        <v>28</v>
      </c>
      <c r="G30" s="37" t="s">
        <v>29</v>
      </c>
      <c r="H30" s="37" t="s">
        <v>8</v>
      </c>
      <c r="I30" s="37" t="s">
        <v>26</v>
      </c>
      <c r="J30" s="36">
        <v>39.78</v>
      </c>
      <c r="K30" s="27">
        <f>0</f>
        <v>0</v>
      </c>
      <c r="L30" s="127">
        <f t="shared" si="0"/>
        <v>0</v>
      </c>
      <c r="M30" s="127">
        <f t="shared" si="1"/>
        <v>0</v>
      </c>
      <c r="N30" s="128"/>
      <c r="O30" s="129">
        <f t="shared" si="2"/>
        <v>0</v>
      </c>
      <c r="P30" s="128"/>
      <c r="Q30" s="128"/>
      <c r="R30" s="128"/>
      <c r="S30" s="184">
        <f t="shared" si="3"/>
        <v>0</v>
      </c>
      <c r="T30" s="25" t="str">
        <f t="shared" si="4"/>
        <v>OK</v>
      </c>
      <c r="U30" s="138"/>
      <c r="V30" s="138"/>
      <c r="W30" s="138"/>
      <c r="X30" s="138"/>
      <c r="Y30" s="139"/>
      <c r="Z30" s="24"/>
      <c r="AA30" s="24"/>
      <c r="AB30" s="22"/>
      <c r="AC30" s="22"/>
      <c r="AD30" s="22"/>
      <c r="AE30" s="22"/>
      <c r="AF30" s="22"/>
      <c r="AG30" s="22"/>
      <c r="AH30" s="22"/>
    </row>
    <row r="31" spans="1:34" ht="30.25" customHeight="1" x14ac:dyDescent="0.35">
      <c r="A31" s="44">
        <v>28</v>
      </c>
      <c r="B31" s="44">
        <v>28</v>
      </c>
      <c r="C31" s="45" t="s">
        <v>133</v>
      </c>
      <c r="D31" s="46" t="s">
        <v>134</v>
      </c>
      <c r="E31" s="48" t="s">
        <v>135</v>
      </c>
      <c r="F31" s="50" t="s">
        <v>136</v>
      </c>
      <c r="G31" s="44" t="s">
        <v>137</v>
      </c>
      <c r="H31" s="44" t="s">
        <v>5</v>
      </c>
      <c r="I31" s="44" t="s">
        <v>6</v>
      </c>
      <c r="J31" s="47">
        <v>2259.91</v>
      </c>
      <c r="K31" s="27">
        <f>0</f>
        <v>0</v>
      </c>
      <c r="L31" s="127">
        <f t="shared" si="0"/>
        <v>0</v>
      </c>
      <c r="M31" s="127">
        <f t="shared" si="1"/>
        <v>0</v>
      </c>
      <c r="N31" s="128"/>
      <c r="O31" s="129">
        <f t="shared" si="2"/>
        <v>0</v>
      </c>
      <c r="P31" s="128"/>
      <c r="Q31" s="128"/>
      <c r="R31" s="128"/>
      <c r="S31" s="184">
        <f t="shared" si="3"/>
        <v>0</v>
      </c>
      <c r="T31" s="25" t="str">
        <f t="shared" si="4"/>
        <v>OK</v>
      </c>
      <c r="U31" s="138"/>
      <c r="V31" s="138"/>
      <c r="W31" s="138"/>
      <c r="X31" s="138"/>
      <c r="Y31" s="139"/>
      <c r="Z31" s="24"/>
      <c r="AA31" s="24"/>
      <c r="AB31" s="22"/>
      <c r="AC31" s="22"/>
      <c r="AD31" s="22"/>
      <c r="AE31" s="22"/>
      <c r="AF31" s="22"/>
      <c r="AG31" s="22"/>
      <c r="AH31" s="22"/>
    </row>
    <row r="32" spans="1:34" ht="30.25" customHeight="1" x14ac:dyDescent="0.35">
      <c r="A32" s="37">
        <v>29</v>
      </c>
      <c r="B32" s="37">
        <v>29</v>
      </c>
      <c r="C32" s="35" t="s">
        <v>138</v>
      </c>
      <c r="D32" s="34" t="s">
        <v>139</v>
      </c>
      <c r="E32" s="41" t="s">
        <v>140</v>
      </c>
      <c r="F32" s="43" t="s">
        <v>136</v>
      </c>
      <c r="G32" s="37" t="s">
        <v>137</v>
      </c>
      <c r="H32" s="37" t="s">
        <v>5</v>
      </c>
      <c r="I32" s="37" t="s">
        <v>6</v>
      </c>
      <c r="J32" s="36">
        <v>3391.3</v>
      </c>
      <c r="K32" s="27">
        <f>4</f>
        <v>4</v>
      </c>
      <c r="L32" s="127">
        <f t="shared" si="0"/>
        <v>4</v>
      </c>
      <c r="M32" s="127">
        <f t="shared" si="1"/>
        <v>4</v>
      </c>
      <c r="N32" s="128"/>
      <c r="O32" s="129">
        <f t="shared" si="2"/>
        <v>1</v>
      </c>
      <c r="P32" s="128"/>
      <c r="Q32" s="128"/>
      <c r="R32" s="128"/>
      <c r="S32" s="184">
        <f t="shared" si="3"/>
        <v>0</v>
      </c>
      <c r="T32" s="25" t="str">
        <f t="shared" si="4"/>
        <v>OK</v>
      </c>
      <c r="U32" s="138"/>
      <c r="V32" s="138"/>
      <c r="W32" s="140">
        <v>4</v>
      </c>
      <c r="X32" s="138"/>
      <c r="Y32" s="139"/>
      <c r="Z32" s="24"/>
      <c r="AA32" s="24"/>
      <c r="AB32" s="22"/>
      <c r="AC32" s="22"/>
      <c r="AD32" s="22"/>
      <c r="AE32" s="22"/>
      <c r="AF32" s="22"/>
      <c r="AG32" s="22"/>
      <c r="AH32" s="22"/>
    </row>
    <row r="33" spans="1:34" ht="30.25" customHeight="1" x14ac:dyDescent="0.35">
      <c r="A33" s="44">
        <v>30</v>
      </c>
      <c r="B33" s="44">
        <v>30</v>
      </c>
      <c r="C33" s="45" t="s">
        <v>141</v>
      </c>
      <c r="D33" s="46" t="s">
        <v>142</v>
      </c>
      <c r="E33" s="48" t="s">
        <v>143</v>
      </c>
      <c r="F33" s="50" t="s">
        <v>136</v>
      </c>
      <c r="G33" s="44" t="s">
        <v>137</v>
      </c>
      <c r="H33" s="44" t="s">
        <v>5</v>
      </c>
      <c r="I33" s="44" t="s">
        <v>6</v>
      </c>
      <c r="J33" s="47">
        <v>9961.5300000000007</v>
      </c>
      <c r="K33" s="27">
        <f>0</f>
        <v>0</v>
      </c>
      <c r="L33" s="127">
        <f t="shared" si="0"/>
        <v>0</v>
      </c>
      <c r="M33" s="127">
        <f t="shared" si="1"/>
        <v>0</v>
      </c>
      <c r="N33" s="128"/>
      <c r="O33" s="129">
        <f t="shared" si="2"/>
        <v>0</v>
      </c>
      <c r="P33" s="128"/>
      <c r="Q33" s="128"/>
      <c r="R33" s="128"/>
      <c r="S33" s="184">
        <f t="shared" si="3"/>
        <v>0</v>
      </c>
      <c r="T33" s="25" t="str">
        <f t="shared" si="4"/>
        <v>OK</v>
      </c>
      <c r="U33" s="138"/>
      <c r="V33" s="138"/>
      <c r="W33" s="138"/>
      <c r="X33" s="138"/>
      <c r="Y33" s="139"/>
      <c r="Z33" s="24"/>
      <c r="AA33" s="24"/>
      <c r="AB33" s="22"/>
      <c r="AC33" s="22"/>
      <c r="AD33" s="22"/>
      <c r="AE33" s="22"/>
      <c r="AF33" s="22"/>
      <c r="AG33" s="22"/>
      <c r="AH33" s="22"/>
    </row>
    <row r="34" spans="1:34" ht="30.25" customHeight="1" x14ac:dyDescent="0.35">
      <c r="A34" s="37">
        <v>31</v>
      </c>
      <c r="B34" s="37">
        <v>31</v>
      </c>
      <c r="C34" s="35" t="s">
        <v>144</v>
      </c>
      <c r="D34" s="34" t="s">
        <v>145</v>
      </c>
      <c r="E34" s="41" t="s">
        <v>146</v>
      </c>
      <c r="F34" s="43" t="s">
        <v>20</v>
      </c>
      <c r="G34" s="37" t="s">
        <v>147</v>
      </c>
      <c r="H34" s="37" t="s">
        <v>60</v>
      </c>
      <c r="I34" s="37">
        <v>44905212</v>
      </c>
      <c r="J34" s="36">
        <v>630</v>
      </c>
      <c r="K34" s="27">
        <f>0</f>
        <v>0</v>
      </c>
      <c r="L34" s="127">
        <f t="shared" si="0"/>
        <v>0</v>
      </c>
      <c r="M34" s="127">
        <f t="shared" si="1"/>
        <v>0</v>
      </c>
      <c r="N34" s="128"/>
      <c r="O34" s="129">
        <f t="shared" si="2"/>
        <v>0</v>
      </c>
      <c r="P34" s="128"/>
      <c r="Q34" s="128"/>
      <c r="R34" s="128"/>
      <c r="S34" s="184">
        <f t="shared" si="3"/>
        <v>0</v>
      </c>
      <c r="T34" s="25" t="str">
        <f t="shared" si="4"/>
        <v>OK</v>
      </c>
      <c r="U34" s="138"/>
      <c r="V34" s="138"/>
      <c r="W34" s="138"/>
      <c r="X34" s="138"/>
      <c r="Y34" s="139"/>
      <c r="Z34" s="24"/>
      <c r="AA34" s="24"/>
      <c r="AB34" s="22"/>
      <c r="AC34" s="22"/>
      <c r="AD34" s="22"/>
      <c r="AE34" s="22"/>
      <c r="AF34" s="22"/>
      <c r="AG34" s="22"/>
      <c r="AH34" s="22"/>
    </row>
    <row r="35" spans="1:34" ht="30.25" customHeight="1" x14ac:dyDescent="0.35">
      <c r="A35" s="44">
        <v>32</v>
      </c>
      <c r="B35" s="44">
        <v>32</v>
      </c>
      <c r="C35" s="45" t="s">
        <v>144</v>
      </c>
      <c r="D35" s="46" t="s">
        <v>148</v>
      </c>
      <c r="E35" s="48" t="s">
        <v>149</v>
      </c>
      <c r="F35" s="50" t="s">
        <v>20</v>
      </c>
      <c r="G35" s="44" t="s">
        <v>147</v>
      </c>
      <c r="H35" s="44" t="s">
        <v>60</v>
      </c>
      <c r="I35" s="44">
        <v>44905212</v>
      </c>
      <c r="J35" s="47">
        <v>1550</v>
      </c>
      <c r="K35" s="27">
        <f>0</f>
        <v>0</v>
      </c>
      <c r="L35" s="127">
        <f t="shared" si="0"/>
        <v>0</v>
      </c>
      <c r="M35" s="127">
        <f t="shared" si="1"/>
        <v>0</v>
      </c>
      <c r="N35" s="128"/>
      <c r="O35" s="129">
        <f t="shared" si="2"/>
        <v>0</v>
      </c>
      <c r="P35" s="128"/>
      <c r="Q35" s="128"/>
      <c r="R35" s="128"/>
      <c r="S35" s="184">
        <f t="shared" si="3"/>
        <v>0</v>
      </c>
      <c r="T35" s="25" t="str">
        <f t="shared" si="4"/>
        <v>OK</v>
      </c>
      <c r="U35" s="138"/>
      <c r="V35" s="138"/>
      <c r="W35" s="138"/>
      <c r="X35" s="138"/>
      <c r="Y35" s="139"/>
      <c r="Z35" s="24"/>
      <c r="AA35" s="24"/>
      <c r="AB35" s="22"/>
      <c r="AC35" s="22"/>
      <c r="AD35" s="22"/>
      <c r="AE35" s="22"/>
      <c r="AF35" s="22"/>
      <c r="AG35" s="22"/>
      <c r="AH35" s="22"/>
    </row>
    <row r="36" spans="1:34" ht="30.25" customHeight="1" x14ac:dyDescent="0.35">
      <c r="A36" s="37">
        <v>33</v>
      </c>
      <c r="B36" s="37">
        <v>33</v>
      </c>
      <c r="C36" s="35" t="s">
        <v>150</v>
      </c>
      <c r="D36" s="34" t="s">
        <v>151</v>
      </c>
      <c r="E36" s="41" t="s">
        <v>152</v>
      </c>
      <c r="F36" s="43" t="s">
        <v>20</v>
      </c>
      <c r="G36" s="37" t="s">
        <v>147</v>
      </c>
      <c r="H36" s="37" t="s">
        <v>60</v>
      </c>
      <c r="I36" s="37">
        <v>44905212</v>
      </c>
      <c r="J36" s="36">
        <v>930</v>
      </c>
      <c r="K36" s="27">
        <f>0</f>
        <v>0</v>
      </c>
      <c r="L36" s="127">
        <f t="shared" si="0"/>
        <v>0</v>
      </c>
      <c r="M36" s="127">
        <f t="shared" si="1"/>
        <v>0</v>
      </c>
      <c r="N36" s="128"/>
      <c r="O36" s="129">
        <f t="shared" si="2"/>
        <v>0</v>
      </c>
      <c r="P36" s="128"/>
      <c r="Q36" s="128"/>
      <c r="R36" s="128"/>
      <c r="S36" s="184">
        <f t="shared" si="3"/>
        <v>0</v>
      </c>
      <c r="T36" s="25" t="str">
        <f t="shared" si="4"/>
        <v>OK</v>
      </c>
      <c r="U36" s="138"/>
      <c r="V36" s="138"/>
      <c r="W36" s="138"/>
      <c r="X36" s="138"/>
      <c r="Y36" s="139"/>
      <c r="Z36" s="24"/>
      <c r="AA36" s="24"/>
      <c r="AB36" s="22"/>
      <c r="AC36" s="22"/>
      <c r="AD36" s="22"/>
      <c r="AE36" s="22"/>
      <c r="AF36" s="22"/>
      <c r="AG36" s="22"/>
      <c r="AH36" s="22"/>
    </row>
    <row r="37" spans="1:34" ht="30.25" customHeight="1" x14ac:dyDescent="0.35">
      <c r="A37" s="44">
        <v>34</v>
      </c>
      <c r="B37" s="44">
        <v>34</v>
      </c>
      <c r="C37" s="45" t="s">
        <v>150</v>
      </c>
      <c r="D37" s="46" t="s">
        <v>153</v>
      </c>
      <c r="E37" s="48" t="s">
        <v>154</v>
      </c>
      <c r="F37" s="50" t="s">
        <v>20</v>
      </c>
      <c r="G37" s="44" t="s">
        <v>147</v>
      </c>
      <c r="H37" s="44" t="s">
        <v>60</v>
      </c>
      <c r="I37" s="44">
        <v>44905212</v>
      </c>
      <c r="J37" s="47">
        <v>2560</v>
      </c>
      <c r="K37" s="27">
        <f>0</f>
        <v>0</v>
      </c>
      <c r="L37" s="127">
        <f t="shared" si="0"/>
        <v>0</v>
      </c>
      <c r="M37" s="127">
        <f t="shared" si="1"/>
        <v>0</v>
      </c>
      <c r="N37" s="128"/>
      <c r="O37" s="129">
        <f t="shared" si="2"/>
        <v>0</v>
      </c>
      <c r="P37" s="128"/>
      <c r="Q37" s="128"/>
      <c r="R37" s="128"/>
      <c r="S37" s="184">
        <f t="shared" si="3"/>
        <v>0</v>
      </c>
      <c r="T37" s="25" t="str">
        <f t="shared" si="4"/>
        <v>OK</v>
      </c>
      <c r="U37" s="138"/>
      <c r="V37" s="138"/>
      <c r="W37" s="138"/>
      <c r="X37" s="138"/>
      <c r="Y37" s="139"/>
      <c r="Z37" s="24"/>
      <c r="AA37" s="24"/>
      <c r="AB37" s="22"/>
      <c r="AC37" s="22"/>
      <c r="AD37" s="22"/>
      <c r="AE37" s="22"/>
      <c r="AF37" s="22"/>
      <c r="AG37" s="22"/>
      <c r="AH37" s="22"/>
    </row>
    <row r="38" spans="1:34" ht="30.25" customHeight="1" x14ac:dyDescent="0.35">
      <c r="A38" s="198" t="s">
        <v>155</v>
      </c>
      <c r="B38" s="37">
        <v>35</v>
      </c>
      <c r="C38" s="195" t="s">
        <v>33</v>
      </c>
      <c r="D38" s="34" t="s">
        <v>27</v>
      </c>
      <c r="E38" s="41" t="s">
        <v>8</v>
      </c>
      <c r="F38" s="42" t="s">
        <v>28</v>
      </c>
      <c r="G38" s="37" t="s">
        <v>29</v>
      </c>
      <c r="H38" s="37" t="s">
        <v>8</v>
      </c>
      <c r="I38" s="37" t="s">
        <v>9</v>
      </c>
      <c r="J38" s="36">
        <v>150.13999999999999</v>
      </c>
      <c r="K38" s="27">
        <f>0</f>
        <v>0</v>
      </c>
      <c r="L38" s="127">
        <f t="shared" si="0"/>
        <v>0</v>
      </c>
      <c r="M38" s="127">
        <f t="shared" si="1"/>
        <v>0</v>
      </c>
      <c r="N38" s="128"/>
      <c r="O38" s="129">
        <f t="shared" si="2"/>
        <v>0</v>
      </c>
      <c r="P38" s="128"/>
      <c r="Q38" s="128"/>
      <c r="R38" s="128"/>
      <c r="S38" s="184">
        <f t="shared" si="3"/>
        <v>0</v>
      </c>
      <c r="T38" s="25" t="str">
        <f t="shared" si="4"/>
        <v>OK</v>
      </c>
      <c r="U38" s="138"/>
      <c r="V38" s="138"/>
      <c r="W38" s="138"/>
      <c r="X38" s="138"/>
      <c r="Y38" s="139"/>
      <c r="Z38" s="24"/>
      <c r="AA38" s="24"/>
      <c r="AB38" s="22"/>
      <c r="AC38" s="22"/>
      <c r="AD38" s="22"/>
      <c r="AE38" s="22"/>
      <c r="AF38" s="22"/>
      <c r="AG38" s="22"/>
      <c r="AH38" s="22"/>
    </row>
    <row r="39" spans="1:34" ht="30.25" customHeight="1" x14ac:dyDescent="0.35">
      <c r="A39" s="199"/>
      <c r="B39" s="84">
        <v>36</v>
      </c>
      <c r="C39" s="196"/>
      <c r="D39" s="34" t="s">
        <v>7</v>
      </c>
      <c r="E39" s="41" t="s">
        <v>8</v>
      </c>
      <c r="F39" s="43" t="s">
        <v>28</v>
      </c>
      <c r="G39" s="37" t="s">
        <v>29</v>
      </c>
      <c r="H39" s="37" t="s">
        <v>8</v>
      </c>
      <c r="I39" s="37" t="s">
        <v>9</v>
      </c>
      <c r="J39" s="36">
        <v>1076</v>
      </c>
      <c r="K39" s="27">
        <f>44</f>
        <v>44</v>
      </c>
      <c r="L39" s="127">
        <f t="shared" si="0"/>
        <v>44</v>
      </c>
      <c r="M39" s="127">
        <f t="shared" si="1"/>
        <v>44</v>
      </c>
      <c r="N39" s="128">
        <f>-4+4</f>
        <v>0</v>
      </c>
      <c r="O39" s="129">
        <f t="shared" si="2"/>
        <v>11</v>
      </c>
      <c r="P39" s="128"/>
      <c r="Q39" s="128"/>
      <c r="R39" s="128"/>
      <c r="S39" s="184">
        <f t="shared" si="3"/>
        <v>0</v>
      </c>
      <c r="T39" s="25" t="str">
        <f t="shared" si="4"/>
        <v>OK</v>
      </c>
      <c r="U39" s="138"/>
      <c r="V39" s="138"/>
      <c r="W39" s="138"/>
      <c r="X39" s="140">
        <v>36</v>
      </c>
      <c r="Y39" s="141">
        <v>8</v>
      </c>
      <c r="Z39" s="24"/>
      <c r="AA39" s="24"/>
      <c r="AB39" s="22"/>
      <c r="AC39" s="22"/>
      <c r="AD39" s="22"/>
      <c r="AE39" s="22"/>
      <c r="AF39" s="22"/>
      <c r="AG39" s="22"/>
      <c r="AH39" s="22"/>
    </row>
    <row r="40" spans="1:34" ht="30.25" customHeight="1" x14ac:dyDescent="0.35">
      <c r="A40" s="199"/>
      <c r="B40" s="37">
        <v>37</v>
      </c>
      <c r="C40" s="196"/>
      <c r="D40" s="34" t="s">
        <v>156</v>
      </c>
      <c r="E40" s="41" t="s">
        <v>8</v>
      </c>
      <c r="F40" s="43" t="s">
        <v>28</v>
      </c>
      <c r="G40" s="37" t="s">
        <v>29</v>
      </c>
      <c r="H40" s="37" t="s">
        <v>34</v>
      </c>
      <c r="I40" s="37" t="s">
        <v>9</v>
      </c>
      <c r="J40" s="36">
        <v>75</v>
      </c>
      <c r="K40" s="27">
        <f>0</f>
        <v>0</v>
      </c>
      <c r="L40" s="127">
        <f t="shared" si="0"/>
        <v>0</v>
      </c>
      <c r="M40" s="127">
        <f t="shared" si="1"/>
        <v>0</v>
      </c>
      <c r="N40" s="128"/>
      <c r="O40" s="129">
        <f t="shared" si="2"/>
        <v>0</v>
      </c>
      <c r="P40" s="128"/>
      <c r="Q40" s="128"/>
      <c r="R40" s="128"/>
      <c r="S40" s="184">
        <f t="shared" si="3"/>
        <v>0</v>
      </c>
      <c r="T40" s="25" t="str">
        <f t="shared" si="4"/>
        <v>OK</v>
      </c>
      <c r="U40" s="138"/>
      <c r="V40" s="138"/>
      <c r="W40" s="138"/>
      <c r="X40" s="138"/>
      <c r="Y40" s="139"/>
      <c r="Z40" s="24"/>
      <c r="AA40" s="24"/>
      <c r="AB40" s="22"/>
      <c r="AC40" s="22"/>
      <c r="AD40" s="22"/>
      <c r="AE40" s="22"/>
      <c r="AF40" s="22"/>
      <c r="AG40" s="22"/>
      <c r="AH40" s="22"/>
    </row>
    <row r="41" spans="1:34" ht="30.25" customHeight="1" x14ac:dyDescent="0.35">
      <c r="A41" s="199"/>
      <c r="B41" s="37">
        <v>38</v>
      </c>
      <c r="C41" s="196"/>
      <c r="D41" s="34" t="s">
        <v>11</v>
      </c>
      <c r="E41" s="41" t="s">
        <v>8</v>
      </c>
      <c r="F41" s="43" t="s">
        <v>28</v>
      </c>
      <c r="G41" s="37" t="s">
        <v>29</v>
      </c>
      <c r="H41" s="37" t="s">
        <v>8</v>
      </c>
      <c r="I41" s="37" t="s">
        <v>9</v>
      </c>
      <c r="J41" s="36">
        <v>1400</v>
      </c>
      <c r="K41" s="27">
        <f>0</f>
        <v>0</v>
      </c>
      <c r="L41" s="127">
        <f t="shared" si="0"/>
        <v>0</v>
      </c>
      <c r="M41" s="127">
        <f t="shared" si="1"/>
        <v>0</v>
      </c>
      <c r="N41" s="128"/>
      <c r="O41" s="129">
        <f t="shared" si="2"/>
        <v>0</v>
      </c>
      <c r="P41" s="128"/>
      <c r="Q41" s="128"/>
      <c r="R41" s="128"/>
      <c r="S41" s="184">
        <f t="shared" si="3"/>
        <v>0</v>
      </c>
      <c r="T41" s="25" t="str">
        <f t="shared" si="4"/>
        <v>OK</v>
      </c>
      <c r="U41" s="138"/>
      <c r="V41" s="138"/>
      <c r="W41" s="138"/>
      <c r="X41" s="138"/>
      <c r="Y41" s="139"/>
      <c r="Z41" s="24"/>
      <c r="AA41" s="24"/>
      <c r="AB41" s="22"/>
      <c r="AC41" s="22"/>
      <c r="AD41" s="22"/>
      <c r="AE41" s="22"/>
      <c r="AF41" s="22"/>
      <c r="AG41" s="22"/>
      <c r="AH41" s="22"/>
    </row>
    <row r="42" spans="1:34" ht="30.25" customHeight="1" x14ac:dyDescent="0.35">
      <c r="A42" s="199"/>
      <c r="B42" s="84">
        <v>39</v>
      </c>
      <c r="C42" s="196"/>
      <c r="D42" s="34" t="s">
        <v>12</v>
      </c>
      <c r="E42" s="41" t="s">
        <v>8</v>
      </c>
      <c r="F42" s="43" t="s">
        <v>28</v>
      </c>
      <c r="G42" s="37" t="s">
        <v>29</v>
      </c>
      <c r="H42" s="37" t="s">
        <v>34</v>
      </c>
      <c r="I42" s="37" t="s">
        <v>9</v>
      </c>
      <c r="J42" s="36">
        <v>75.5</v>
      </c>
      <c r="K42" s="27">
        <f>52</f>
        <v>52</v>
      </c>
      <c r="L42" s="127">
        <f t="shared" si="0"/>
        <v>0</v>
      </c>
      <c r="M42" s="127">
        <f t="shared" si="1"/>
        <v>0</v>
      </c>
      <c r="N42" s="128">
        <f>-42+42</f>
        <v>0</v>
      </c>
      <c r="O42" s="129">
        <f t="shared" si="2"/>
        <v>13</v>
      </c>
      <c r="P42" s="128"/>
      <c r="Q42" s="128"/>
      <c r="R42" s="128"/>
      <c r="S42" s="184">
        <f t="shared" si="3"/>
        <v>52</v>
      </c>
      <c r="T42" s="25" t="str">
        <f t="shared" si="4"/>
        <v>OK</v>
      </c>
      <c r="U42" s="138"/>
      <c r="V42" s="138"/>
      <c r="W42" s="138"/>
      <c r="X42" s="138"/>
      <c r="Y42" s="139"/>
      <c r="Z42" s="24"/>
      <c r="AA42" s="24"/>
      <c r="AB42" s="22"/>
      <c r="AC42" s="22"/>
      <c r="AD42" s="22"/>
      <c r="AE42" s="22"/>
      <c r="AF42" s="22"/>
      <c r="AG42" s="22"/>
      <c r="AH42" s="22"/>
    </row>
    <row r="43" spans="1:34" ht="30.25" customHeight="1" x14ac:dyDescent="0.35">
      <c r="A43" s="199"/>
      <c r="B43" s="37">
        <v>40</v>
      </c>
      <c r="C43" s="196"/>
      <c r="D43" s="34" t="s">
        <v>10</v>
      </c>
      <c r="E43" s="41" t="s">
        <v>8</v>
      </c>
      <c r="F43" s="43" t="s">
        <v>28</v>
      </c>
      <c r="G43" s="37" t="s">
        <v>29</v>
      </c>
      <c r="H43" s="37" t="s">
        <v>8</v>
      </c>
      <c r="I43" s="37" t="s">
        <v>9</v>
      </c>
      <c r="J43" s="36">
        <v>1600</v>
      </c>
      <c r="K43" s="27">
        <f>0</f>
        <v>0</v>
      </c>
      <c r="L43" s="127">
        <f t="shared" si="0"/>
        <v>0</v>
      </c>
      <c r="M43" s="127">
        <f t="shared" si="1"/>
        <v>0</v>
      </c>
      <c r="N43" s="128"/>
      <c r="O43" s="129">
        <f t="shared" si="2"/>
        <v>0</v>
      </c>
      <c r="P43" s="128"/>
      <c r="Q43" s="128"/>
      <c r="R43" s="128"/>
      <c r="S43" s="184">
        <f t="shared" si="3"/>
        <v>0</v>
      </c>
      <c r="T43" s="25" t="str">
        <f t="shared" si="4"/>
        <v>OK</v>
      </c>
      <c r="U43" s="138"/>
      <c r="V43" s="138"/>
      <c r="W43" s="138"/>
      <c r="X43" s="138"/>
      <c r="Y43" s="139"/>
      <c r="Z43" s="24"/>
      <c r="AA43" s="24"/>
      <c r="AB43" s="22"/>
      <c r="AC43" s="22"/>
      <c r="AD43" s="22"/>
      <c r="AE43" s="22"/>
      <c r="AF43" s="22"/>
      <c r="AG43" s="22"/>
      <c r="AH43" s="22"/>
    </row>
    <row r="44" spans="1:34" ht="30.25" customHeight="1" x14ac:dyDescent="0.35">
      <c r="A44" s="199"/>
      <c r="B44" s="37">
        <v>41</v>
      </c>
      <c r="C44" s="196"/>
      <c r="D44" s="34" t="s">
        <v>13</v>
      </c>
      <c r="E44" s="41" t="s">
        <v>8</v>
      </c>
      <c r="F44" s="43" t="s">
        <v>28</v>
      </c>
      <c r="G44" s="37" t="s">
        <v>29</v>
      </c>
      <c r="H44" s="37" t="s">
        <v>34</v>
      </c>
      <c r="I44" s="37" t="s">
        <v>9</v>
      </c>
      <c r="J44" s="36">
        <v>75</v>
      </c>
      <c r="K44" s="27">
        <f>0</f>
        <v>0</v>
      </c>
      <c r="L44" s="127">
        <f t="shared" si="0"/>
        <v>0</v>
      </c>
      <c r="M44" s="127">
        <f t="shared" si="1"/>
        <v>0</v>
      </c>
      <c r="N44" s="128"/>
      <c r="O44" s="129">
        <f t="shared" si="2"/>
        <v>0</v>
      </c>
      <c r="P44" s="128"/>
      <c r="Q44" s="128"/>
      <c r="R44" s="128"/>
      <c r="S44" s="184">
        <f t="shared" si="3"/>
        <v>0</v>
      </c>
      <c r="T44" s="25" t="str">
        <f t="shared" si="4"/>
        <v>OK</v>
      </c>
      <c r="U44" s="138"/>
      <c r="V44" s="138"/>
      <c r="W44" s="138"/>
      <c r="X44" s="138"/>
      <c r="Y44" s="139"/>
      <c r="Z44" s="24"/>
      <c r="AA44" s="24"/>
      <c r="AB44" s="22"/>
      <c r="AC44" s="22"/>
      <c r="AD44" s="22"/>
      <c r="AE44" s="22"/>
      <c r="AF44" s="22"/>
      <c r="AG44" s="22"/>
      <c r="AH44" s="22"/>
    </row>
    <row r="45" spans="1:34" ht="30.25" customHeight="1" x14ac:dyDescent="0.35">
      <c r="A45" s="199"/>
      <c r="B45" s="84">
        <v>42</v>
      </c>
      <c r="C45" s="196"/>
      <c r="D45" s="34" t="s">
        <v>157</v>
      </c>
      <c r="E45" s="41" t="s">
        <v>8</v>
      </c>
      <c r="F45" s="43" t="s">
        <v>28</v>
      </c>
      <c r="G45" s="37" t="s">
        <v>29</v>
      </c>
      <c r="H45" s="37" t="s">
        <v>8</v>
      </c>
      <c r="I45" s="37" t="s">
        <v>9</v>
      </c>
      <c r="J45" s="36">
        <v>350</v>
      </c>
      <c r="K45" s="27">
        <f>37</f>
        <v>37</v>
      </c>
      <c r="L45" s="127">
        <f t="shared" si="0"/>
        <v>37</v>
      </c>
      <c r="M45" s="127">
        <f t="shared" si="1"/>
        <v>37</v>
      </c>
      <c r="N45" s="128">
        <f>-25+25</f>
        <v>0</v>
      </c>
      <c r="O45" s="129">
        <f t="shared" si="2"/>
        <v>9</v>
      </c>
      <c r="P45" s="128"/>
      <c r="Q45" s="128"/>
      <c r="R45" s="128"/>
      <c r="S45" s="184">
        <f t="shared" si="3"/>
        <v>0</v>
      </c>
      <c r="T45" s="25" t="str">
        <f t="shared" si="4"/>
        <v>OK</v>
      </c>
      <c r="U45" s="138"/>
      <c r="V45" s="138"/>
      <c r="W45" s="138"/>
      <c r="X45" s="140">
        <v>30</v>
      </c>
      <c r="Y45" s="141">
        <v>7</v>
      </c>
      <c r="Z45" s="24"/>
      <c r="AA45" s="24"/>
      <c r="AB45" s="22"/>
      <c r="AC45" s="22"/>
      <c r="AD45" s="22"/>
      <c r="AE45" s="22"/>
      <c r="AF45" s="22"/>
      <c r="AG45" s="22"/>
      <c r="AH45" s="22"/>
    </row>
    <row r="46" spans="1:34" ht="30.25" customHeight="1" x14ac:dyDescent="0.35">
      <c r="A46" s="199"/>
      <c r="B46" s="37">
        <v>43</v>
      </c>
      <c r="C46" s="196"/>
      <c r="D46" s="34" t="s">
        <v>30</v>
      </c>
      <c r="E46" s="41" t="s">
        <v>8</v>
      </c>
      <c r="F46" s="43" t="s">
        <v>28</v>
      </c>
      <c r="G46" s="37" t="s">
        <v>29</v>
      </c>
      <c r="H46" s="37" t="s">
        <v>8</v>
      </c>
      <c r="I46" s="37" t="s">
        <v>9</v>
      </c>
      <c r="J46" s="36">
        <v>100.25</v>
      </c>
      <c r="K46" s="27">
        <f>0</f>
        <v>0</v>
      </c>
      <c r="L46" s="127">
        <f t="shared" si="0"/>
        <v>0</v>
      </c>
      <c r="M46" s="127">
        <f t="shared" si="1"/>
        <v>0</v>
      </c>
      <c r="N46" s="128"/>
      <c r="O46" s="129">
        <f t="shared" si="2"/>
        <v>0</v>
      </c>
      <c r="P46" s="128"/>
      <c r="Q46" s="128"/>
      <c r="R46" s="128"/>
      <c r="S46" s="184">
        <f t="shared" si="3"/>
        <v>0</v>
      </c>
      <c r="T46" s="25" t="str">
        <f t="shared" si="4"/>
        <v>OK</v>
      </c>
      <c r="U46" s="138"/>
      <c r="V46" s="138"/>
      <c r="W46" s="138"/>
      <c r="X46" s="138"/>
      <c r="Y46" s="139"/>
      <c r="Z46" s="24"/>
      <c r="AA46" s="24"/>
      <c r="AB46" s="22"/>
      <c r="AC46" s="22"/>
      <c r="AD46" s="22"/>
      <c r="AE46" s="22"/>
      <c r="AF46" s="22"/>
      <c r="AG46" s="22"/>
      <c r="AH46" s="22"/>
    </row>
    <row r="47" spans="1:34" ht="30.25" customHeight="1" x14ac:dyDescent="0.35">
      <c r="A47" s="199"/>
      <c r="B47" s="37">
        <v>44</v>
      </c>
      <c r="C47" s="196"/>
      <c r="D47" s="34" t="s">
        <v>158</v>
      </c>
      <c r="E47" s="41" t="s">
        <v>8</v>
      </c>
      <c r="F47" s="42" t="s">
        <v>28</v>
      </c>
      <c r="G47" s="37" t="s">
        <v>159</v>
      </c>
      <c r="H47" s="37" t="s">
        <v>8</v>
      </c>
      <c r="I47" s="37" t="s">
        <v>9</v>
      </c>
      <c r="J47" s="36">
        <v>1424</v>
      </c>
      <c r="K47" s="27">
        <f>4</f>
        <v>4</v>
      </c>
      <c r="L47" s="127">
        <f t="shared" si="0"/>
        <v>0</v>
      </c>
      <c r="M47" s="127">
        <f t="shared" si="1"/>
        <v>0</v>
      </c>
      <c r="N47" s="128"/>
      <c r="O47" s="129">
        <f t="shared" si="2"/>
        <v>1</v>
      </c>
      <c r="P47" s="128"/>
      <c r="Q47" s="128"/>
      <c r="R47" s="128"/>
      <c r="S47" s="184">
        <f t="shared" si="3"/>
        <v>4</v>
      </c>
      <c r="T47" s="25" t="str">
        <f t="shared" si="4"/>
        <v>OK</v>
      </c>
      <c r="U47" s="138"/>
      <c r="V47" s="138"/>
      <c r="W47" s="138"/>
      <c r="X47" s="138"/>
      <c r="Y47" s="139"/>
      <c r="Z47" s="24"/>
      <c r="AA47" s="24"/>
      <c r="AB47" s="22"/>
      <c r="AC47" s="22"/>
      <c r="AD47" s="22"/>
      <c r="AE47" s="22"/>
      <c r="AF47" s="22"/>
      <c r="AG47" s="22"/>
      <c r="AH47" s="22"/>
    </row>
    <row r="48" spans="1:34" ht="30.25" customHeight="1" x14ac:dyDescent="0.35">
      <c r="A48" s="200"/>
      <c r="B48" s="37">
        <v>45</v>
      </c>
      <c r="C48" s="197"/>
      <c r="D48" s="34" t="s">
        <v>160</v>
      </c>
      <c r="E48" s="41" t="s">
        <v>8</v>
      </c>
      <c r="F48" s="43" t="s">
        <v>28</v>
      </c>
      <c r="G48" s="37" t="s">
        <v>29</v>
      </c>
      <c r="H48" s="37" t="s">
        <v>8</v>
      </c>
      <c r="I48" s="37" t="s">
        <v>9</v>
      </c>
      <c r="J48" s="36">
        <v>2503.0100000000002</v>
      </c>
      <c r="K48" s="27">
        <f>0</f>
        <v>0</v>
      </c>
      <c r="L48" s="127">
        <f t="shared" si="0"/>
        <v>0</v>
      </c>
      <c r="M48" s="127">
        <f t="shared" si="1"/>
        <v>0</v>
      </c>
      <c r="N48" s="128"/>
      <c r="O48" s="129">
        <f t="shared" si="2"/>
        <v>0</v>
      </c>
      <c r="P48" s="128"/>
      <c r="Q48" s="128"/>
      <c r="R48" s="128"/>
      <c r="S48" s="184">
        <f t="shared" si="3"/>
        <v>0</v>
      </c>
      <c r="T48" s="25" t="str">
        <f t="shared" si="4"/>
        <v>OK</v>
      </c>
      <c r="U48" s="138"/>
      <c r="V48" s="138"/>
      <c r="W48" s="138"/>
      <c r="X48" s="138"/>
      <c r="Y48" s="139"/>
      <c r="Z48" s="24"/>
      <c r="AA48" s="24"/>
      <c r="AB48" s="22"/>
      <c r="AC48" s="22"/>
      <c r="AD48" s="22"/>
      <c r="AE48" s="22"/>
      <c r="AF48" s="22"/>
      <c r="AG48" s="22"/>
      <c r="AH48" s="22"/>
    </row>
    <row r="49" spans="1:34" ht="30.25" customHeight="1" x14ac:dyDescent="0.35">
      <c r="A49" s="208" t="s">
        <v>161</v>
      </c>
      <c r="B49" s="44">
        <v>46</v>
      </c>
      <c r="C49" s="205" t="s">
        <v>33</v>
      </c>
      <c r="D49" s="46" t="s">
        <v>27</v>
      </c>
      <c r="E49" s="48" t="s">
        <v>8</v>
      </c>
      <c r="F49" s="50" t="s">
        <v>28</v>
      </c>
      <c r="G49" s="44" t="s">
        <v>29</v>
      </c>
      <c r="H49" s="44" t="s">
        <v>8</v>
      </c>
      <c r="I49" s="44" t="s">
        <v>9</v>
      </c>
      <c r="J49" s="47">
        <v>80</v>
      </c>
      <c r="K49" s="27">
        <f>0</f>
        <v>0</v>
      </c>
      <c r="L49" s="127">
        <f t="shared" si="0"/>
        <v>0</v>
      </c>
      <c r="M49" s="127">
        <f t="shared" si="1"/>
        <v>0</v>
      </c>
      <c r="N49" s="128"/>
      <c r="O49" s="129">
        <f t="shared" si="2"/>
        <v>0</v>
      </c>
      <c r="P49" s="128"/>
      <c r="Q49" s="128"/>
      <c r="R49" s="128"/>
      <c r="S49" s="184">
        <f t="shared" si="3"/>
        <v>0</v>
      </c>
      <c r="T49" s="25" t="str">
        <f t="shared" si="4"/>
        <v>OK</v>
      </c>
      <c r="U49" s="138"/>
      <c r="V49" s="138"/>
      <c r="W49" s="138"/>
      <c r="X49" s="138"/>
      <c r="Y49" s="139"/>
      <c r="Z49" s="24"/>
      <c r="AA49" s="24"/>
      <c r="AB49" s="22"/>
      <c r="AC49" s="22"/>
      <c r="AD49" s="22"/>
      <c r="AE49" s="22"/>
      <c r="AF49" s="22"/>
      <c r="AG49" s="22"/>
      <c r="AH49" s="22"/>
    </row>
    <row r="50" spans="1:34" ht="30.25" customHeight="1" x14ac:dyDescent="0.35">
      <c r="A50" s="209"/>
      <c r="B50" s="44">
        <v>47</v>
      </c>
      <c r="C50" s="206"/>
      <c r="D50" s="46" t="s">
        <v>7</v>
      </c>
      <c r="E50" s="48" t="s">
        <v>8</v>
      </c>
      <c r="F50" s="50" t="s">
        <v>28</v>
      </c>
      <c r="G50" s="44" t="s">
        <v>29</v>
      </c>
      <c r="H50" s="44" t="s">
        <v>8</v>
      </c>
      <c r="I50" s="44" t="s">
        <v>9</v>
      </c>
      <c r="J50" s="47">
        <v>550</v>
      </c>
      <c r="K50" s="27">
        <f>0</f>
        <v>0</v>
      </c>
      <c r="L50" s="127">
        <f t="shared" si="0"/>
        <v>0</v>
      </c>
      <c r="M50" s="127">
        <f t="shared" si="1"/>
        <v>0</v>
      </c>
      <c r="N50" s="128"/>
      <c r="O50" s="129">
        <f t="shared" si="2"/>
        <v>0</v>
      </c>
      <c r="P50" s="128"/>
      <c r="Q50" s="128"/>
      <c r="R50" s="128"/>
      <c r="S50" s="184">
        <f t="shared" si="3"/>
        <v>0</v>
      </c>
      <c r="T50" s="25" t="str">
        <f t="shared" si="4"/>
        <v>OK</v>
      </c>
      <c r="U50" s="138"/>
      <c r="V50" s="138"/>
      <c r="W50" s="138"/>
      <c r="X50" s="138"/>
      <c r="Y50" s="139"/>
      <c r="Z50" s="24"/>
      <c r="AA50" s="24"/>
      <c r="AB50" s="22"/>
      <c r="AC50" s="22"/>
      <c r="AD50" s="22"/>
      <c r="AE50" s="22"/>
      <c r="AF50" s="22"/>
      <c r="AG50" s="22"/>
      <c r="AH50" s="22"/>
    </row>
    <row r="51" spans="1:34" ht="30.25" customHeight="1" x14ac:dyDescent="0.35">
      <c r="A51" s="209"/>
      <c r="B51" s="44">
        <v>48</v>
      </c>
      <c r="C51" s="206"/>
      <c r="D51" s="46" t="s">
        <v>10</v>
      </c>
      <c r="E51" s="48" t="s">
        <v>8</v>
      </c>
      <c r="F51" s="50" t="s">
        <v>28</v>
      </c>
      <c r="G51" s="44" t="s">
        <v>29</v>
      </c>
      <c r="H51" s="44" t="s">
        <v>8</v>
      </c>
      <c r="I51" s="44" t="s">
        <v>9</v>
      </c>
      <c r="J51" s="47">
        <v>850</v>
      </c>
      <c r="K51" s="27">
        <f>0</f>
        <v>0</v>
      </c>
      <c r="L51" s="127">
        <f t="shared" si="0"/>
        <v>0</v>
      </c>
      <c r="M51" s="127">
        <f t="shared" si="1"/>
        <v>0</v>
      </c>
      <c r="N51" s="128"/>
      <c r="O51" s="129">
        <f t="shared" si="2"/>
        <v>0</v>
      </c>
      <c r="P51" s="128"/>
      <c r="Q51" s="128"/>
      <c r="R51" s="128"/>
      <c r="S51" s="184">
        <f t="shared" si="3"/>
        <v>0</v>
      </c>
      <c r="T51" s="25" t="str">
        <f t="shared" si="4"/>
        <v>OK</v>
      </c>
      <c r="U51" s="138"/>
      <c r="V51" s="138"/>
      <c r="W51" s="138"/>
      <c r="X51" s="138"/>
      <c r="Y51" s="139"/>
      <c r="Z51" s="24"/>
      <c r="AA51" s="24"/>
      <c r="AB51" s="22"/>
      <c r="AC51" s="22"/>
      <c r="AD51" s="22"/>
      <c r="AE51" s="22"/>
      <c r="AF51" s="22"/>
      <c r="AG51" s="22"/>
      <c r="AH51" s="22"/>
    </row>
    <row r="52" spans="1:34" ht="30.25" customHeight="1" x14ac:dyDescent="0.35">
      <c r="A52" s="209"/>
      <c r="B52" s="44">
        <v>49</v>
      </c>
      <c r="C52" s="206"/>
      <c r="D52" s="46" t="s">
        <v>11</v>
      </c>
      <c r="E52" s="48" t="s">
        <v>8</v>
      </c>
      <c r="F52" s="50" t="s">
        <v>28</v>
      </c>
      <c r="G52" s="44" t="s">
        <v>29</v>
      </c>
      <c r="H52" s="44" t="s">
        <v>8</v>
      </c>
      <c r="I52" s="44" t="s">
        <v>9</v>
      </c>
      <c r="J52" s="47">
        <v>800</v>
      </c>
      <c r="K52" s="27">
        <f>0</f>
        <v>0</v>
      </c>
      <c r="L52" s="127">
        <f t="shared" si="0"/>
        <v>0</v>
      </c>
      <c r="M52" s="127">
        <f t="shared" si="1"/>
        <v>0</v>
      </c>
      <c r="N52" s="128"/>
      <c r="O52" s="129">
        <f t="shared" si="2"/>
        <v>0</v>
      </c>
      <c r="P52" s="128"/>
      <c r="Q52" s="128"/>
      <c r="R52" s="128"/>
      <c r="S52" s="184">
        <f t="shared" si="3"/>
        <v>0</v>
      </c>
      <c r="T52" s="25" t="str">
        <f t="shared" si="4"/>
        <v>OK</v>
      </c>
      <c r="U52" s="138"/>
      <c r="V52" s="138"/>
      <c r="W52" s="138"/>
      <c r="X52" s="138"/>
      <c r="Y52" s="139"/>
      <c r="Z52" s="24"/>
      <c r="AA52" s="24"/>
      <c r="AB52" s="22"/>
      <c r="AC52" s="22"/>
      <c r="AD52" s="22"/>
      <c r="AE52" s="22"/>
      <c r="AF52" s="22"/>
      <c r="AG52" s="22"/>
      <c r="AH52" s="22"/>
    </row>
    <row r="53" spans="1:34" ht="30.25" customHeight="1" x14ac:dyDescent="0.35">
      <c r="A53" s="209"/>
      <c r="B53" s="44">
        <v>50</v>
      </c>
      <c r="C53" s="206"/>
      <c r="D53" s="46" t="s">
        <v>12</v>
      </c>
      <c r="E53" s="48" t="s">
        <v>8</v>
      </c>
      <c r="F53" s="50" t="s">
        <v>28</v>
      </c>
      <c r="G53" s="44" t="s">
        <v>29</v>
      </c>
      <c r="H53" s="44" t="s">
        <v>34</v>
      </c>
      <c r="I53" s="44" t="s">
        <v>9</v>
      </c>
      <c r="J53" s="47">
        <v>50</v>
      </c>
      <c r="K53" s="27">
        <f>0</f>
        <v>0</v>
      </c>
      <c r="L53" s="127">
        <f t="shared" si="0"/>
        <v>0</v>
      </c>
      <c r="M53" s="127">
        <f t="shared" si="1"/>
        <v>0</v>
      </c>
      <c r="N53" s="128"/>
      <c r="O53" s="129">
        <f t="shared" si="2"/>
        <v>0</v>
      </c>
      <c r="P53" s="128"/>
      <c r="Q53" s="128"/>
      <c r="R53" s="128"/>
      <c r="S53" s="184">
        <f t="shared" si="3"/>
        <v>0</v>
      </c>
      <c r="T53" s="25" t="str">
        <f t="shared" si="4"/>
        <v>OK</v>
      </c>
      <c r="U53" s="138"/>
      <c r="V53" s="138"/>
      <c r="W53" s="138"/>
      <c r="X53" s="138"/>
      <c r="Y53" s="139"/>
      <c r="Z53" s="24"/>
      <c r="AA53" s="24"/>
      <c r="AB53" s="22"/>
      <c r="AC53" s="22"/>
      <c r="AD53" s="22"/>
      <c r="AE53" s="22"/>
      <c r="AF53" s="22"/>
      <c r="AG53" s="22"/>
      <c r="AH53" s="22"/>
    </row>
    <row r="54" spans="1:34" ht="30.25" customHeight="1" x14ac:dyDescent="0.35">
      <c r="A54" s="209"/>
      <c r="B54" s="44">
        <v>51</v>
      </c>
      <c r="C54" s="206"/>
      <c r="D54" s="46" t="s">
        <v>156</v>
      </c>
      <c r="E54" s="48" t="s">
        <v>8</v>
      </c>
      <c r="F54" s="50" t="s">
        <v>28</v>
      </c>
      <c r="G54" s="44" t="s">
        <v>29</v>
      </c>
      <c r="H54" s="44" t="s">
        <v>34</v>
      </c>
      <c r="I54" s="44" t="s">
        <v>9</v>
      </c>
      <c r="J54" s="47">
        <v>50</v>
      </c>
      <c r="K54" s="27">
        <f>0</f>
        <v>0</v>
      </c>
      <c r="L54" s="127">
        <f t="shared" si="0"/>
        <v>0</v>
      </c>
      <c r="M54" s="127">
        <f t="shared" si="1"/>
        <v>0</v>
      </c>
      <c r="N54" s="128"/>
      <c r="O54" s="129">
        <f t="shared" si="2"/>
        <v>0</v>
      </c>
      <c r="P54" s="128"/>
      <c r="Q54" s="128"/>
      <c r="R54" s="128"/>
      <c r="S54" s="184">
        <f t="shared" si="3"/>
        <v>0</v>
      </c>
      <c r="T54" s="25" t="str">
        <f t="shared" si="4"/>
        <v>OK</v>
      </c>
      <c r="U54" s="138"/>
      <c r="V54" s="138"/>
      <c r="W54" s="138"/>
      <c r="X54" s="138"/>
      <c r="Y54" s="139"/>
      <c r="Z54" s="24"/>
      <c r="AA54" s="24"/>
      <c r="AB54" s="22"/>
      <c r="AC54" s="22"/>
      <c r="AD54" s="22"/>
      <c r="AE54" s="22"/>
      <c r="AF54" s="22"/>
      <c r="AG54" s="22"/>
      <c r="AH54" s="22"/>
    </row>
    <row r="55" spans="1:34" ht="30.25" customHeight="1" x14ac:dyDescent="0.35">
      <c r="A55" s="209"/>
      <c r="B55" s="44">
        <v>52</v>
      </c>
      <c r="C55" s="206"/>
      <c r="D55" s="46" t="s">
        <v>13</v>
      </c>
      <c r="E55" s="48" t="s">
        <v>8</v>
      </c>
      <c r="F55" s="50" t="s">
        <v>28</v>
      </c>
      <c r="G55" s="44" t="s">
        <v>29</v>
      </c>
      <c r="H55" s="44" t="s">
        <v>34</v>
      </c>
      <c r="I55" s="44" t="s">
        <v>9</v>
      </c>
      <c r="J55" s="47">
        <v>50</v>
      </c>
      <c r="K55" s="27">
        <f>0</f>
        <v>0</v>
      </c>
      <c r="L55" s="127">
        <f t="shared" si="0"/>
        <v>0</v>
      </c>
      <c r="M55" s="127">
        <f t="shared" si="1"/>
        <v>0</v>
      </c>
      <c r="N55" s="128"/>
      <c r="O55" s="129">
        <f t="shared" si="2"/>
        <v>0</v>
      </c>
      <c r="P55" s="128"/>
      <c r="Q55" s="128"/>
      <c r="R55" s="128"/>
      <c r="S55" s="184">
        <f t="shared" si="3"/>
        <v>0</v>
      </c>
      <c r="T55" s="25" t="str">
        <f t="shared" si="4"/>
        <v>OK</v>
      </c>
      <c r="U55" s="138"/>
      <c r="V55" s="138"/>
      <c r="W55" s="138"/>
      <c r="X55" s="138"/>
      <c r="Y55" s="139"/>
      <c r="Z55" s="24"/>
      <c r="AA55" s="24"/>
      <c r="AB55" s="22"/>
      <c r="AC55" s="22"/>
      <c r="AD55" s="22"/>
      <c r="AE55" s="22"/>
      <c r="AF55" s="22"/>
      <c r="AG55" s="22"/>
      <c r="AH55" s="22"/>
    </row>
    <row r="56" spans="1:34" ht="30.25" customHeight="1" x14ac:dyDescent="0.35">
      <c r="A56" s="209"/>
      <c r="B56" s="44">
        <v>53</v>
      </c>
      <c r="C56" s="206"/>
      <c r="D56" s="46" t="s">
        <v>157</v>
      </c>
      <c r="E56" s="48" t="s">
        <v>8</v>
      </c>
      <c r="F56" s="50" t="s">
        <v>28</v>
      </c>
      <c r="G56" s="44" t="s">
        <v>29</v>
      </c>
      <c r="H56" s="44" t="s">
        <v>8</v>
      </c>
      <c r="I56" s="44" t="s">
        <v>9</v>
      </c>
      <c r="J56" s="47">
        <v>50</v>
      </c>
      <c r="K56" s="27">
        <f>0</f>
        <v>0</v>
      </c>
      <c r="L56" s="127">
        <f t="shared" si="0"/>
        <v>0</v>
      </c>
      <c r="M56" s="127">
        <f t="shared" si="1"/>
        <v>0</v>
      </c>
      <c r="N56" s="128"/>
      <c r="O56" s="129">
        <f t="shared" si="2"/>
        <v>0</v>
      </c>
      <c r="P56" s="128"/>
      <c r="Q56" s="128"/>
      <c r="R56" s="128"/>
      <c r="S56" s="184">
        <f t="shared" si="3"/>
        <v>0</v>
      </c>
      <c r="T56" s="25" t="str">
        <f t="shared" si="4"/>
        <v>OK</v>
      </c>
      <c r="U56" s="138"/>
      <c r="V56" s="138"/>
      <c r="W56" s="138"/>
      <c r="X56" s="138"/>
      <c r="Y56" s="139"/>
      <c r="Z56" s="24"/>
      <c r="AA56" s="24"/>
      <c r="AB56" s="22"/>
      <c r="AC56" s="22"/>
      <c r="AD56" s="22"/>
      <c r="AE56" s="22"/>
      <c r="AF56" s="22"/>
      <c r="AG56" s="22"/>
      <c r="AH56" s="22"/>
    </row>
    <row r="57" spans="1:34" ht="30.25" customHeight="1" x14ac:dyDescent="0.35">
      <c r="A57" s="209"/>
      <c r="B57" s="44">
        <v>54</v>
      </c>
      <c r="C57" s="206"/>
      <c r="D57" s="46" t="s">
        <v>30</v>
      </c>
      <c r="E57" s="48" t="s">
        <v>8</v>
      </c>
      <c r="F57" s="50" t="s">
        <v>28</v>
      </c>
      <c r="G57" s="44" t="s">
        <v>29</v>
      </c>
      <c r="H57" s="44" t="s">
        <v>8</v>
      </c>
      <c r="I57" s="44" t="s">
        <v>9</v>
      </c>
      <c r="J57" s="47">
        <v>80</v>
      </c>
      <c r="K57" s="27">
        <f>0</f>
        <v>0</v>
      </c>
      <c r="L57" s="127">
        <f t="shared" si="0"/>
        <v>0</v>
      </c>
      <c r="M57" s="127">
        <f t="shared" si="1"/>
        <v>0</v>
      </c>
      <c r="N57" s="128"/>
      <c r="O57" s="129">
        <f t="shared" si="2"/>
        <v>0</v>
      </c>
      <c r="P57" s="128"/>
      <c r="Q57" s="128"/>
      <c r="R57" s="128"/>
      <c r="S57" s="184">
        <f t="shared" si="3"/>
        <v>0</v>
      </c>
      <c r="T57" s="25" t="str">
        <f t="shared" si="4"/>
        <v>OK</v>
      </c>
      <c r="U57" s="138"/>
      <c r="V57" s="138"/>
      <c r="W57" s="138"/>
      <c r="X57" s="138"/>
      <c r="Y57" s="139"/>
      <c r="Z57" s="24"/>
      <c r="AA57" s="24"/>
      <c r="AB57" s="22"/>
      <c r="AC57" s="22"/>
      <c r="AD57" s="22"/>
      <c r="AE57" s="22"/>
      <c r="AF57" s="22"/>
      <c r="AG57" s="22"/>
      <c r="AH57" s="22"/>
    </row>
    <row r="58" spans="1:34" ht="30.25" customHeight="1" x14ac:dyDescent="0.35">
      <c r="A58" s="209"/>
      <c r="B58" s="44">
        <v>55</v>
      </c>
      <c r="C58" s="206"/>
      <c r="D58" s="46" t="s">
        <v>162</v>
      </c>
      <c r="E58" s="48" t="s">
        <v>8</v>
      </c>
      <c r="F58" s="50" t="s">
        <v>28</v>
      </c>
      <c r="G58" s="44" t="s">
        <v>159</v>
      </c>
      <c r="H58" s="44" t="s">
        <v>8</v>
      </c>
      <c r="I58" s="44" t="s">
        <v>9</v>
      </c>
      <c r="J58" s="47">
        <v>1114</v>
      </c>
      <c r="K58" s="27">
        <f>0</f>
        <v>0</v>
      </c>
      <c r="L58" s="127">
        <f t="shared" si="0"/>
        <v>0</v>
      </c>
      <c r="M58" s="127">
        <f t="shared" si="1"/>
        <v>0</v>
      </c>
      <c r="N58" s="128"/>
      <c r="O58" s="129">
        <f t="shared" si="2"/>
        <v>0</v>
      </c>
      <c r="P58" s="128"/>
      <c r="Q58" s="128"/>
      <c r="R58" s="128"/>
      <c r="S58" s="184">
        <f t="shared" si="3"/>
        <v>0</v>
      </c>
      <c r="T58" s="25" t="str">
        <f t="shared" si="4"/>
        <v>OK</v>
      </c>
      <c r="U58" s="138"/>
      <c r="V58" s="138"/>
      <c r="W58" s="138"/>
      <c r="X58" s="138"/>
      <c r="Y58" s="139"/>
      <c r="Z58" s="24"/>
      <c r="AA58" s="24"/>
      <c r="AB58" s="22"/>
      <c r="AC58" s="22"/>
      <c r="AD58" s="22"/>
      <c r="AE58" s="22"/>
      <c r="AF58" s="22"/>
      <c r="AG58" s="22"/>
      <c r="AH58" s="22"/>
    </row>
    <row r="59" spans="1:34" ht="30.25" customHeight="1" x14ac:dyDescent="0.35">
      <c r="A59" s="210"/>
      <c r="B59" s="44">
        <v>56</v>
      </c>
      <c r="C59" s="207"/>
      <c r="D59" s="46" t="s">
        <v>160</v>
      </c>
      <c r="E59" s="48" t="s">
        <v>8</v>
      </c>
      <c r="F59" s="50" t="s">
        <v>28</v>
      </c>
      <c r="G59" s="44" t="s">
        <v>29</v>
      </c>
      <c r="H59" s="44" t="s">
        <v>8</v>
      </c>
      <c r="I59" s="44" t="s">
        <v>9</v>
      </c>
      <c r="J59" s="47">
        <v>2000</v>
      </c>
      <c r="K59" s="27">
        <f>0</f>
        <v>0</v>
      </c>
      <c r="L59" s="127">
        <f t="shared" si="0"/>
        <v>0</v>
      </c>
      <c r="M59" s="127">
        <f t="shared" si="1"/>
        <v>0</v>
      </c>
      <c r="N59" s="128"/>
      <c r="O59" s="129">
        <f t="shared" si="2"/>
        <v>0</v>
      </c>
      <c r="P59" s="128"/>
      <c r="Q59" s="128"/>
      <c r="R59" s="128"/>
      <c r="S59" s="184">
        <f t="shared" si="3"/>
        <v>0</v>
      </c>
      <c r="T59" s="25" t="str">
        <f t="shared" si="4"/>
        <v>OK</v>
      </c>
      <c r="U59" s="138"/>
      <c r="V59" s="138"/>
      <c r="W59" s="138"/>
      <c r="X59" s="138"/>
      <c r="Y59" s="139"/>
      <c r="Z59" s="24"/>
      <c r="AA59" s="24"/>
      <c r="AB59" s="22"/>
      <c r="AC59" s="22"/>
      <c r="AD59" s="22"/>
      <c r="AE59" s="22"/>
      <c r="AF59" s="22"/>
      <c r="AG59" s="22"/>
      <c r="AH59" s="22"/>
    </row>
    <row r="60" spans="1:34" ht="30.25" customHeight="1" x14ac:dyDescent="0.35">
      <c r="A60" s="198" t="s">
        <v>163</v>
      </c>
      <c r="B60" s="37">
        <v>57</v>
      </c>
      <c r="C60" s="195" t="s">
        <v>33</v>
      </c>
      <c r="D60" s="34" t="s">
        <v>27</v>
      </c>
      <c r="E60" s="41" t="s">
        <v>8</v>
      </c>
      <c r="F60" s="43" t="s">
        <v>28</v>
      </c>
      <c r="G60" s="37" t="s">
        <v>29</v>
      </c>
      <c r="H60" s="37" t="s">
        <v>8</v>
      </c>
      <c r="I60" s="37" t="s">
        <v>9</v>
      </c>
      <c r="J60" s="36">
        <v>250.5</v>
      </c>
      <c r="K60" s="27">
        <f>0</f>
        <v>0</v>
      </c>
      <c r="L60" s="127">
        <f t="shared" si="0"/>
        <v>0</v>
      </c>
      <c r="M60" s="127">
        <f t="shared" si="1"/>
        <v>0</v>
      </c>
      <c r="N60" s="128"/>
      <c r="O60" s="129">
        <f t="shared" si="2"/>
        <v>0</v>
      </c>
      <c r="P60" s="128"/>
      <c r="Q60" s="128"/>
      <c r="R60" s="128"/>
      <c r="S60" s="184">
        <f t="shared" si="3"/>
        <v>0</v>
      </c>
      <c r="T60" s="25" t="str">
        <f t="shared" si="4"/>
        <v>OK</v>
      </c>
      <c r="U60" s="138"/>
      <c r="V60" s="138"/>
      <c r="W60" s="138"/>
      <c r="X60" s="138"/>
      <c r="Y60" s="139"/>
      <c r="Z60" s="24"/>
      <c r="AA60" s="24"/>
      <c r="AB60" s="22"/>
      <c r="AC60" s="22"/>
      <c r="AD60" s="22"/>
      <c r="AE60" s="22"/>
      <c r="AF60" s="22"/>
      <c r="AG60" s="22"/>
      <c r="AH60" s="22"/>
    </row>
    <row r="61" spans="1:34" ht="30.25" customHeight="1" x14ac:dyDescent="0.35">
      <c r="A61" s="199"/>
      <c r="B61" s="37">
        <v>58</v>
      </c>
      <c r="C61" s="196"/>
      <c r="D61" s="34" t="s">
        <v>7</v>
      </c>
      <c r="E61" s="41" t="s">
        <v>8</v>
      </c>
      <c r="F61" s="43" t="s">
        <v>28</v>
      </c>
      <c r="G61" s="37" t="s">
        <v>29</v>
      </c>
      <c r="H61" s="37" t="s">
        <v>8</v>
      </c>
      <c r="I61" s="37" t="s">
        <v>9</v>
      </c>
      <c r="J61" s="36">
        <v>1000</v>
      </c>
      <c r="K61" s="27">
        <f>0</f>
        <v>0</v>
      </c>
      <c r="L61" s="127">
        <f t="shared" si="0"/>
        <v>0</v>
      </c>
      <c r="M61" s="127">
        <f t="shared" si="1"/>
        <v>0</v>
      </c>
      <c r="N61" s="128"/>
      <c r="O61" s="129">
        <f t="shared" si="2"/>
        <v>0</v>
      </c>
      <c r="P61" s="128"/>
      <c r="Q61" s="128"/>
      <c r="R61" s="128"/>
      <c r="S61" s="184">
        <f t="shared" si="3"/>
        <v>0</v>
      </c>
      <c r="T61" s="25" t="str">
        <f t="shared" si="4"/>
        <v>OK</v>
      </c>
      <c r="U61" s="138"/>
      <c r="V61" s="138"/>
      <c r="W61" s="138"/>
      <c r="X61" s="138"/>
      <c r="Y61" s="139"/>
      <c r="Z61" s="24"/>
      <c r="AA61" s="24"/>
      <c r="AB61" s="22"/>
      <c r="AC61" s="22"/>
      <c r="AD61" s="22"/>
      <c r="AE61" s="22"/>
      <c r="AF61" s="22"/>
      <c r="AG61" s="22"/>
      <c r="AH61" s="22"/>
    </row>
    <row r="62" spans="1:34" ht="30.25" customHeight="1" x14ac:dyDescent="0.35">
      <c r="A62" s="199"/>
      <c r="B62" s="37">
        <v>59</v>
      </c>
      <c r="C62" s="196"/>
      <c r="D62" s="34" t="s">
        <v>10</v>
      </c>
      <c r="E62" s="41" t="s">
        <v>8</v>
      </c>
      <c r="F62" s="43" t="s">
        <v>28</v>
      </c>
      <c r="G62" s="37" t="s">
        <v>29</v>
      </c>
      <c r="H62" s="37" t="s">
        <v>8</v>
      </c>
      <c r="I62" s="37" t="s">
        <v>9</v>
      </c>
      <c r="J62" s="36">
        <v>1500</v>
      </c>
      <c r="K62" s="27">
        <f>0</f>
        <v>0</v>
      </c>
      <c r="L62" s="127">
        <f t="shared" si="0"/>
        <v>0</v>
      </c>
      <c r="M62" s="127">
        <f t="shared" si="1"/>
        <v>0</v>
      </c>
      <c r="N62" s="128"/>
      <c r="O62" s="129">
        <f t="shared" si="2"/>
        <v>0</v>
      </c>
      <c r="P62" s="128"/>
      <c r="Q62" s="128"/>
      <c r="R62" s="128"/>
      <c r="S62" s="184">
        <f t="shared" si="3"/>
        <v>0</v>
      </c>
      <c r="T62" s="25" t="str">
        <f t="shared" si="4"/>
        <v>OK</v>
      </c>
      <c r="U62" s="138"/>
      <c r="V62" s="138"/>
      <c r="W62" s="138"/>
      <c r="X62" s="138"/>
      <c r="Y62" s="139"/>
      <c r="Z62" s="24"/>
      <c r="AA62" s="24"/>
      <c r="AB62" s="22"/>
      <c r="AC62" s="22"/>
      <c r="AD62" s="22"/>
      <c r="AE62" s="22"/>
      <c r="AF62" s="22"/>
      <c r="AG62" s="22"/>
      <c r="AH62" s="22"/>
    </row>
    <row r="63" spans="1:34" ht="30.25" customHeight="1" x14ac:dyDescent="0.35">
      <c r="A63" s="199"/>
      <c r="B63" s="37">
        <v>60</v>
      </c>
      <c r="C63" s="196"/>
      <c r="D63" s="34" t="s">
        <v>11</v>
      </c>
      <c r="E63" s="41" t="s">
        <v>8</v>
      </c>
      <c r="F63" s="43" t="s">
        <v>28</v>
      </c>
      <c r="G63" s="37" t="s">
        <v>29</v>
      </c>
      <c r="H63" s="37" t="s">
        <v>8</v>
      </c>
      <c r="I63" s="37" t="s">
        <v>9</v>
      </c>
      <c r="J63" s="36">
        <v>1731</v>
      </c>
      <c r="K63" s="27">
        <f>0</f>
        <v>0</v>
      </c>
      <c r="L63" s="127">
        <f t="shared" si="0"/>
        <v>0</v>
      </c>
      <c r="M63" s="127">
        <f t="shared" si="1"/>
        <v>0</v>
      </c>
      <c r="N63" s="128"/>
      <c r="O63" s="129">
        <f t="shared" si="2"/>
        <v>0</v>
      </c>
      <c r="P63" s="128"/>
      <c r="Q63" s="128"/>
      <c r="R63" s="128"/>
      <c r="S63" s="184">
        <f t="shared" si="3"/>
        <v>0</v>
      </c>
      <c r="T63" s="25" t="str">
        <f t="shared" si="4"/>
        <v>OK</v>
      </c>
      <c r="U63" s="138"/>
      <c r="V63" s="138"/>
      <c r="W63" s="138"/>
      <c r="X63" s="138"/>
      <c r="Y63" s="139"/>
      <c r="Z63" s="24"/>
      <c r="AA63" s="24"/>
      <c r="AB63" s="22"/>
      <c r="AC63" s="22"/>
      <c r="AD63" s="22"/>
      <c r="AE63" s="22"/>
      <c r="AF63" s="22"/>
      <c r="AG63" s="22"/>
      <c r="AH63" s="22"/>
    </row>
    <row r="64" spans="1:34" ht="30.25" customHeight="1" x14ac:dyDescent="0.35">
      <c r="A64" s="199"/>
      <c r="B64" s="37">
        <v>61</v>
      </c>
      <c r="C64" s="196"/>
      <c r="D64" s="34" t="s">
        <v>12</v>
      </c>
      <c r="E64" s="41" t="s">
        <v>8</v>
      </c>
      <c r="F64" s="43" t="s">
        <v>28</v>
      </c>
      <c r="G64" s="37" t="s">
        <v>29</v>
      </c>
      <c r="H64" s="37" t="s">
        <v>34</v>
      </c>
      <c r="I64" s="37" t="s">
        <v>9</v>
      </c>
      <c r="J64" s="36">
        <v>160</v>
      </c>
      <c r="K64" s="27">
        <f>0</f>
        <v>0</v>
      </c>
      <c r="L64" s="127">
        <f t="shared" si="0"/>
        <v>0</v>
      </c>
      <c r="M64" s="127">
        <f t="shared" si="1"/>
        <v>0</v>
      </c>
      <c r="N64" s="128"/>
      <c r="O64" s="129">
        <f t="shared" si="2"/>
        <v>0</v>
      </c>
      <c r="P64" s="128"/>
      <c r="Q64" s="128"/>
      <c r="R64" s="128"/>
      <c r="S64" s="184">
        <f t="shared" si="3"/>
        <v>0</v>
      </c>
      <c r="T64" s="25" t="str">
        <f t="shared" si="4"/>
        <v>OK</v>
      </c>
      <c r="U64" s="138"/>
      <c r="V64" s="138"/>
      <c r="W64" s="138"/>
      <c r="X64" s="138"/>
      <c r="Y64" s="139"/>
      <c r="Z64" s="24"/>
      <c r="AA64" s="24"/>
      <c r="AB64" s="22"/>
      <c r="AC64" s="22"/>
      <c r="AD64" s="22"/>
      <c r="AE64" s="22"/>
      <c r="AF64" s="22"/>
      <c r="AG64" s="22"/>
      <c r="AH64" s="22"/>
    </row>
    <row r="65" spans="1:34" ht="30.25" customHeight="1" x14ac:dyDescent="0.35">
      <c r="A65" s="199"/>
      <c r="B65" s="37">
        <v>62</v>
      </c>
      <c r="C65" s="196"/>
      <c r="D65" s="34" t="s">
        <v>156</v>
      </c>
      <c r="E65" s="41" t="s">
        <v>8</v>
      </c>
      <c r="F65" s="43" t="s">
        <v>28</v>
      </c>
      <c r="G65" s="37" t="s">
        <v>29</v>
      </c>
      <c r="H65" s="37" t="s">
        <v>34</v>
      </c>
      <c r="I65" s="37" t="s">
        <v>9</v>
      </c>
      <c r="J65" s="36">
        <v>135</v>
      </c>
      <c r="K65" s="27">
        <f>0</f>
        <v>0</v>
      </c>
      <c r="L65" s="127">
        <f t="shared" si="0"/>
        <v>0</v>
      </c>
      <c r="M65" s="127">
        <f t="shared" si="1"/>
        <v>0</v>
      </c>
      <c r="N65" s="128"/>
      <c r="O65" s="129">
        <f t="shared" si="2"/>
        <v>0</v>
      </c>
      <c r="P65" s="128"/>
      <c r="Q65" s="128"/>
      <c r="R65" s="128"/>
      <c r="S65" s="184">
        <f t="shared" si="3"/>
        <v>0</v>
      </c>
      <c r="T65" s="25" t="str">
        <f t="shared" si="4"/>
        <v>OK</v>
      </c>
      <c r="U65" s="138"/>
      <c r="V65" s="138"/>
      <c r="W65" s="138"/>
      <c r="X65" s="138"/>
      <c r="Y65" s="139"/>
      <c r="Z65" s="24"/>
      <c r="AA65" s="24"/>
      <c r="AB65" s="22"/>
      <c r="AC65" s="22"/>
      <c r="AD65" s="22"/>
      <c r="AE65" s="22"/>
      <c r="AF65" s="22"/>
      <c r="AG65" s="22"/>
      <c r="AH65" s="22"/>
    </row>
    <row r="66" spans="1:34" ht="30.25" customHeight="1" x14ac:dyDescent="0.35">
      <c r="A66" s="199"/>
      <c r="B66" s="37">
        <v>63</v>
      </c>
      <c r="C66" s="196"/>
      <c r="D66" s="34" t="s">
        <v>13</v>
      </c>
      <c r="E66" s="41" t="s">
        <v>8</v>
      </c>
      <c r="F66" s="43" t="s">
        <v>28</v>
      </c>
      <c r="G66" s="37" t="s">
        <v>29</v>
      </c>
      <c r="H66" s="37" t="s">
        <v>34</v>
      </c>
      <c r="I66" s="37" t="s">
        <v>9</v>
      </c>
      <c r="J66" s="36">
        <v>135</v>
      </c>
      <c r="K66" s="27">
        <f>0</f>
        <v>0</v>
      </c>
      <c r="L66" s="127">
        <f t="shared" si="0"/>
        <v>0</v>
      </c>
      <c r="M66" s="127">
        <f t="shared" si="1"/>
        <v>0</v>
      </c>
      <c r="N66" s="128"/>
      <c r="O66" s="129">
        <f t="shared" si="2"/>
        <v>0</v>
      </c>
      <c r="P66" s="128"/>
      <c r="Q66" s="128"/>
      <c r="R66" s="128"/>
      <c r="S66" s="184">
        <f t="shared" si="3"/>
        <v>0</v>
      </c>
      <c r="T66" s="25" t="str">
        <f t="shared" si="4"/>
        <v>OK</v>
      </c>
      <c r="U66" s="138"/>
      <c r="V66" s="138"/>
      <c r="W66" s="138"/>
      <c r="X66" s="138"/>
      <c r="Y66" s="139"/>
      <c r="Z66" s="24"/>
      <c r="AA66" s="24"/>
      <c r="AB66" s="22"/>
      <c r="AC66" s="22"/>
      <c r="AD66" s="22"/>
      <c r="AE66" s="22"/>
      <c r="AF66" s="22"/>
      <c r="AG66" s="22"/>
      <c r="AH66" s="22"/>
    </row>
    <row r="67" spans="1:34" ht="30.25" customHeight="1" x14ac:dyDescent="0.35">
      <c r="A67" s="199"/>
      <c r="B67" s="37">
        <v>64</v>
      </c>
      <c r="C67" s="196"/>
      <c r="D67" s="34" t="s">
        <v>157</v>
      </c>
      <c r="E67" s="41" t="s">
        <v>8</v>
      </c>
      <c r="F67" s="43" t="s">
        <v>28</v>
      </c>
      <c r="G67" s="37" t="s">
        <v>29</v>
      </c>
      <c r="H67" s="37" t="s">
        <v>8</v>
      </c>
      <c r="I67" s="37" t="s">
        <v>9</v>
      </c>
      <c r="J67" s="36">
        <v>365</v>
      </c>
      <c r="K67" s="27">
        <f>0</f>
        <v>0</v>
      </c>
      <c r="L67" s="127">
        <f t="shared" si="0"/>
        <v>0</v>
      </c>
      <c r="M67" s="127">
        <f t="shared" si="1"/>
        <v>0</v>
      </c>
      <c r="N67" s="128"/>
      <c r="O67" s="129">
        <f t="shared" si="2"/>
        <v>0</v>
      </c>
      <c r="P67" s="128"/>
      <c r="Q67" s="128"/>
      <c r="R67" s="128"/>
      <c r="S67" s="184">
        <f t="shared" si="3"/>
        <v>0</v>
      </c>
      <c r="T67" s="25" t="str">
        <f t="shared" si="4"/>
        <v>OK</v>
      </c>
      <c r="U67" s="138"/>
      <c r="V67" s="138"/>
      <c r="W67" s="138"/>
      <c r="X67" s="138"/>
      <c r="Y67" s="139"/>
      <c r="Z67" s="24"/>
      <c r="AA67" s="24"/>
      <c r="AB67" s="22"/>
      <c r="AC67" s="22"/>
      <c r="AD67" s="22"/>
      <c r="AE67" s="22"/>
      <c r="AF67" s="22"/>
      <c r="AG67" s="22"/>
      <c r="AH67" s="22"/>
    </row>
    <row r="68" spans="1:34" ht="30.25" customHeight="1" x14ac:dyDescent="0.35">
      <c r="A68" s="200"/>
      <c r="B68" s="37">
        <v>65</v>
      </c>
      <c r="C68" s="197"/>
      <c r="D68" s="34" t="s">
        <v>30</v>
      </c>
      <c r="E68" s="41" t="s">
        <v>8</v>
      </c>
      <c r="F68" s="43" t="s">
        <v>28</v>
      </c>
      <c r="G68" s="37" t="s">
        <v>29</v>
      </c>
      <c r="H68" s="37" t="s">
        <v>8</v>
      </c>
      <c r="I68" s="37" t="s">
        <v>9</v>
      </c>
      <c r="J68" s="36">
        <v>100</v>
      </c>
      <c r="K68" s="27">
        <f>0</f>
        <v>0</v>
      </c>
      <c r="L68" s="127">
        <f t="shared" si="0"/>
        <v>0</v>
      </c>
      <c r="M68" s="127">
        <f t="shared" si="1"/>
        <v>0</v>
      </c>
      <c r="N68" s="128"/>
      <c r="O68" s="129">
        <f t="shared" si="2"/>
        <v>0</v>
      </c>
      <c r="P68" s="128"/>
      <c r="Q68" s="128"/>
      <c r="R68" s="128"/>
      <c r="S68" s="184">
        <f t="shared" si="3"/>
        <v>0</v>
      </c>
      <c r="T68" s="25" t="str">
        <f t="shared" si="4"/>
        <v>OK</v>
      </c>
      <c r="U68" s="138"/>
      <c r="V68" s="138"/>
      <c r="W68" s="138"/>
      <c r="X68" s="138"/>
      <c r="Y68" s="139"/>
      <c r="Z68" s="24"/>
      <c r="AA68" s="24"/>
      <c r="AB68" s="22"/>
      <c r="AC68" s="22"/>
      <c r="AD68" s="22"/>
      <c r="AE68" s="22"/>
      <c r="AF68" s="22"/>
      <c r="AG68" s="22"/>
      <c r="AH68" s="22"/>
    </row>
    <row r="69" spans="1:34" ht="30.25" customHeight="1" x14ac:dyDescent="0.35">
      <c r="A69" s="208" t="s">
        <v>164</v>
      </c>
      <c r="B69" s="44">
        <v>66</v>
      </c>
      <c r="C69" s="205" t="s">
        <v>92</v>
      </c>
      <c r="D69" s="46" t="s">
        <v>27</v>
      </c>
      <c r="E69" s="48" t="s">
        <v>8</v>
      </c>
      <c r="F69" s="50" t="s">
        <v>28</v>
      </c>
      <c r="G69" s="44" t="s">
        <v>29</v>
      </c>
      <c r="H69" s="44" t="s">
        <v>8</v>
      </c>
      <c r="I69" s="44" t="s">
        <v>9</v>
      </c>
      <c r="J69" s="47">
        <v>140</v>
      </c>
      <c r="K69" s="27">
        <f>0</f>
        <v>0</v>
      </c>
      <c r="L69" s="127">
        <f t="shared" ref="L69:L81" si="5">IF(SUM(U69:AL69)&gt;K69+N69,K69+N69,SUM(U69:AL69))</f>
        <v>0</v>
      </c>
      <c r="M69" s="127">
        <f t="shared" ref="M69:M81" si="6">(SUM(U69:AL69))</f>
        <v>0</v>
      </c>
      <c r="N69" s="128"/>
      <c r="O69" s="129">
        <f t="shared" ref="O69:O82" si="7">ROUND(IF(K69*0.25-0.5&lt;0,0,K69*0.25-0.5),0)-R69-P69</f>
        <v>0</v>
      </c>
      <c r="P69" s="128"/>
      <c r="Q69" s="128"/>
      <c r="R69" s="128"/>
      <c r="S69" s="184">
        <f t="shared" ref="S69:S81" si="8">K69-SUM(U69:AH69)+N69</f>
        <v>0</v>
      </c>
      <c r="T69" s="25" t="str">
        <f t="shared" ref="T69:T82" si="9">IF(S69&lt;0,"ATENÇÃO","OK")</f>
        <v>OK</v>
      </c>
      <c r="U69" s="138"/>
      <c r="V69" s="138"/>
      <c r="W69" s="138"/>
      <c r="X69" s="138"/>
      <c r="Y69" s="139"/>
      <c r="Z69" s="24"/>
      <c r="AA69" s="24"/>
      <c r="AB69" s="22"/>
      <c r="AC69" s="22"/>
      <c r="AD69" s="22"/>
      <c r="AE69" s="22"/>
      <c r="AF69" s="22"/>
      <c r="AG69" s="22"/>
      <c r="AH69" s="22"/>
    </row>
    <row r="70" spans="1:34" ht="30.25" customHeight="1" x14ac:dyDescent="0.35">
      <c r="A70" s="209"/>
      <c r="B70" s="44">
        <v>67</v>
      </c>
      <c r="C70" s="206"/>
      <c r="D70" s="46" t="s">
        <v>7</v>
      </c>
      <c r="E70" s="48" t="s">
        <v>8</v>
      </c>
      <c r="F70" s="50" t="s">
        <v>28</v>
      </c>
      <c r="G70" s="44" t="s">
        <v>29</v>
      </c>
      <c r="H70" s="44" t="s">
        <v>8</v>
      </c>
      <c r="I70" s="44" t="s">
        <v>9</v>
      </c>
      <c r="J70" s="47">
        <v>530</v>
      </c>
      <c r="K70" s="27">
        <f>0</f>
        <v>0</v>
      </c>
      <c r="L70" s="127">
        <f t="shared" si="5"/>
        <v>0</v>
      </c>
      <c r="M70" s="127">
        <f t="shared" si="6"/>
        <v>0</v>
      </c>
      <c r="N70" s="128"/>
      <c r="O70" s="129">
        <f t="shared" si="7"/>
        <v>0</v>
      </c>
      <c r="P70" s="128"/>
      <c r="Q70" s="128"/>
      <c r="R70" s="128"/>
      <c r="S70" s="184">
        <f t="shared" si="8"/>
        <v>0</v>
      </c>
      <c r="T70" s="25" t="str">
        <f t="shared" si="9"/>
        <v>OK</v>
      </c>
      <c r="U70" s="138"/>
      <c r="V70" s="138"/>
      <c r="W70" s="138"/>
      <c r="X70" s="138"/>
      <c r="Y70" s="139"/>
      <c r="Z70" s="24"/>
      <c r="AA70" s="24"/>
      <c r="AB70" s="22"/>
      <c r="AC70" s="22"/>
      <c r="AD70" s="22"/>
      <c r="AE70" s="22"/>
      <c r="AF70" s="22"/>
      <c r="AG70" s="22"/>
      <c r="AH70" s="22"/>
    </row>
    <row r="71" spans="1:34" ht="30.25" customHeight="1" x14ac:dyDescent="0.35">
      <c r="A71" s="209"/>
      <c r="B71" s="44">
        <v>68</v>
      </c>
      <c r="C71" s="206"/>
      <c r="D71" s="46" t="s">
        <v>10</v>
      </c>
      <c r="E71" s="48" t="s">
        <v>8</v>
      </c>
      <c r="F71" s="50" t="s">
        <v>28</v>
      </c>
      <c r="G71" s="44" t="s">
        <v>29</v>
      </c>
      <c r="H71" s="44" t="s">
        <v>8</v>
      </c>
      <c r="I71" s="44" t="s">
        <v>9</v>
      </c>
      <c r="J71" s="47">
        <v>660</v>
      </c>
      <c r="K71" s="27">
        <f>0</f>
        <v>0</v>
      </c>
      <c r="L71" s="127">
        <f t="shared" si="5"/>
        <v>0</v>
      </c>
      <c r="M71" s="127">
        <f t="shared" si="6"/>
        <v>0</v>
      </c>
      <c r="N71" s="128"/>
      <c r="O71" s="129">
        <f t="shared" si="7"/>
        <v>0</v>
      </c>
      <c r="P71" s="128"/>
      <c r="Q71" s="128"/>
      <c r="R71" s="128"/>
      <c r="S71" s="184">
        <f t="shared" si="8"/>
        <v>0</v>
      </c>
      <c r="T71" s="25" t="str">
        <f t="shared" si="9"/>
        <v>OK</v>
      </c>
      <c r="U71" s="138"/>
      <c r="V71" s="138"/>
      <c r="W71" s="138"/>
      <c r="X71" s="138"/>
      <c r="Y71" s="139"/>
      <c r="Z71" s="24"/>
      <c r="AA71" s="24"/>
      <c r="AB71" s="22"/>
      <c r="AC71" s="22"/>
      <c r="AD71" s="22"/>
      <c r="AE71" s="22"/>
      <c r="AF71" s="22"/>
      <c r="AG71" s="22"/>
      <c r="AH71" s="22"/>
    </row>
    <row r="72" spans="1:34" ht="30.25" customHeight="1" x14ac:dyDescent="0.35">
      <c r="A72" s="209"/>
      <c r="B72" s="44">
        <v>69</v>
      </c>
      <c r="C72" s="206"/>
      <c r="D72" s="46" t="s">
        <v>11</v>
      </c>
      <c r="E72" s="48" t="s">
        <v>8</v>
      </c>
      <c r="F72" s="50" t="s">
        <v>28</v>
      </c>
      <c r="G72" s="44" t="s">
        <v>29</v>
      </c>
      <c r="H72" s="44" t="s">
        <v>8</v>
      </c>
      <c r="I72" s="44" t="s">
        <v>9</v>
      </c>
      <c r="J72" s="47">
        <v>760</v>
      </c>
      <c r="K72" s="27">
        <f>0</f>
        <v>0</v>
      </c>
      <c r="L72" s="127">
        <f t="shared" si="5"/>
        <v>0</v>
      </c>
      <c r="M72" s="127">
        <f t="shared" si="6"/>
        <v>0</v>
      </c>
      <c r="N72" s="128"/>
      <c r="O72" s="129">
        <f t="shared" si="7"/>
        <v>0</v>
      </c>
      <c r="P72" s="128"/>
      <c r="Q72" s="128"/>
      <c r="R72" s="128"/>
      <c r="S72" s="184">
        <f t="shared" si="8"/>
        <v>0</v>
      </c>
      <c r="T72" s="25" t="str">
        <f t="shared" si="9"/>
        <v>OK</v>
      </c>
      <c r="U72" s="138"/>
      <c r="V72" s="138"/>
      <c r="W72" s="138"/>
      <c r="X72" s="138"/>
      <c r="Y72" s="139"/>
      <c r="Z72" s="24"/>
      <c r="AA72" s="24"/>
      <c r="AB72" s="22"/>
      <c r="AC72" s="22"/>
      <c r="AD72" s="22"/>
      <c r="AE72" s="22"/>
      <c r="AF72" s="22"/>
      <c r="AG72" s="22"/>
      <c r="AH72" s="22"/>
    </row>
    <row r="73" spans="1:34" ht="30.25" customHeight="1" x14ac:dyDescent="0.35">
      <c r="A73" s="209"/>
      <c r="B73" s="44">
        <v>70</v>
      </c>
      <c r="C73" s="206"/>
      <c r="D73" s="46" t="s">
        <v>12</v>
      </c>
      <c r="E73" s="48" t="s">
        <v>8</v>
      </c>
      <c r="F73" s="50" t="s">
        <v>28</v>
      </c>
      <c r="G73" s="44" t="s">
        <v>29</v>
      </c>
      <c r="H73" s="44" t="s">
        <v>34</v>
      </c>
      <c r="I73" s="44" t="s">
        <v>9</v>
      </c>
      <c r="J73" s="47">
        <v>70</v>
      </c>
      <c r="K73" s="27">
        <f>0</f>
        <v>0</v>
      </c>
      <c r="L73" s="127">
        <f t="shared" si="5"/>
        <v>0</v>
      </c>
      <c r="M73" s="127">
        <f t="shared" si="6"/>
        <v>0</v>
      </c>
      <c r="N73" s="128"/>
      <c r="O73" s="129">
        <f t="shared" si="7"/>
        <v>0</v>
      </c>
      <c r="P73" s="128"/>
      <c r="Q73" s="128"/>
      <c r="R73" s="128"/>
      <c r="S73" s="184">
        <f t="shared" si="8"/>
        <v>0</v>
      </c>
      <c r="T73" s="25" t="str">
        <f t="shared" si="9"/>
        <v>OK</v>
      </c>
      <c r="U73" s="138"/>
      <c r="V73" s="138"/>
      <c r="W73" s="138"/>
      <c r="X73" s="138"/>
      <c r="Y73" s="139"/>
      <c r="Z73" s="24"/>
      <c r="AA73" s="24"/>
      <c r="AB73" s="22"/>
      <c r="AC73" s="22"/>
      <c r="AD73" s="22"/>
      <c r="AE73" s="22"/>
      <c r="AF73" s="22"/>
      <c r="AG73" s="22"/>
      <c r="AH73" s="22"/>
    </row>
    <row r="74" spans="1:34" ht="30.25" customHeight="1" x14ac:dyDescent="0.35">
      <c r="A74" s="209"/>
      <c r="B74" s="44">
        <v>71</v>
      </c>
      <c r="C74" s="206"/>
      <c r="D74" s="46" t="s">
        <v>156</v>
      </c>
      <c r="E74" s="48" t="s">
        <v>8</v>
      </c>
      <c r="F74" s="50" t="s">
        <v>28</v>
      </c>
      <c r="G74" s="44" t="s">
        <v>29</v>
      </c>
      <c r="H74" s="44" t="s">
        <v>34</v>
      </c>
      <c r="I74" s="44" t="s">
        <v>9</v>
      </c>
      <c r="J74" s="47">
        <v>75</v>
      </c>
      <c r="K74" s="27">
        <f>0</f>
        <v>0</v>
      </c>
      <c r="L74" s="127">
        <f t="shared" si="5"/>
        <v>0</v>
      </c>
      <c r="M74" s="127">
        <f t="shared" si="6"/>
        <v>0</v>
      </c>
      <c r="N74" s="128"/>
      <c r="O74" s="129">
        <f t="shared" si="7"/>
        <v>0</v>
      </c>
      <c r="P74" s="128"/>
      <c r="Q74" s="128"/>
      <c r="R74" s="128"/>
      <c r="S74" s="184">
        <f t="shared" si="8"/>
        <v>0</v>
      </c>
      <c r="T74" s="25" t="str">
        <f t="shared" si="9"/>
        <v>OK</v>
      </c>
      <c r="U74" s="138"/>
      <c r="V74" s="138"/>
      <c r="W74" s="138"/>
      <c r="X74" s="138"/>
      <c r="Y74" s="139"/>
      <c r="Z74" s="24"/>
      <c r="AA74" s="24"/>
      <c r="AB74" s="22"/>
      <c r="AC74" s="22"/>
      <c r="AD74" s="22"/>
      <c r="AE74" s="22"/>
      <c r="AF74" s="22"/>
      <c r="AG74" s="22"/>
      <c r="AH74" s="22"/>
    </row>
    <row r="75" spans="1:34" ht="30.25" customHeight="1" x14ac:dyDescent="0.35">
      <c r="A75" s="209"/>
      <c r="B75" s="44">
        <v>72</v>
      </c>
      <c r="C75" s="206"/>
      <c r="D75" s="46" t="s">
        <v>13</v>
      </c>
      <c r="E75" s="48" t="s">
        <v>8</v>
      </c>
      <c r="F75" s="50" t="s">
        <v>28</v>
      </c>
      <c r="G75" s="44" t="s">
        <v>29</v>
      </c>
      <c r="H75" s="44" t="s">
        <v>34</v>
      </c>
      <c r="I75" s="44" t="s">
        <v>9</v>
      </c>
      <c r="J75" s="47">
        <v>80</v>
      </c>
      <c r="K75" s="27">
        <f>0</f>
        <v>0</v>
      </c>
      <c r="L75" s="127">
        <f t="shared" si="5"/>
        <v>0</v>
      </c>
      <c r="M75" s="127">
        <f t="shared" si="6"/>
        <v>0</v>
      </c>
      <c r="N75" s="128"/>
      <c r="O75" s="129">
        <f t="shared" si="7"/>
        <v>0</v>
      </c>
      <c r="P75" s="128"/>
      <c r="Q75" s="128"/>
      <c r="R75" s="128"/>
      <c r="S75" s="184">
        <f t="shared" si="8"/>
        <v>0</v>
      </c>
      <c r="T75" s="25" t="str">
        <f t="shared" si="9"/>
        <v>OK</v>
      </c>
      <c r="U75" s="138"/>
      <c r="V75" s="138"/>
      <c r="W75" s="138"/>
      <c r="X75" s="138"/>
      <c r="Y75" s="139"/>
      <c r="Z75" s="24"/>
      <c r="AA75" s="24"/>
      <c r="AB75" s="22"/>
      <c r="AC75" s="22"/>
      <c r="AD75" s="22"/>
      <c r="AE75" s="22"/>
      <c r="AF75" s="22"/>
      <c r="AG75" s="22"/>
      <c r="AH75" s="22"/>
    </row>
    <row r="76" spans="1:34" ht="30.25" customHeight="1" x14ac:dyDescent="0.35">
      <c r="A76" s="209"/>
      <c r="B76" s="44">
        <v>73</v>
      </c>
      <c r="C76" s="206"/>
      <c r="D76" s="46" t="s">
        <v>157</v>
      </c>
      <c r="E76" s="48" t="s">
        <v>8</v>
      </c>
      <c r="F76" s="50" t="s">
        <v>28</v>
      </c>
      <c r="G76" s="44" t="s">
        <v>29</v>
      </c>
      <c r="H76" s="44" t="s">
        <v>8</v>
      </c>
      <c r="I76" s="44" t="s">
        <v>9</v>
      </c>
      <c r="J76" s="47">
        <v>150</v>
      </c>
      <c r="K76" s="27">
        <f>0</f>
        <v>0</v>
      </c>
      <c r="L76" s="127">
        <f t="shared" si="5"/>
        <v>0</v>
      </c>
      <c r="M76" s="127">
        <f t="shared" si="6"/>
        <v>0</v>
      </c>
      <c r="N76" s="128"/>
      <c r="O76" s="129">
        <f t="shared" si="7"/>
        <v>0</v>
      </c>
      <c r="P76" s="128"/>
      <c r="Q76" s="128"/>
      <c r="R76" s="128"/>
      <c r="S76" s="184">
        <f t="shared" si="8"/>
        <v>0</v>
      </c>
      <c r="T76" s="25" t="str">
        <f t="shared" si="9"/>
        <v>OK</v>
      </c>
      <c r="U76" s="138"/>
      <c r="V76" s="138"/>
      <c r="W76" s="138"/>
      <c r="X76" s="138"/>
      <c r="Y76" s="139"/>
      <c r="Z76" s="24"/>
      <c r="AA76" s="24"/>
      <c r="AB76" s="22"/>
      <c r="AC76" s="22"/>
      <c r="AD76" s="22"/>
      <c r="AE76" s="22"/>
      <c r="AF76" s="22"/>
      <c r="AG76" s="22"/>
      <c r="AH76" s="22"/>
    </row>
    <row r="77" spans="1:34" ht="30.25" customHeight="1" x14ac:dyDescent="0.35">
      <c r="A77" s="209"/>
      <c r="B77" s="44">
        <v>74</v>
      </c>
      <c r="C77" s="206"/>
      <c r="D77" s="46" t="s">
        <v>30</v>
      </c>
      <c r="E77" s="48" t="s">
        <v>8</v>
      </c>
      <c r="F77" s="50" t="s">
        <v>28</v>
      </c>
      <c r="G77" s="44" t="s">
        <v>29</v>
      </c>
      <c r="H77" s="44" t="s">
        <v>8</v>
      </c>
      <c r="I77" s="44" t="s">
        <v>9</v>
      </c>
      <c r="J77" s="47">
        <v>150</v>
      </c>
      <c r="K77" s="27">
        <f>0</f>
        <v>0</v>
      </c>
      <c r="L77" s="127">
        <f t="shared" si="5"/>
        <v>0</v>
      </c>
      <c r="M77" s="127">
        <f t="shared" si="6"/>
        <v>0</v>
      </c>
      <c r="N77" s="128"/>
      <c r="O77" s="129">
        <f t="shared" si="7"/>
        <v>0</v>
      </c>
      <c r="P77" s="128"/>
      <c r="Q77" s="128"/>
      <c r="R77" s="128"/>
      <c r="S77" s="184">
        <f t="shared" si="8"/>
        <v>0</v>
      </c>
      <c r="T77" s="25" t="str">
        <f t="shared" si="9"/>
        <v>OK</v>
      </c>
      <c r="U77" s="138"/>
      <c r="V77" s="138"/>
      <c r="W77" s="138"/>
      <c r="X77" s="138"/>
      <c r="Y77" s="139"/>
      <c r="Z77" s="24"/>
      <c r="AA77" s="24"/>
      <c r="AB77" s="22"/>
      <c r="AC77" s="22"/>
      <c r="AD77" s="22"/>
      <c r="AE77" s="22"/>
      <c r="AF77" s="22"/>
      <c r="AG77" s="22"/>
      <c r="AH77" s="22"/>
    </row>
    <row r="78" spans="1:34" ht="30.25" customHeight="1" x14ac:dyDescent="0.35">
      <c r="A78" s="210"/>
      <c r="B78" s="44">
        <v>75</v>
      </c>
      <c r="C78" s="207"/>
      <c r="D78" s="46" t="s">
        <v>165</v>
      </c>
      <c r="E78" s="48" t="s">
        <v>8</v>
      </c>
      <c r="F78" s="50" t="s">
        <v>28</v>
      </c>
      <c r="G78" s="44" t="s">
        <v>29</v>
      </c>
      <c r="H78" s="44" t="s">
        <v>8</v>
      </c>
      <c r="I78" s="44" t="s">
        <v>9</v>
      </c>
      <c r="J78" s="47">
        <v>300</v>
      </c>
      <c r="K78" s="27">
        <f>0</f>
        <v>0</v>
      </c>
      <c r="L78" s="127">
        <f t="shared" si="5"/>
        <v>0</v>
      </c>
      <c r="M78" s="127">
        <f t="shared" si="6"/>
        <v>0</v>
      </c>
      <c r="N78" s="128"/>
      <c r="O78" s="129">
        <f t="shared" si="7"/>
        <v>0</v>
      </c>
      <c r="P78" s="128"/>
      <c r="Q78" s="128"/>
      <c r="R78" s="128"/>
      <c r="S78" s="184">
        <f t="shared" si="8"/>
        <v>0</v>
      </c>
      <c r="T78" s="25" t="str">
        <f t="shared" si="9"/>
        <v>OK</v>
      </c>
      <c r="U78" s="138"/>
      <c r="V78" s="138"/>
      <c r="W78" s="138"/>
      <c r="X78" s="138"/>
      <c r="Y78" s="139"/>
      <c r="Z78" s="24"/>
      <c r="AA78" s="24"/>
      <c r="AB78" s="22"/>
      <c r="AC78" s="22"/>
      <c r="AD78" s="22"/>
      <c r="AE78" s="22"/>
      <c r="AF78" s="22"/>
      <c r="AG78" s="22"/>
      <c r="AH78" s="22"/>
    </row>
    <row r="79" spans="1:34" ht="30.25" customHeight="1" x14ac:dyDescent="0.35">
      <c r="A79" s="198" t="s">
        <v>166</v>
      </c>
      <c r="B79" s="37">
        <v>76</v>
      </c>
      <c r="C79" s="195" t="s">
        <v>33</v>
      </c>
      <c r="D79" s="34" t="s">
        <v>7</v>
      </c>
      <c r="E79" s="41" t="s">
        <v>8</v>
      </c>
      <c r="F79" s="43" t="s">
        <v>28</v>
      </c>
      <c r="G79" s="37" t="s">
        <v>29</v>
      </c>
      <c r="H79" s="37" t="s">
        <v>8</v>
      </c>
      <c r="I79" s="37" t="s">
        <v>9</v>
      </c>
      <c r="J79" s="36">
        <v>1001</v>
      </c>
      <c r="K79" s="27">
        <f>0</f>
        <v>0</v>
      </c>
      <c r="L79" s="127">
        <f t="shared" si="5"/>
        <v>0</v>
      </c>
      <c r="M79" s="127">
        <f t="shared" si="6"/>
        <v>0</v>
      </c>
      <c r="N79" s="128"/>
      <c r="O79" s="129">
        <f t="shared" si="7"/>
        <v>0</v>
      </c>
      <c r="P79" s="128"/>
      <c r="Q79" s="128"/>
      <c r="R79" s="128"/>
      <c r="S79" s="184">
        <f t="shared" si="8"/>
        <v>0</v>
      </c>
      <c r="T79" s="25" t="str">
        <f t="shared" si="9"/>
        <v>OK</v>
      </c>
      <c r="U79" s="138"/>
      <c r="V79" s="138"/>
      <c r="W79" s="138"/>
      <c r="X79" s="138"/>
      <c r="Y79" s="139"/>
      <c r="Z79" s="24"/>
      <c r="AA79" s="24"/>
      <c r="AB79" s="22"/>
      <c r="AC79" s="22"/>
      <c r="AD79" s="22"/>
      <c r="AE79" s="22"/>
      <c r="AF79" s="22"/>
      <c r="AG79" s="22"/>
      <c r="AH79" s="22"/>
    </row>
    <row r="80" spans="1:34" ht="30.25" customHeight="1" x14ac:dyDescent="0.35">
      <c r="A80" s="199"/>
      <c r="B80" s="37">
        <v>77</v>
      </c>
      <c r="C80" s="196"/>
      <c r="D80" s="34" t="s">
        <v>12</v>
      </c>
      <c r="E80" s="41" t="s">
        <v>8</v>
      </c>
      <c r="F80" s="43" t="s">
        <v>28</v>
      </c>
      <c r="G80" s="37" t="s">
        <v>29</v>
      </c>
      <c r="H80" s="37" t="s">
        <v>34</v>
      </c>
      <c r="I80" s="37" t="s">
        <v>9</v>
      </c>
      <c r="J80" s="36">
        <v>130</v>
      </c>
      <c r="K80" s="27">
        <f>0</f>
        <v>0</v>
      </c>
      <c r="L80" s="127">
        <f t="shared" si="5"/>
        <v>0</v>
      </c>
      <c r="M80" s="127">
        <f t="shared" si="6"/>
        <v>0</v>
      </c>
      <c r="N80" s="128"/>
      <c r="O80" s="129">
        <f t="shared" si="7"/>
        <v>0</v>
      </c>
      <c r="P80" s="128"/>
      <c r="Q80" s="128"/>
      <c r="R80" s="128"/>
      <c r="S80" s="184">
        <f t="shared" si="8"/>
        <v>0</v>
      </c>
      <c r="T80" s="25" t="str">
        <f t="shared" si="9"/>
        <v>OK</v>
      </c>
      <c r="U80" s="138"/>
      <c r="V80" s="138"/>
      <c r="W80" s="138"/>
      <c r="X80" s="138"/>
      <c r="Y80" s="139"/>
      <c r="Z80" s="24"/>
      <c r="AA80" s="24"/>
      <c r="AB80" s="22"/>
      <c r="AC80" s="22"/>
      <c r="AD80" s="22"/>
      <c r="AE80" s="22"/>
      <c r="AF80" s="22"/>
      <c r="AG80" s="22"/>
      <c r="AH80" s="22"/>
    </row>
    <row r="81" spans="1:34" ht="30.25" customHeight="1" x14ac:dyDescent="0.35">
      <c r="A81" s="200"/>
      <c r="B81" s="37">
        <v>78</v>
      </c>
      <c r="C81" s="197"/>
      <c r="D81" s="34" t="s">
        <v>157</v>
      </c>
      <c r="E81" s="41" t="s">
        <v>8</v>
      </c>
      <c r="F81" s="43" t="s">
        <v>28</v>
      </c>
      <c r="G81" s="37" t="s">
        <v>29</v>
      </c>
      <c r="H81" s="37" t="s">
        <v>8</v>
      </c>
      <c r="I81" s="37" t="s">
        <v>9</v>
      </c>
      <c r="J81" s="36">
        <v>200</v>
      </c>
      <c r="K81" s="27">
        <f>0</f>
        <v>0</v>
      </c>
      <c r="L81" s="127">
        <f t="shared" si="5"/>
        <v>0</v>
      </c>
      <c r="M81" s="127">
        <f t="shared" si="6"/>
        <v>0</v>
      </c>
      <c r="N81" s="128"/>
      <c r="O81" s="129">
        <f t="shared" si="7"/>
        <v>0</v>
      </c>
      <c r="P81" s="128"/>
      <c r="Q81" s="128"/>
      <c r="R81" s="128"/>
      <c r="S81" s="184">
        <f t="shared" si="8"/>
        <v>0</v>
      </c>
      <c r="T81" s="25" t="str">
        <f t="shared" si="9"/>
        <v>OK</v>
      </c>
      <c r="U81" s="138"/>
      <c r="V81" s="138"/>
      <c r="W81" s="138"/>
      <c r="X81" s="138"/>
      <c r="Y81" s="139"/>
      <c r="Z81" s="24"/>
      <c r="AA81" s="24"/>
      <c r="AB81" s="22"/>
      <c r="AC81" s="22"/>
      <c r="AD81" s="22"/>
      <c r="AE81" s="22"/>
      <c r="AF81" s="22"/>
      <c r="AG81" s="22"/>
      <c r="AH81" s="22"/>
    </row>
    <row r="82" spans="1:34" ht="15" thickBot="1" x14ac:dyDescent="0.4">
      <c r="K82" s="4">
        <f>SUM(K4:K81)</f>
        <v>166</v>
      </c>
      <c r="N82" s="132"/>
      <c r="O82" s="132">
        <f t="shared" si="7"/>
        <v>41</v>
      </c>
      <c r="P82" s="132"/>
      <c r="Q82" s="132"/>
      <c r="R82" s="132"/>
      <c r="S82" s="185">
        <f>SUM(S4:S81)</f>
        <v>56</v>
      </c>
      <c r="T82" s="5" t="str">
        <f t="shared" si="9"/>
        <v>OK</v>
      </c>
      <c r="U82" s="30">
        <f t="shared" ref="U82:AH82" si="10">SUMPRODUCT($J$4:$J$81,U4:U81)</f>
        <v>41340.720000000001</v>
      </c>
      <c r="V82" s="30">
        <f t="shared" si="10"/>
        <v>34918</v>
      </c>
      <c r="W82" s="30">
        <f t="shared" si="10"/>
        <v>13565.2</v>
      </c>
      <c r="X82" s="30">
        <f t="shared" si="10"/>
        <v>49236</v>
      </c>
      <c r="Y82" s="30">
        <f t="shared" si="10"/>
        <v>11058</v>
      </c>
      <c r="Z82" s="30">
        <f t="shared" si="10"/>
        <v>0</v>
      </c>
      <c r="AA82" s="30">
        <f t="shared" si="10"/>
        <v>0</v>
      </c>
      <c r="AB82" s="30">
        <f t="shared" si="10"/>
        <v>0</v>
      </c>
      <c r="AC82" s="30">
        <f t="shared" si="10"/>
        <v>0</v>
      </c>
      <c r="AD82" s="30">
        <f t="shared" si="10"/>
        <v>0</v>
      </c>
      <c r="AE82" s="30">
        <f t="shared" si="10"/>
        <v>0</v>
      </c>
      <c r="AF82" s="30">
        <f t="shared" si="10"/>
        <v>0</v>
      </c>
      <c r="AG82" s="30">
        <f t="shared" si="10"/>
        <v>0</v>
      </c>
      <c r="AH82" s="30">
        <f t="shared" si="10"/>
        <v>0</v>
      </c>
    </row>
    <row r="83" spans="1:34" ht="14.5" x14ac:dyDescent="0.35">
      <c r="D83" s="31" t="s">
        <v>53</v>
      </c>
      <c r="K83" s="132">
        <f>SUMPRODUCT($J$4:$J$81,K4:K81)</f>
        <v>159739.91999999998</v>
      </c>
      <c r="L83" s="132">
        <f>SUMPRODUCT($J$4:$J$81,L4:L81)</f>
        <v>150117.91999999998</v>
      </c>
      <c r="M83" s="132">
        <f>SUMPRODUCT($J$4:$J$81,M4:M81)</f>
        <v>150117.91999999998</v>
      </c>
      <c r="R83" s="126"/>
      <c r="U83" s="142"/>
      <c r="V83" s="142"/>
      <c r="W83" s="142"/>
      <c r="X83" s="142"/>
      <c r="Y83" s="142"/>
    </row>
    <row r="84" spans="1:34" ht="29" x14ac:dyDescent="0.35">
      <c r="D84" s="32" t="s">
        <v>54</v>
      </c>
      <c r="R84" s="125"/>
      <c r="U84" s="142"/>
      <c r="V84" s="142"/>
      <c r="W84" s="142"/>
      <c r="X84" s="142"/>
      <c r="Y84" s="142"/>
    </row>
    <row r="85" spans="1:34" ht="15.75" customHeight="1" thickBot="1" x14ac:dyDescent="0.4">
      <c r="D85" s="33" t="s">
        <v>55</v>
      </c>
      <c r="R85" s="125"/>
      <c r="U85" s="142"/>
      <c r="V85" s="142"/>
      <c r="W85" s="142"/>
      <c r="X85" s="142"/>
      <c r="Y85" s="142"/>
    </row>
    <row r="86" spans="1:34" ht="14.5" x14ac:dyDescent="0.35">
      <c r="U86" s="142"/>
      <c r="V86" s="142"/>
      <c r="W86" s="142"/>
      <c r="X86" s="142"/>
      <c r="Y86" s="142"/>
    </row>
    <row r="87" spans="1:34" ht="14.5" x14ac:dyDescent="0.35">
      <c r="U87" s="142"/>
      <c r="V87" s="142"/>
      <c r="W87" s="142"/>
      <c r="X87" s="142"/>
      <c r="Y87" s="142"/>
    </row>
    <row r="88" spans="1:34" ht="14.5" x14ac:dyDescent="0.35">
      <c r="U88" s="142"/>
      <c r="V88" s="142"/>
      <c r="W88" s="142"/>
      <c r="X88" s="142"/>
      <c r="Y88" s="142"/>
    </row>
    <row r="89" spans="1:34" ht="14.5" x14ac:dyDescent="0.35">
      <c r="U89" s="142"/>
      <c r="V89" s="142"/>
      <c r="W89" s="142"/>
      <c r="X89" s="142"/>
      <c r="Y89" s="142"/>
    </row>
    <row r="90" spans="1:34" ht="14.5" x14ac:dyDescent="0.35">
      <c r="U90" s="142"/>
      <c r="V90" s="142"/>
      <c r="W90" s="142"/>
      <c r="X90" s="142"/>
      <c r="Y90" s="142"/>
    </row>
    <row r="91" spans="1:34" ht="14.5" x14ac:dyDescent="0.35">
      <c r="U91" s="142"/>
      <c r="V91" s="142"/>
      <c r="W91" s="142"/>
      <c r="X91" s="142"/>
      <c r="Y91" s="142"/>
    </row>
    <row r="92" spans="1:34" ht="14.5" x14ac:dyDescent="0.35">
      <c r="U92" s="142"/>
      <c r="V92" s="142"/>
      <c r="W92" s="142"/>
      <c r="X92" s="142"/>
      <c r="Y92" s="142"/>
    </row>
  </sheetData>
  <mergeCells count="29">
    <mergeCell ref="A69:A78"/>
    <mergeCell ref="C69:C78"/>
    <mergeCell ref="A79:A81"/>
    <mergeCell ref="C79:C81"/>
    <mergeCell ref="A38:A48"/>
    <mergeCell ref="C38:C48"/>
    <mergeCell ref="A49:A59"/>
    <mergeCell ref="C49:C59"/>
    <mergeCell ref="A60:A68"/>
    <mergeCell ref="C60:C68"/>
    <mergeCell ref="AD1:AD2"/>
    <mergeCell ref="AE1:AE2"/>
    <mergeCell ref="AF1:AF2"/>
    <mergeCell ref="AG1:AG2"/>
    <mergeCell ref="AH1:AH2"/>
    <mergeCell ref="AA1:AA2"/>
    <mergeCell ref="AB1:AB2"/>
    <mergeCell ref="AC1:AC2"/>
    <mergeCell ref="A1:C1"/>
    <mergeCell ref="D1:J1"/>
    <mergeCell ref="K1:T1"/>
    <mergeCell ref="U1:U2"/>
    <mergeCell ref="V1:V2"/>
    <mergeCell ref="W1:W2"/>
    <mergeCell ref="A2:J2"/>
    <mergeCell ref="K2:T2"/>
    <mergeCell ref="X1:X2"/>
    <mergeCell ref="Y1:Y2"/>
    <mergeCell ref="Z1:Z2"/>
  </mergeCells>
  <conditionalFormatting sqref="T1 T3:T1048576">
    <cfRule type="cellIs" dxfId="33" priority="3" operator="equal">
      <formula>"ATENÇÃO"</formula>
    </cfRule>
  </conditionalFormatting>
  <conditionalFormatting sqref="Z4:AH81">
    <cfRule type="cellIs" dxfId="32" priority="2" operator="greaterThan">
      <formula>0</formula>
    </cfRule>
  </conditionalFormatting>
  <conditionalFormatting sqref="S4:S81">
    <cfRule type="cellIs" dxfId="31" priority="1" operator="lessThan">
      <formula>0</formula>
    </cfRule>
  </conditionalFormatting>
  <pageMargins left="0.511811024" right="0.511811024" top="0.78740157499999996" bottom="0.78740157499999996" header="0.31496062000000002" footer="0.31496062000000002"/>
  <pageSetup paperSize="9" scale="60" orientation="landscape" r:id="rId1"/>
  <colBreaks count="1" manualBreakCount="1">
    <brk id="24" max="1048575"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07A55-3149-475D-9F0E-3F384160E5A5}">
  <dimension ref="A1:AP93"/>
  <sheetViews>
    <sheetView topLeftCell="A34" zoomScale="80" zoomScaleNormal="80" workbookViewId="0">
      <selection activeCell="B45" sqref="B45"/>
    </sheetView>
  </sheetViews>
  <sheetFormatPr defaultColWidth="9.7265625" defaultRowHeight="30.25" customHeight="1" x14ac:dyDescent="0.35"/>
  <cols>
    <col min="1" max="1" width="6.1796875" style="1" customWidth="1"/>
    <col min="2" max="2" width="6.453125" style="1" customWidth="1"/>
    <col min="3" max="3" width="14.7265625" style="1" customWidth="1"/>
    <col min="4" max="4" width="15.54296875" style="3" customWidth="1"/>
    <col min="5" max="5" width="16.1796875" style="1" customWidth="1"/>
    <col min="6" max="6" width="8.54296875" style="1" customWidth="1"/>
    <col min="7" max="7" width="8.453125" style="1" customWidth="1"/>
    <col min="8" max="8" width="8.26953125" style="1" customWidth="1"/>
    <col min="9" max="9" width="12.7265625" style="1" customWidth="1"/>
    <col min="10" max="10" width="13" style="3" customWidth="1"/>
    <col min="11" max="11" width="13.54296875" style="4" bestFit="1" customWidth="1"/>
    <col min="12" max="12" width="17.1796875" style="4" bestFit="1" customWidth="1"/>
    <col min="13" max="13" width="15.81640625" style="4" bestFit="1" customWidth="1"/>
    <col min="14" max="14" width="12.453125" style="4" customWidth="1"/>
    <col min="15" max="15" width="18.1796875" style="4" customWidth="1"/>
    <col min="16" max="17" width="12.453125" style="4" customWidth="1"/>
    <col min="18" max="18" width="16.453125" style="4" bestFit="1" customWidth="1"/>
    <col min="19" max="19" width="13.26953125" style="12" customWidth="1"/>
    <col min="20" max="20" width="12.453125" style="5" customWidth="1"/>
    <col min="21" max="21" width="13.453125" style="6" customWidth="1"/>
    <col min="22" max="22" width="13" style="6" customWidth="1"/>
    <col min="23" max="23" width="13.453125" style="6" customWidth="1"/>
    <col min="24" max="25" width="14.1796875" style="6" customWidth="1"/>
    <col min="26" max="26" width="12.453125" style="6" customWidth="1"/>
    <col min="27" max="27" width="14.81640625" style="6" customWidth="1"/>
    <col min="28" max="28" width="15" style="6" customWidth="1"/>
    <col min="29" max="29" width="14.54296875" style="6" customWidth="1"/>
    <col min="30" max="31" width="13.81640625" style="6" customWidth="1"/>
    <col min="32" max="32" width="13.453125" style="6" customWidth="1"/>
    <col min="33" max="33" width="12.453125" style="2" customWidth="1"/>
    <col min="34" max="34" width="12.453125" style="165" customWidth="1"/>
    <col min="35" max="37" width="13.7265625" style="165" bestFit="1" customWidth="1"/>
    <col min="38" max="41" width="12.453125" style="165" customWidth="1"/>
    <col min="42" max="42" width="13.7265625" style="2" customWidth="1"/>
    <col min="43" max="16384" width="9.7265625" style="2"/>
  </cols>
  <sheetData>
    <row r="1" spans="1:42" ht="40.15" customHeight="1" x14ac:dyDescent="0.35">
      <c r="A1" s="202" t="s">
        <v>52</v>
      </c>
      <c r="B1" s="203"/>
      <c r="C1" s="204"/>
      <c r="D1" s="211" t="s">
        <v>48</v>
      </c>
      <c r="E1" s="212"/>
      <c r="F1" s="212"/>
      <c r="G1" s="212"/>
      <c r="H1" s="212"/>
      <c r="I1" s="212"/>
      <c r="J1" s="213"/>
      <c r="K1" s="201" t="s">
        <v>49</v>
      </c>
      <c r="L1" s="201"/>
      <c r="M1" s="201"/>
      <c r="N1" s="201"/>
      <c r="O1" s="201"/>
      <c r="P1" s="201"/>
      <c r="Q1" s="201"/>
      <c r="R1" s="201"/>
      <c r="S1" s="201"/>
      <c r="T1" s="201"/>
      <c r="U1" s="223" t="s">
        <v>250</v>
      </c>
      <c r="V1" s="223" t="s">
        <v>251</v>
      </c>
      <c r="W1" s="223" t="s">
        <v>252</v>
      </c>
      <c r="X1" s="223" t="s">
        <v>253</v>
      </c>
      <c r="Y1" s="223" t="s">
        <v>254</v>
      </c>
      <c r="Z1" s="223" t="s">
        <v>255</v>
      </c>
      <c r="AA1" s="223" t="s">
        <v>256</v>
      </c>
      <c r="AB1" s="223" t="s">
        <v>257</v>
      </c>
      <c r="AC1" s="223" t="s">
        <v>258</v>
      </c>
      <c r="AD1" s="223" t="s">
        <v>259</v>
      </c>
      <c r="AE1" s="223" t="s">
        <v>260</v>
      </c>
      <c r="AF1" s="223" t="s">
        <v>261</v>
      </c>
      <c r="AG1" s="143" t="s">
        <v>262</v>
      </c>
      <c r="AH1" s="169" t="s">
        <v>330</v>
      </c>
      <c r="AI1" s="217" t="s">
        <v>331</v>
      </c>
      <c r="AJ1" s="217" t="s">
        <v>332</v>
      </c>
      <c r="AK1" s="217" t="s">
        <v>333</v>
      </c>
      <c r="AL1" s="217" t="s">
        <v>334</v>
      </c>
      <c r="AM1" s="217" t="s">
        <v>335</v>
      </c>
      <c r="AN1" s="217" t="s">
        <v>336</v>
      </c>
      <c r="AO1" s="225" t="s">
        <v>337</v>
      </c>
      <c r="AP1" s="217" t="s">
        <v>338</v>
      </c>
    </row>
    <row r="2" spans="1:42" ht="25" customHeight="1" x14ac:dyDescent="0.35">
      <c r="A2" s="211" t="s">
        <v>40</v>
      </c>
      <c r="B2" s="212"/>
      <c r="C2" s="212"/>
      <c r="D2" s="212"/>
      <c r="E2" s="212"/>
      <c r="F2" s="212"/>
      <c r="G2" s="212"/>
      <c r="H2" s="212"/>
      <c r="I2" s="212"/>
      <c r="J2" s="213"/>
      <c r="K2" s="214" t="s">
        <v>62</v>
      </c>
      <c r="L2" s="215"/>
      <c r="M2" s="215"/>
      <c r="N2" s="215"/>
      <c r="O2" s="215"/>
      <c r="P2" s="215"/>
      <c r="Q2" s="215"/>
      <c r="R2" s="215"/>
      <c r="S2" s="215"/>
      <c r="T2" s="216"/>
      <c r="U2" s="224"/>
      <c r="V2" s="224"/>
      <c r="W2" s="224"/>
      <c r="X2" s="224"/>
      <c r="Y2" s="224"/>
      <c r="Z2" s="224"/>
      <c r="AA2" s="224"/>
      <c r="AB2" s="224"/>
      <c r="AC2" s="224"/>
      <c r="AD2" s="224"/>
      <c r="AE2" s="224"/>
      <c r="AF2" s="224"/>
      <c r="AG2" s="144"/>
      <c r="AH2" s="170"/>
      <c r="AI2" s="218"/>
      <c r="AJ2" s="218"/>
      <c r="AK2" s="218"/>
      <c r="AL2" s="218"/>
      <c r="AM2" s="218"/>
      <c r="AN2" s="218"/>
      <c r="AO2" s="226"/>
      <c r="AP2" s="218"/>
    </row>
    <row r="3" spans="1:42" s="3" customFormat="1" ht="30.25" customHeight="1" x14ac:dyDescent="0.25">
      <c r="A3" s="7" t="s">
        <v>3</v>
      </c>
      <c r="B3" s="7" t="s">
        <v>56</v>
      </c>
      <c r="C3" s="7" t="s">
        <v>57</v>
      </c>
      <c r="D3" s="8" t="s">
        <v>58</v>
      </c>
      <c r="E3" s="8" t="s">
        <v>59</v>
      </c>
      <c r="F3" s="8" t="s">
        <v>18</v>
      </c>
      <c r="G3" s="8" t="s">
        <v>19</v>
      </c>
      <c r="H3" s="8" t="s">
        <v>60</v>
      </c>
      <c r="I3" s="8" t="s">
        <v>61</v>
      </c>
      <c r="J3" s="9" t="s">
        <v>50</v>
      </c>
      <c r="K3" s="10" t="s">
        <v>4</v>
      </c>
      <c r="L3" s="52" t="s">
        <v>207</v>
      </c>
      <c r="M3" s="52" t="s">
        <v>208</v>
      </c>
      <c r="N3" s="52" t="s">
        <v>209</v>
      </c>
      <c r="O3" s="52" t="s">
        <v>210</v>
      </c>
      <c r="P3" s="52" t="s">
        <v>211</v>
      </c>
      <c r="Q3" s="52" t="s">
        <v>213</v>
      </c>
      <c r="R3" s="52" t="s">
        <v>214</v>
      </c>
      <c r="S3" s="11" t="s">
        <v>0</v>
      </c>
      <c r="T3" s="7" t="s">
        <v>2</v>
      </c>
      <c r="U3" s="137">
        <v>45512</v>
      </c>
      <c r="V3" s="137">
        <v>45525</v>
      </c>
      <c r="W3" s="137">
        <v>45527</v>
      </c>
      <c r="X3" s="137">
        <v>45547</v>
      </c>
      <c r="Y3" s="137">
        <v>45574</v>
      </c>
      <c r="Z3" s="137">
        <v>45581</v>
      </c>
      <c r="AA3" s="137">
        <v>45586</v>
      </c>
      <c r="AB3" s="148" t="s">
        <v>1</v>
      </c>
      <c r="AC3" s="148" t="s">
        <v>1</v>
      </c>
      <c r="AD3" s="137">
        <v>45586</v>
      </c>
      <c r="AE3" s="137">
        <v>45586</v>
      </c>
      <c r="AF3" s="137">
        <v>45586</v>
      </c>
      <c r="AG3" s="137">
        <v>45596</v>
      </c>
      <c r="AH3" s="166">
        <v>45610</v>
      </c>
      <c r="AI3" s="166">
        <v>45615</v>
      </c>
      <c r="AJ3" s="166">
        <v>45784</v>
      </c>
      <c r="AK3" s="166">
        <v>45784</v>
      </c>
      <c r="AL3" s="166">
        <v>45784</v>
      </c>
      <c r="AM3" s="166">
        <v>45784</v>
      </c>
      <c r="AN3" s="166">
        <v>45784</v>
      </c>
      <c r="AO3" s="166">
        <v>45784</v>
      </c>
      <c r="AP3" s="166">
        <v>45784</v>
      </c>
    </row>
    <row r="4" spans="1:42" ht="30.25" customHeight="1" x14ac:dyDescent="0.35">
      <c r="A4" s="37">
        <v>1</v>
      </c>
      <c r="B4" s="37">
        <v>1</v>
      </c>
      <c r="C4" s="35" t="s">
        <v>63</v>
      </c>
      <c r="D4" s="34" t="s">
        <v>64</v>
      </c>
      <c r="E4" s="35" t="s">
        <v>65</v>
      </c>
      <c r="F4" s="35" t="s">
        <v>20</v>
      </c>
      <c r="G4" s="35" t="s">
        <v>66</v>
      </c>
      <c r="H4" s="35" t="s">
        <v>5</v>
      </c>
      <c r="I4" s="35" t="s">
        <v>6</v>
      </c>
      <c r="J4" s="36">
        <v>1670</v>
      </c>
      <c r="K4" s="27">
        <f>0</f>
        <v>0</v>
      </c>
      <c r="L4" s="127">
        <f t="shared" ref="L4:L35" si="0">IF(SUM(U4:AR4)&gt;K4+N4,K4+N4,SUM(U4:AR4))</f>
        <v>0</v>
      </c>
      <c r="M4" s="127">
        <f t="shared" ref="M4:M35" si="1">(SUM(U4:AR4))</f>
        <v>0</v>
      </c>
      <c r="N4" s="128"/>
      <c r="O4" s="129">
        <f>ROUND(IF(K4*0.25-0.5&lt;0,0,K4*0.25-0.5),0)-R4-P4</f>
        <v>0</v>
      </c>
      <c r="P4" s="128"/>
      <c r="Q4" s="128"/>
      <c r="R4" s="128"/>
      <c r="S4" s="26">
        <f>K4-SUM(U4:AP4)+N4</f>
        <v>0</v>
      </c>
      <c r="T4" s="25" t="str">
        <f>IF(S4&lt;0,"ATENÇÃO","OK")</f>
        <v>OK</v>
      </c>
      <c r="U4" s="138"/>
      <c r="V4" s="138"/>
      <c r="W4" s="138"/>
      <c r="X4" s="139"/>
      <c r="Y4" s="139"/>
      <c r="Z4" s="139"/>
      <c r="AA4" s="138"/>
      <c r="AB4" s="138"/>
      <c r="AC4" s="138"/>
      <c r="AD4" s="138"/>
      <c r="AE4" s="138"/>
      <c r="AF4" s="138"/>
      <c r="AG4" s="138"/>
      <c r="AH4" s="110"/>
      <c r="AI4" s="110"/>
      <c r="AJ4" s="110"/>
      <c r="AK4" s="110"/>
      <c r="AL4" s="110"/>
      <c r="AM4" s="110"/>
      <c r="AN4" s="110"/>
      <c r="AO4" s="110"/>
      <c r="AP4" s="110"/>
    </row>
    <row r="5" spans="1:42" ht="30.25" customHeight="1" x14ac:dyDescent="0.35">
      <c r="A5" s="44">
        <v>2</v>
      </c>
      <c r="B5" s="44">
        <v>2</v>
      </c>
      <c r="C5" s="45" t="s">
        <v>67</v>
      </c>
      <c r="D5" s="46" t="s">
        <v>68</v>
      </c>
      <c r="E5" s="45" t="s">
        <v>69</v>
      </c>
      <c r="F5" s="45" t="s">
        <v>20</v>
      </c>
      <c r="G5" s="45" t="s">
        <v>66</v>
      </c>
      <c r="H5" s="45" t="s">
        <v>5</v>
      </c>
      <c r="I5" s="45" t="s">
        <v>6</v>
      </c>
      <c r="J5" s="47">
        <v>1651.67</v>
      </c>
      <c r="K5" s="27">
        <f>3</f>
        <v>3</v>
      </c>
      <c r="L5" s="127">
        <f t="shared" si="0"/>
        <v>3</v>
      </c>
      <c r="M5" s="127">
        <f t="shared" si="1"/>
        <v>3</v>
      </c>
      <c r="N5" s="128"/>
      <c r="O5" s="129">
        <f t="shared" ref="O5:O68" si="2">ROUND(IF(K5*0.25-0.5&lt;0,0,K5*0.25-0.5),0)-R5-P5</f>
        <v>0</v>
      </c>
      <c r="P5" s="128"/>
      <c r="Q5" s="128"/>
      <c r="R5" s="128"/>
      <c r="S5" s="26">
        <f t="shared" ref="S5:S68" si="3">K5-SUM(U5:AP5)+N5</f>
        <v>0</v>
      </c>
      <c r="T5" s="25" t="str">
        <f t="shared" ref="T5:T68" si="4">IF(S5&lt;0,"ATENÇÃO","OK")</f>
        <v>OK</v>
      </c>
      <c r="U5" s="138"/>
      <c r="V5" s="138"/>
      <c r="W5" s="138"/>
      <c r="X5" s="141">
        <v>1</v>
      </c>
      <c r="Y5" s="139"/>
      <c r="Z5" s="139"/>
      <c r="AA5" s="138"/>
      <c r="AB5" s="138"/>
      <c r="AC5" s="138"/>
      <c r="AD5" s="138"/>
      <c r="AE5" s="138"/>
      <c r="AF5" s="138"/>
      <c r="AG5" s="138"/>
      <c r="AH5" s="110"/>
      <c r="AI5" s="110"/>
      <c r="AJ5" s="110">
        <v>2</v>
      </c>
      <c r="AK5" s="110"/>
      <c r="AL5" s="110"/>
      <c r="AM5" s="110"/>
      <c r="AN5" s="110"/>
      <c r="AO5" s="110"/>
      <c r="AP5" s="110"/>
    </row>
    <row r="6" spans="1:42" ht="30.25" customHeight="1" x14ac:dyDescent="0.35">
      <c r="A6" s="37">
        <v>3</v>
      </c>
      <c r="B6" s="37">
        <v>3</v>
      </c>
      <c r="C6" s="35" t="s">
        <v>63</v>
      </c>
      <c r="D6" s="34" t="s">
        <v>70</v>
      </c>
      <c r="E6" s="35" t="s">
        <v>71</v>
      </c>
      <c r="F6" s="35" t="s">
        <v>20</v>
      </c>
      <c r="G6" s="35" t="s">
        <v>72</v>
      </c>
      <c r="H6" s="35" t="s">
        <v>5</v>
      </c>
      <c r="I6" s="35" t="s">
        <v>6</v>
      </c>
      <c r="J6" s="36">
        <v>1802</v>
      </c>
      <c r="K6" s="27">
        <f>2</f>
        <v>2</v>
      </c>
      <c r="L6" s="127">
        <f t="shared" si="0"/>
        <v>2</v>
      </c>
      <c r="M6" s="127">
        <f t="shared" si="1"/>
        <v>2</v>
      </c>
      <c r="N6" s="128"/>
      <c r="O6" s="129">
        <f t="shared" si="2"/>
        <v>0</v>
      </c>
      <c r="P6" s="128"/>
      <c r="Q6" s="128"/>
      <c r="R6" s="128"/>
      <c r="S6" s="26">
        <f t="shared" si="3"/>
        <v>0</v>
      </c>
      <c r="T6" s="25" t="str">
        <f t="shared" si="4"/>
        <v>OK</v>
      </c>
      <c r="U6" s="138"/>
      <c r="V6" s="138"/>
      <c r="W6" s="138"/>
      <c r="X6" s="139"/>
      <c r="Y6" s="139"/>
      <c r="Z6" s="139"/>
      <c r="AA6" s="138"/>
      <c r="AB6" s="138"/>
      <c r="AC6" s="138"/>
      <c r="AD6" s="138"/>
      <c r="AE6" s="138"/>
      <c r="AF6" s="138"/>
      <c r="AG6" s="138"/>
      <c r="AH6" s="110"/>
      <c r="AI6" s="110"/>
      <c r="AJ6" s="110"/>
      <c r="AK6" s="110">
        <v>2</v>
      </c>
      <c r="AL6" s="110"/>
      <c r="AM6" s="110"/>
      <c r="AN6" s="110"/>
      <c r="AO6" s="110"/>
      <c r="AP6" s="110"/>
    </row>
    <row r="7" spans="1:42" ht="30.25" customHeight="1" x14ac:dyDescent="0.35">
      <c r="A7" s="44">
        <v>4</v>
      </c>
      <c r="B7" s="44">
        <v>4</v>
      </c>
      <c r="C7" s="45" t="s">
        <v>67</v>
      </c>
      <c r="D7" s="46" t="s">
        <v>73</v>
      </c>
      <c r="E7" s="45" t="s">
        <v>74</v>
      </c>
      <c r="F7" s="45" t="s">
        <v>20</v>
      </c>
      <c r="G7" s="45" t="s">
        <v>75</v>
      </c>
      <c r="H7" s="45" t="s">
        <v>5</v>
      </c>
      <c r="I7" s="45" t="s">
        <v>6</v>
      </c>
      <c r="J7" s="47">
        <v>1800</v>
      </c>
      <c r="K7" s="27">
        <f>4</f>
        <v>4</v>
      </c>
      <c r="L7" s="127">
        <f t="shared" si="0"/>
        <v>3</v>
      </c>
      <c r="M7" s="127">
        <f t="shared" si="1"/>
        <v>3</v>
      </c>
      <c r="N7" s="128">
        <f>-1</f>
        <v>-1</v>
      </c>
      <c r="O7" s="129">
        <f t="shared" si="2"/>
        <v>1</v>
      </c>
      <c r="P7" s="128"/>
      <c r="Q7" s="128"/>
      <c r="R7" s="128"/>
      <c r="S7" s="26">
        <f t="shared" si="3"/>
        <v>0</v>
      </c>
      <c r="T7" s="25" t="str">
        <f t="shared" si="4"/>
        <v>OK</v>
      </c>
      <c r="U7" s="138"/>
      <c r="V7" s="138"/>
      <c r="W7" s="138"/>
      <c r="X7" s="139"/>
      <c r="Y7" s="139"/>
      <c r="Z7" s="139"/>
      <c r="AA7" s="138"/>
      <c r="AB7" s="138"/>
      <c r="AC7" s="138"/>
      <c r="AD7" s="138"/>
      <c r="AE7" s="138"/>
      <c r="AF7" s="138"/>
      <c r="AG7" s="138"/>
      <c r="AH7" s="110"/>
      <c r="AI7" s="110"/>
      <c r="AJ7" s="110">
        <v>3</v>
      </c>
      <c r="AK7" s="110"/>
      <c r="AL7" s="110"/>
      <c r="AM7" s="110"/>
      <c r="AN7" s="110"/>
      <c r="AO7" s="110"/>
      <c r="AP7" s="110"/>
    </row>
    <row r="8" spans="1:42" ht="30.25" customHeight="1" x14ac:dyDescent="0.35">
      <c r="A8" s="37">
        <v>5</v>
      </c>
      <c r="B8" s="37">
        <v>5</v>
      </c>
      <c r="C8" s="35" t="s">
        <v>63</v>
      </c>
      <c r="D8" s="34" t="s">
        <v>76</v>
      </c>
      <c r="E8" s="35" t="s">
        <v>77</v>
      </c>
      <c r="F8" s="35" t="s">
        <v>20</v>
      </c>
      <c r="G8" s="35" t="s">
        <v>78</v>
      </c>
      <c r="H8" s="35" t="s">
        <v>5</v>
      </c>
      <c r="I8" s="35" t="s">
        <v>6</v>
      </c>
      <c r="J8" s="36">
        <v>2686</v>
      </c>
      <c r="K8" s="27">
        <f>2</f>
        <v>2</v>
      </c>
      <c r="L8" s="127">
        <f t="shared" si="0"/>
        <v>1</v>
      </c>
      <c r="M8" s="127">
        <f t="shared" si="1"/>
        <v>1</v>
      </c>
      <c r="N8" s="128"/>
      <c r="O8" s="129">
        <f t="shared" si="2"/>
        <v>0</v>
      </c>
      <c r="P8" s="128"/>
      <c r="Q8" s="128"/>
      <c r="R8" s="128"/>
      <c r="S8" s="26">
        <f t="shared" si="3"/>
        <v>1</v>
      </c>
      <c r="T8" s="25" t="str">
        <f t="shared" si="4"/>
        <v>OK</v>
      </c>
      <c r="U8" s="138"/>
      <c r="V8" s="138"/>
      <c r="W8" s="138"/>
      <c r="X8" s="139"/>
      <c r="Y8" s="139"/>
      <c r="Z8" s="139"/>
      <c r="AA8" s="140">
        <v>1</v>
      </c>
      <c r="AB8" s="138"/>
      <c r="AC8" s="138"/>
      <c r="AD8" s="138"/>
      <c r="AE8" s="138"/>
      <c r="AF8" s="138"/>
      <c r="AG8" s="138"/>
      <c r="AH8" s="110"/>
      <c r="AI8" s="110"/>
      <c r="AJ8" s="110"/>
      <c r="AK8" s="110"/>
      <c r="AL8" s="110"/>
      <c r="AM8" s="110"/>
      <c r="AN8" s="110"/>
      <c r="AO8" s="110"/>
      <c r="AP8" s="110"/>
    </row>
    <row r="9" spans="1:42" ht="61.9" customHeight="1" x14ac:dyDescent="0.35">
      <c r="A9" s="80">
        <v>6</v>
      </c>
      <c r="B9" s="80">
        <v>6</v>
      </c>
      <c r="C9" s="81" t="s">
        <v>67</v>
      </c>
      <c r="D9" s="82" t="s">
        <v>79</v>
      </c>
      <c r="E9" s="87" t="s">
        <v>182</v>
      </c>
      <c r="F9" s="81" t="s">
        <v>20</v>
      </c>
      <c r="G9" s="81" t="s">
        <v>21</v>
      </c>
      <c r="H9" s="81" t="s">
        <v>5</v>
      </c>
      <c r="I9" s="81" t="s">
        <v>6</v>
      </c>
      <c r="J9" s="83">
        <v>2821.51</v>
      </c>
      <c r="K9" s="27">
        <f>2</f>
        <v>2</v>
      </c>
      <c r="L9" s="127">
        <f t="shared" si="0"/>
        <v>2</v>
      </c>
      <c r="M9" s="127">
        <f t="shared" si="1"/>
        <v>2</v>
      </c>
      <c r="N9" s="128"/>
      <c r="O9" s="129">
        <f t="shared" si="2"/>
        <v>0</v>
      </c>
      <c r="P9" s="128"/>
      <c r="Q9" s="128"/>
      <c r="R9" s="128"/>
      <c r="S9" s="26">
        <f t="shared" si="3"/>
        <v>0</v>
      </c>
      <c r="T9" s="25" t="str">
        <f t="shared" si="4"/>
        <v>OK</v>
      </c>
      <c r="U9" s="138"/>
      <c r="V9" s="138"/>
      <c r="W9" s="138"/>
      <c r="X9" s="139"/>
      <c r="Y9" s="139"/>
      <c r="Z9" s="139"/>
      <c r="AA9" s="138"/>
      <c r="AB9" s="138"/>
      <c r="AC9" s="138"/>
      <c r="AD9" s="138"/>
      <c r="AE9" s="138"/>
      <c r="AF9" s="138"/>
      <c r="AG9" s="138"/>
      <c r="AH9" s="110"/>
      <c r="AI9" s="110"/>
      <c r="AJ9" s="110">
        <v>2</v>
      </c>
      <c r="AK9" s="110"/>
      <c r="AL9" s="110"/>
      <c r="AM9" s="110"/>
      <c r="AN9" s="110"/>
      <c r="AO9" s="110"/>
      <c r="AP9" s="110"/>
    </row>
    <row r="10" spans="1:42" ht="30.25" customHeight="1" x14ac:dyDescent="0.35">
      <c r="A10" s="37">
        <v>7</v>
      </c>
      <c r="B10" s="37">
        <v>7</v>
      </c>
      <c r="C10" s="35" t="s">
        <v>63</v>
      </c>
      <c r="D10" s="34" t="s">
        <v>80</v>
      </c>
      <c r="E10" s="35" t="s">
        <v>81</v>
      </c>
      <c r="F10" s="35" t="s">
        <v>20</v>
      </c>
      <c r="G10" s="35" t="s">
        <v>21</v>
      </c>
      <c r="H10" s="35" t="s">
        <v>5</v>
      </c>
      <c r="I10" s="35" t="s">
        <v>6</v>
      </c>
      <c r="J10" s="36">
        <v>7446</v>
      </c>
      <c r="K10" s="27">
        <f>0</f>
        <v>0</v>
      </c>
      <c r="L10" s="127">
        <f t="shared" si="0"/>
        <v>0</v>
      </c>
      <c r="M10" s="127">
        <f t="shared" si="1"/>
        <v>0</v>
      </c>
      <c r="N10" s="128"/>
      <c r="O10" s="129">
        <f t="shared" si="2"/>
        <v>0</v>
      </c>
      <c r="P10" s="128"/>
      <c r="Q10" s="128"/>
      <c r="R10" s="128"/>
      <c r="S10" s="26">
        <f t="shared" si="3"/>
        <v>0</v>
      </c>
      <c r="T10" s="25" t="str">
        <f t="shared" si="4"/>
        <v>OK</v>
      </c>
      <c r="U10" s="138"/>
      <c r="V10" s="138"/>
      <c r="W10" s="138"/>
      <c r="X10" s="139"/>
      <c r="Y10" s="139"/>
      <c r="Z10" s="139"/>
      <c r="AA10" s="138"/>
      <c r="AB10" s="138"/>
      <c r="AC10" s="138"/>
      <c r="AD10" s="138"/>
      <c r="AE10" s="138"/>
      <c r="AF10" s="138"/>
      <c r="AG10" s="138"/>
      <c r="AH10" s="110"/>
      <c r="AI10" s="110"/>
      <c r="AJ10" s="110"/>
      <c r="AK10" s="110"/>
      <c r="AL10" s="110"/>
      <c r="AM10" s="110"/>
      <c r="AN10" s="110"/>
      <c r="AO10" s="110"/>
      <c r="AP10" s="110"/>
    </row>
    <row r="11" spans="1:42" ht="30.25" customHeight="1" x14ac:dyDescent="0.35">
      <c r="A11" s="44">
        <v>8</v>
      </c>
      <c r="B11" s="44">
        <v>8</v>
      </c>
      <c r="C11" s="45" t="s">
        <v>63</v>
      </c>
      <c r="D11" s="46" t="s">
        <v>82</v>
      </c>
      <c r="E11" s="45" t="s">
        <v>81</v>
      </c>
      <c r="F11" s="45" t="s">
        <v>20</v>
      </c>
      <c r="G11" s="45" t="s">
        <v>21</v>
      </c>
      <c r="H11" s="45" t="s">
        <v>5</v>
      </c>
      <c r="I11" s="45" t="s">
        <v>6</v>
      </c>
      <c r="J11" s="47">
        <v>7375</v>
      </c>
      <c r="K11" s="27">
        <f>0</f>
        <v>0</v>
      </c>
      <c r="L11" s="127">
        <f t="shared" si="0"/>
        <v>0</v>
      </c>
      <c r="M11" s="127">
        <f t="shared" si="1"/>
        <v>0</v>
      </c>
      <c r="N11" s="128"/>
      <c r="O11" s="129">
        <f t="shared" si="2"/>
        <v>0</v>
      </c>
      <c r="P11" s="128"/>
      <c r="Q11" s="128"/>
      <c r="R11" s="128"/>
      <c r="S11" s="26">
        <f t="shared" si="3"/>
        <v>0</v>
      </c>
      <c r="T11" s="25" t="str">
        <f t="shared" si="4"/>
        <v>OK</v>
      </c>
      <c r="U11" s="138"/>
      <c r="V11" s="138"/>
      <c r="W11" s="138"/>
      <c r="X11" s="139"/>
      <c r="Y11" s="139"/>
      <c r="Z11" s="139"/>
      <c r="AA11" s="138"/>
      <c r="AB11" s="138"/>
      <c r="AC11" s="138"/>
      <c r="AD11" s="138"/>
      <c r="AE11" s="138"/>
      <c r="AF11" s="138"/>
      <c r="AG11" s="138"/>
      <c r="AH11" s="110"/>
      <c r="AI11" s="110"/>
      <c r="AJ11" s="110"/>
      <c r="AK11" s="110"/>
      <c r="AL11" s="110"/>
      <c r="AM11" s="110"/>
      <c r="AN11" s="110"/>
      <c r="AO11" s="110"/>
      <c r="AP11" s="110"/>
    </row>
    <row r="12" spans="1:42" ht="30.25" customHeight="1" x14ac:dyDescent="0.35">
      <c r="A12" s="37">
        <v>9</v>
      </c>
      <c r="B12" s="37">
        <v>9</v>
      </c>
      <c r="C12" s="35" t="s">
        <v>83</v>
      </c>
      <c r="D12" s="34" t="s">
        <v>84</v>
      </c>
      <c r="E12" s="35" t="s">
        <v>85</v>
      </c>
      <c r="F12" s="35" t="s">
        <v>20</v>
      </c>
      <c r="G12" s="35" t="s">
        <v>22</v>
      </c>
      <c r="H12" s="35" t="s">
        <v>5</v>
      </c>
      <c r="I12" s="35" t="s">
        <v>6</v>
      </c>
      <c r="J12" s="36">
        <v>6213.51</v>
      </c>
      <c r="K12" s="27">
        <f>0</f>
        <v>0</v>
      </c>
      <c r="L12" s="127">
        <f t="shared" si="0"/>
        <v>0</v>
      </c>
      <c r="M12" s="127">
        <f t="shared" si="1"/>
        <v>0</v>
      </c>
      <c r="N12" s="128"/>
      <c r="O12" s="129">
        <f t="shared" si="2"/>
        <v>0</v>
      </c>
      <c r="P12" s="128"/>
      <c r="Q12" s="128"/>
      <c r="R12" s="128"/>
      <c r="S12" s="26">
        <f t="shared" si="3"/>
        <v>0</v>
      </c>
      <c r="T12" s="25" t="str">
        <f t="shared" si="4"/>
        <v>OK</v>
      </c>
      <c r="U12" s="138"/>
      <c r="V12" s="138"/>
      <c r="W12" s="138"/>
      <c r="X12" s="139"/>
      <c r="Y12" s="139"/>
      <c r="Z12" s="139"/>
      <c r="AA12" s="138"/>
      <c r="AB12" s="138"/>
      <c r="AC12" s="138"/>
      <c r="AD12" s="138"/>
      <c r="AE12" s="138"/>
      <c r="AF12" s="138"/>
      <c r="AG12" s="138"/>
      <c r="AH12" s="110"/>
      <c r="AI12" s="110"/>
      <c r="AJ12" s="110"/>
      <c r="AK12" s="110"/>
      <c r="AL12" s="110"/>
      <c r="AM12" s="110"/>
      <c r="AN12" s="110"/>
      <c r="AO12" s="110"/>
      <c r="AP12" s="110"/>
    </row>
    <row r="13" spans="1:42" ht="30.25" customHeight="1" x14ac:dyDescent="0.35">
      <c r="A13" s="44">
        <v>10</v>
      </c>
      <c r="B13" s="44">
        <v>10</v>
      </c>
      <c r="C13" s="45" t="s">
        <v>63</v>
      </c>
      <c r="D13" s="46" t="s">
        <v>86</v>
      </c>
      <c r="E13" s="45" t="s">
        <v>87</v>
      </c>
      <c r="F13" s="45" t="s">
        <v>20</v>
      </c>
      <c r="G13" s="45" t="s">
        <v>22</v>
      </c>
      <c r="H13" s="45" t="s">
        <v>5</v>
      </c>
      <c r="I13" s="45" t="s">
        <v>6</v>
      </c>
      <c r="J13" s="47">
        <v>6689.61</v>
      </c>
      <c r="K13" s="27">
        <f>2</f>
        <v>2</v>
      </c>
      <c r="L13" s="127">
        <f t="shared" si="0"/>
        <v>0</v>
      </c>
      <c r="M13" s="127">
        <f t="shared" si="1"/>
        <v>0</v>
      </c>
      <c r="N13" s="128"/>
      <c r="O13" s="129">
        <f t="shared" si="2"/>
        <v>0</v>
      </c>
      <c r="P13" s="128"/>
      <c r="Q13" s="128"/>
      <c r="R13" s="128"/>
      <c r="S13" s="26">
        <f t="shared" si="3"/>
        <v>2</v>
      </c>
      <c r="T13" s="25" t="str">
        <f t="shared" si="4"/>
        <v>OK</v>
      </c>
      <c r="U13" s="138"/>
      <c r="V13" s="138"/>
      <c r="W13" s="138"/>
      <c r="X13" s="139"/>
      <c r="Y13" s="139"/>
      <c r="Z13" s="139"/>
      <c r="AA13" s="138"/>
      <c r="AB13" s="138"/>
      <c r="AC13" s="138"/>
      <c r="AD13" s="138"/>
      <c r="AE13" s="138"/>
      <c r="AF13" s="138"/>
      <c r="AG13" s="138"/>
      <c r="AH13" s="110"/>
      <c r="AI13" s="110"/>
      <c r="AJ13" s="110"/>
      <c r="AK13" s="110"/>
      <c r="AL13" s="110"/>
      <c r="AM13" s="110"/>
      <c r="AN13" s="110"/>
      <c r="AO13" s="110"/>
      <c r="AP13" s="110"/>
    </row>
    <row r="14" spans="1:42" ht="30.25" customHeight="1" x14ac:dyDescent="0.35">
      <c r="A14" s="84">
        <v>11</v>
      </c>
      <c r="B14" s="84">
        <v>11</v>
      </c>
      <c r="C14" s="59" t="s">
        <v>83</v>
      </c>
      <c r="D14" s="85" t="s">
        <v>88</v>
      </c>
      <c r="E14" s="59" t="s">
        <v>89</v>
      </c>
      <c r="F14" s="84" t="s">
        <v>20</v>
      </c>
      <c r="G14" s="59" t="s">
        <v>22</v>
      </c>
      <c r="H14" s="84" t="s">
        <v>5</v>
      </c>
      <c r="I14" s="59" t="s">
        <v>6</v>
      </c>
      <c r="J14" s="86">
        <v>3445.06</v>
      </c>
      <c r="K14" s="27">
        <f>2</f>
        <v>2</v>
      </c>
      <c r="L14" s="127">
        <f t="shared" si="0"/>
        <v>3</v>
      </c>
      <c r="M14" s="127">
        <f t="shared" si="1"/>
        <v>3</v>
      </c>
      <c r="N14" s="128">
        <v>3</v>
      </c>
      <c r="O14" s="129">
        <f t="shared" si="2"/>
        <v>0</v>
      </c>
      <c r="P14" s="128"/>
      <c r="Q14" s="128"/>
      <c r="R14" s="128"/>
      <c r="S14" s="26">
        <f t="shared" si="3"/>
        <v>2</v>
      </c>
      <c r="T14" s="25" t="str">
        <f t="shared" si="4"/>
        <v>OK</v>
      </c>
      <c r="U14" s="138"/>
      <c r="V14" s="138"/>
      <c r="W14" s="138"/>
      <c r="X14" s="139"/>
      <c r="Y14" s="139"/>
      <c r="Z14" s="139"/>
      <c r="AA14" s="138"/>
      <c r="AB14" s="140">
        <v>1</v>
      </c>
      <c r="AC14" s="138"/>
      <c r="AD14" s="138"/>
      <c r="AE14" s="138"/>
      <c r="AF14" s="138"/>
      <c r="AG14" s="138"/>
      <c r="AH14" s="110"/>
      <c r="AI14" s="110"/>
      <c r="AJ14" s="110"/>
      <c r="AK14" s="110"/>
      <c r="AL14" s="110">
        <v>2</v>
      </c>
      <c r="AM14" s="110"/>
      <c r="AN14" s="110"/>
      <c r="AO14" s="110"/>
      <c r="AP14" s="110"/>
    </row>
    <row r="15" spans="1:42" ht="30.25" customHeight="1" x14ac:dyDescent="0.35">
      <c r="A15" s="44">
        <v>12</v>
      </c>
      <c r="B15" s="44">
        <v>12</v>
      </c>
      <c r="C15" s="45" t="s">
        <v>83</v>
      </c>
      <c r="D15" s="46" t="s">
        <v>90</v>
      </c>
      <c r="E15" s="45" t="s">
        <v>91</v>
      </c>
      <c r="F15" s="44" t="s">
        <v>20</v>
      </c>
      <c r="G15" s="44" t="s">
        <v>22</v>
      </c>
      <c r="H15" s="44" t="s">
        <v>5</v>
      </c>
      <c r="I15" s="45" t="s">
        <v>6</v>
      </c>
      <c r="J15" s="47">
        <v>3617.48</v>
      </c>
      <c r="K15" s="27">
        <f>4</f>
        <v>4</v>
      </c>
      <c r="L15" s="127">
        <f t="shared" si="0"/>
        <v>1</v>
      </c>
      <c r="M15" s="127">
        <f t="shared" si="1"/>
        <v>1</v>
      </c>
      <c r="N15" s="128">
        <v>-3</v>
      </c>
      <c r="O15" s="129">
        <f t="shared" si="2"/>
        <v>1</v>
      </c>
      <c r="P15" s="128"/>
      <c r="Q15" s="128"/>
      <c r="R15" s="128"/>
      <c r="S15" s="26">
        <f t="shared" si="3"/>
        <v>0</v>
      </c>
      <c r="T15" s="25" t="str">
        <f t="shared" si="4"/>
        <v>OK</v>
      </c>
      <c r="U15" s="138"/>
      <c r="V15" s="138"/>
      <c r="W15" s="138"/>
      <c r="X15" s="139"/>
      <c r="Y15" s="139"/>
      <c r="Z15" s="139"/>
      <c r="AA15" s="138"/>
      <c r="AB15" s="140">
        <v>1</v>
      </c>
      <c r="AC15" s="138"/>
      <c r="AD15" s="138"/>
      <c r="AE15" s="138"/>
      <c r="AF15" s="138"/>
      <c r="AG15" s="138"/>
      <c r="AH15" s="110"/>
      <c r="AI15" s="110"/>
      <c r="AJ15" s="110"/>
      <c r="AK15" s="110"/>
      <c r="AL15" s="110"/>
      <c r="AM15" s="110"/>
      <c r="AN15" s="110"/>
      <c r="AO15" s="110"/>
      <c r="AP15" s="110"/>
    </row>
    <row r="16" spans="1:42" ht="30.25" customHeight="1" x14ac:dyDescent="0.35">
      <c r="A16" s="37">
        <v>13</v>
      </c>
      <c r="B16" s="37">
        <v>13</v>
      </c>
      <c r="C16" s="35" t="s">
        <v>92</v>
      </c>
      <c r="D16" s="34" t="s">
        <v>93</v>
      </c>
      <c r="E16" s="35" t="s">
        <v>94</v>
      </c>
      <c r="F16" s="37" t="s">
        <v>20</v>
      </c>
      <c r="G16" s="37" t="s">
        <v>22</v>
      </c>
      <c r="H16" s="37" t="s">
        <v>5</v>
      </c>
      <c r="I16" s="35" t="s">
        <v>6</v>
      </c>
      <c r="J16" s="36">
        <v>7453.33</v>
      </c>
      <c r="K16" s="27">
        <f>0</f>
        <v>0</v>
      </c>
      <c r="L16" s="127">
        <f t="shared" si="0"/>
        <v>0</v>
      </c>
      <c r="M16" s="127">
        <f t="shared" si="1"/>
        <v>0</v>
      </c>
      <c r="N16" s="128"/>
      <c r="O16" s="129">
        <f t="shared" si="2"/>
        <v>0</v>
      </c>
      <c r="P16" s="128"/>
      <c r="Q16" s="128"/>
      <c r="R16" s="128"/>
      <c r="S16" s="26">
        <f t="shared" si="3"/>
        <v>0</v>
      </c>
      <c r="T16" s="25" t="str">
        <f t="shared" si="4"/>
        <v>OK</v>
      </c>
      <c r="U16" s="138"/>
      <c r="V16" s="138"/>
      <c r="W16" s="138"/>
      <c r="X16" s="139"/>
      <c r="Y16" s="139"/>
      <c r="Z16" s="139"/>
      <c r="AA16" s="138"/>
      <c r="AB16" s="138"/>
      <c r="AC16" s="138"/>
      <c r="AD16" s="138"/>
      <c r="AE16" s="138"/>
      <c r="AF16" s="138"/>
      <c r="AG16" s="138"/>
      <c r="AH16" s="110"/>
      <c r="AI16" s="110"/>
      <c r="AJ16" s="110"/>
      <c r="AK16" s="110"/>
      <c r="AL16" s="110"/>
      <c r="AM16" s="110"/>
      <c r="AN16" s="110"/>
      <c r="AO16" s="110"/>
      <c r="AP16" s="110"/>
    </row>
    <row r="17" spans="1:42" ht="30.25" customHeight="1" x14ac:dyDescent="0.35">
      <c r="A17" s="44">
        <v>14</v>
      </c>
      <c r="B17" s="44">
        <v>14</v>
      </c>
      <c r="C17" s="45" t="s">
        <v>92</v>
      </c>
      <c r="D17" s="46" t="s">
        <v>95</v>
      </c>
      <c r="E17" s="45" t="s">
        <v>94</v>
      </c>
      <c r="F17" s="45" t="s">
        <v>20</v>
      </c>
      <c r="G17" s="45" t="s">
        <v>22</v>
      </c>
      <c r="H17" s="45" t="s">
        <v>5</v>
      </c>
      <c r="I17" s="45" t="s">
        <v>6</v>
      </c>
      <c r="J17" s="47">
        <v>9561.2000000000007</v>
      </c>
      <c r="K17" s="27">
        <f>1</f>
        <v>1</v>
      </c>
      <c r="L17" s="127">
        <f t="shared" si="0"/>
        <v>0</v>
      </c>
      <c r="M17" s="127">
        <f t="shared" si="1"/>
        <v>0</v>
      </c>
      <c r="N17" s="128"/>
      <c r="O17" s="129">
        <f t="shared" si="2"/>
        <v>0</v>
      </c>
      <c r="P17" s="128"/>
      <c r="Q17" s="128"/>
      <c r="R17" s="128"/>
      <c r="S17" s="26">
        <f t="shared" si="3"/>
        <v>1</v>
      </c>
      <c r="T17" s="25" t="str">
        <f t="shared" si="4"/>
        <v>OK</v>
      </c>
      <c r="U17" s="138"/>
      <c r="V17" s="138"/>
      <c r="W17" s="138"/>
      <c r="X17" s="139"/>
      <c r="Y17" s="139"/>
      <c r="Z17" s="139"/>
      <c r="AA17" s="138"/>
      <c r="AB17" s="138"/>
      <c r="AC17" s="138"/>
      <c r="AD17" s="138"/>
      <c r="AE17" s="138"/>
      <c r="AF17" s="138"/>
      <c r="AG17" s="138"/>
      <c r="AH17" s="110"/>
      <c r="AI17" s="110"/>
      <c r="AJ17" s="110"/>
      <c r="AK17" s="110"/>
      <c r="AL17" s="110"/>
      <c r="AM17" s="110"/>
      <c r="AN17" s="110"/>
      <c r="AO17" s="110"/>
      <c r="AP17" s="110"/>
    </row>
    <row r="18" spans="1:42" ht="30.25" customHeight="1" x14ac:dyDescent="0.35">
      <c r="A18" s="37">
        <v>15</v>
      </c>
      <c r="B18" s="37">
        <v>15</v>
      </c>
      <c r="C18" s="35" t="s">
        <v>63</v>
      </c>
      <c r="D18" s="34" t="s">
        <v>96</v>
      </c>
      <c r="E18" s="35" t="s">
        <v>97</v>
      </c>
      <c r="F18" s="35" t="s">
        <v>20</v>
      </c>
      <c r="G18" s="35" t="s">
        <v>31</v>
      </c>
      <c r="H18" s="35" t="s">
        <v>5</v>
      </c>
      <c r="I18" s="35" t="s">
        <v>6</v>
      </c>
      <c r="J18" s="36">
        <v>7598</v>
      </c>
      <c r="K18" s="27">
        <f>0</f>
        <v>0</v>
      </c>
      <c r="L18" s="127">
        <f t="shared" si="0"/>
        <v>0</v>
      </c>
      <c r="M18" s="127">
        <f t="shared" si="1"/>
        <v>0</v>
      </c>
      <c r="N18" s="128"/>
      <c r="O18" s="129">
        <f t="shared" si="2"/>
        <v>0</v>
      </c>
      <c r="P18" s="128"/>
      <c r="Q18" s="128"/>
      <c r="R18" s="128"/>
      <c r="S18" s="26">
        <f t="shared" si="3"/>
        <v>0</v>
      </c>
      <c r="T18" s="25" t="str">
        <f t="shared" si="4"/>
        <v>OK</v>
      </c>
      <c r="U18" s="138"/>
      <c r="V18" s="138"/>
      <c r="W18" s="138"/>
      <c r="X18" s="139"/>
      <c r="Y18" s="139"/>
      <c r="Z18" s="139"/>
      <c r="AA18" s="138"/>
      <c r="AB18" s="138"/>
      <c r="AC18" s="138"/>
      <c r="AD18" s="138"/>
      <c r="AE18" s="138"/>
      <c r="AF18" s="138"/>
      <c r="AG18" s="138"/>
      <c r="AH18" s="110"/>
      <c r="AI18" s="110"/>
      <c r="AJ18" s="110"/>
      <c r="AK18" s="110"/>
      <c r="AL18" s="110"/>
      <c r="AM18" s="110"/>
      <c r="AN18" s="110"/>
      <c r="AO18" s="110"/>
      <c r="AP18" s="110"/>
    </row>
    <row r="19" spans="1:42" ht="30.25" customHeight="1" x14ac:dyDescent="0.35">
      <c r="A19" s="44">
        <v>16</v>
      </c>
      <c r="B19" s="44">
        <v>16</v>
      </c>
      <c r="C19" s="45" t="s">
        <v>83</v>
      </c>
      <c r="D19" s="46" t="s">
        <v>98</v>
      </c>
      <c r="E19" s="45" t="s">
        <v>99</v>
      </c>
      <c r="F19" s="45" t="s">
        <v>20</v>
      </c>
      <c r="G19" s="45" t="s">
        <v>100</v>
      </c>
      <c r="H19" s="45" t="s">
        <v>5</v>
      </c>
      <c r="I19" s="45" t="s">
        <v>6</v>
      </c>
      <c r="J19" s="47">
        <v>4540.34</v>
      </c>
      <c r="K19" s="27">
        <f>0</f>
        <v>0</v>
      </c>
      <c r="L19" s="127">
        <f t="shared" si="0"/>
        <v>0</v>
      </c>
      <c r="M19" s="127">
        <f t="shared" si="1"/>
        <v>0</v>
      </c>
      <c r="N19" s="128"/>
      <c r="O19" s="129">
        <f t="shared" si="2"/>
        <v>0</v>
      </c>
      <c r="P19" s="128"/>
      <c r="Q19" s="128"/>
      <c r="R19" s="128"/>
      <c r="S19" s="26">
        <f t="shared" si="3"/>
        <v>0</v>
      </c>
      <c r="T19" s="25" t="str">
        <f t="shared" si="4"/>
        <v>OK</v>
      </c>
      <c r="U19" s="138"/>
      <c r="V19" s="138"/>
      <c r="W19" s="138"/>
      <c r="X19" s="139"/>
      <c r="Y19" s="139"/>
      <c r="Z19" s="139"/>
      <c r="AA19" s="138"/>
      <c r="AB19" s="138"/>
      <c r="AC19" s="138"/>
      <c r="AD19" s="138"/>
      <c r="AE19" s="138"/>
      <c r="AF19" s="138"/>
      <c r="AG19" s="138"/>
      <c r="AH19" s="110"/>
      <c r="AI19" s="110"/>
      <c r="AJ19" s="110"/>
      <c r="AK19" s="110"/>
      <c r="AL19" s="110"/>
      <c r="AM19" s="110"/>
      <c r="AN19" s="110"/>
      <c r="AO19" s="110"/>
      <c r="AP19" s="110"/>
    </row>
    <row r="20" spans="1:42" ht="30.25" customHeight="1" x14ac:dyDescent="0.35">
      <c r="A20" s="37">
        <v>17</v>
      </c>
      <c r="B20" s="37">
        <v>17</v>
      </c>
      <c r="C20" s="35" t="s">
        <v>63</v>
      </c>
      <c r="D20" s="38" t="s">
        <v>101</v>
      </c>
      <c r="E20" s="39" t="s">
        <v>102</v>
      </c>
      <c r="F20" s="40" t="s">
        <v>20</v>
      </c>
      <c r="G20" s="40" t="s">
        <v>103</v>
      </c>
      <c r="H20" s="40" t="s">
        <v>5</v>
      </c>
      <c r="I20" s="40" t="s">
        <v>6</v>
      </c>
      <c r="J20" s="36">
        <v>7499</v>
      </c>
      <c r="K20" s="27">
        <f>2</f>
        <v>2</v>
      </c>
      <c r="L20" s="127">
        <f t="shared" si="0"/>
        <v>2</v>
      </c>
      <c r="M20" s="127">
        <f t="shared" si="1"/>
        <v>2</v>
      </c>
      <c r="N20" s="128"/>
      <c r="O20" s="129">
        <f t="shared" si="2"/>
        <v>0</v>
      </c>
      <c r="P20" s="128"/>
      <c r="Q20" s="128"/>
      <c r="R20" s="128"/>
      <c r="S20" s="26">
        <f t="shared" si="3"/>
        <v>0</v>
      </c>
      <c r="T20" s="25" t="str">
        <f t="shared" si="4"/>
        <v>OK</v>
      </c>
      <c r="U20" s="138"/>
      <c r="V20" s="138"/>
      <c r="W20" s="138"/>
      <c r="X20" s="139"/>
      <c r="Y20" s="139"/>
      <c r="Z20" s="139"/>
      <c r="AA20" s="140">
        <v>2</v>
      </c>
      <c r="AB20" s="138"/>
      <c r="AC20" s="138"/>
      <c r="AD20" s="138"/>
      <c r="AE20" s="138"/>
      <c r="AF20" s="138"/>
      <c r="AG20" s="138"/>
      <c r="AH20" s="110"/>
      <c r="AI20" s="110"/>
      <c r="AJ20" s="110"/>
      <c r="AK20" s="110"/>
      <c r="AL20" s="110"/>
      <c r="AM20" s="110"/>
      <c r="AN20" s="110"/>
      <c r="AO20" s="110"/>
      <c r="AP20" s="110"/>
    </row>
    <row r="21" spans="1:42" ht="30.25" customHeight="1" x14ac:dyDescent="0.35">
      <c r="A21" s="44">
        <v>18</v>
      </c>
      <c r="B21" s="44">
        <v>18</v>
      </c>
      <c r="C21" s="45" t="s">
        <v>104</v>
      </c>
      <c r="D21" s="46" t="s">
        <v>105</v>
      </c>
      <c r="E21" s="48" t="s">
        <v>106</v>
      </c>
      <c r="F21" s="49" t="s">
        <v>20</v>
      </c>
      <c r="G21" s="44" t="s">
        <v>107</v>
      </c>
      <c r="H21" s="44" t="s">
        <v>5</v>
      </c>
      <c r="I21" s="44" t="s">
        <v>6</v>
      </c>
      <c r="J21" s="47">
        <v>9553.2000000000007</v>
      </c>
      <c r="K21" s="27">
        <f>4</f>
        <v>4</v>
      </c>
      <c r="L21" s="127">
        <f t="shared" si="0"/>
        <v>4</v>
      </c>
      <c r="M21" s="127">
        <f t="shared" si="1"/>
        <v>4</v>
      </c>
      <c r="N21" s="128"/>
      <c r="O21" s="129">
        <f t="shared" si="2"/>
        <v>1</v>
      </c>
      <c r="P21" s="128"/>
      <c r="Q21" s="128"/>
      <c r="R21" s="128"/>
      <c r="S21" s="26">
        <f t="shared" si="3"/>
        <v>0</v>
      </c>
      <c r="T21" s="25" t="str">
        <f t="shared" si="4"/>
        <v>OK</v>
      </c>
      <c r="U21" s="138"/>
      <c r="V21" s="138"/>
      <c r="W21" s="138"/>
      <c r="X21" s="139"/>
      <c r="Y21" s="139"/>
      <c r="Z21" s="139"/>
      <c r="AA21" s="138"/>
      <c r="AB21" s="140">
        <v>4</v>
      </c>
      <c r="AC21" s="138"/>
      <c r="AD21" s="138"/>
      <c r="AE21" s="138"/>
      <c r="AF21" s="138"/>
      <c r="AG21" s="138"/>
      <c r="AH21" s="110"/>
      <c r="AI21" s="110"/>
      <c r="AJ21" s="110"/>
      <c r="AK21" s="110"/>
      <c r="AL21" s="110"/>
      <c r="AM21" s="110"/>
      <c r="AN21" s="110"/>
      <c r="AO21" s="110"/>
      <c r="AP21" s="110"/>
    </row>
    <row r="22" spans="1:42" ht="30.25" customHeight="1" x14ac:dyDescent="0.35">
      <c r="A22" s="37">
        <v>19</v>
      </c>
      <c r="B22" s="37">
        <v>19</v>
      </c>
      <c r="C22" s="35" t="s">
        <v>63</v>
      </c>
      <c r="D22" s="34" t="s">
        <v>108</v>
      </c>
      <c r="E22" s="41" t="s">
        <v>109</v>
      </c>
      <c r="F22" s="43" t="s">
        <v>20</v>
      </c>
      <c r="G22" s="37" t="s">
        <v>107</v>
      </c>
      <c r="H22" s="37" t="s">
        <v>5</v>
      </c>
      <c r="I22" s="37" t="s">
        <v>6</v>
      </c>
      <c r="J22" s="36">
        <v>8608</v>
      </c>
      <c r="K22" s="27">
        <f>0</f>
        <v>0</v>
      </c>
      <c r="L22" s="127">
        <f t="shared" si="0"/>
        <v>0</v>
      </c>
      <c r="M22" s="127">
        <f t="shared" si="1"/>
        <v>0</v>
      </c>
      <c r="N22" s="128"/>
      <c r="O22" s="129">
        <f t="shared" si="2"/>
        <v>0</v>
      </c>
      <c r="P22" s="128"/>
      <c r="Q22" s="128"/>
      <c r="R22" s="128"/>
      <c r="S22" s="26">
        <f t="shared" si="3"/>
        <v>0</v>
      </c>
      <c r="T22" s="25" t="str">
        <f t="shared" si="4"/>
        <v>OK</v>
      </c>
      <c r="U22" s="138"/>
      <c r="V22" s="138"/>
      <c r="W22" s="138"/>
      <c r="X22" s="139"/>
      <c r="Y22" s="139"/>
      <c r="Z22" s="139"/>
      <c r="AA22" s="138"/>
      <c r="AB22" s="138"/>
      <c r="AC22" s="138"/>
      <c r="AD22" s="138"/>
      <c r="AE22" s="138"/>
      <c r="AF22" s="138"/>
      <c r="AG22" s="138"/>
      <c r="AH22" s="110"/>
      <c r="AI22" s="110"/>
      <c r="AJ22" s="110"/>
      <c r="AK22" s="110"/>
      <c r="AL22" s="110"/>
      <c r="AM22" s="110"/>
      <c r="AN22" s="110"/>
      <c r="AO22" s="110"/>
      <c r="AP22" s="110"/>
    </row>
    <row r="23" spans="1:42" ht="30.25" customHeight="1" x14ac:dyDescent="0.35">
      <c r="A23" s="44">
        <v>20</v>
      </c>
      <c r="B23" s="44">
        <v>20</v>
      </c>
      <c r="C23" s="45" t="s">
        <v>63</v>
      </c>
      <c r="D23" s="46" t="s">
        <v>110</v>
      </c>
      <c r="E23" s="48" t="s">
        <v>111</v>
      </c>
      <c r="F23" s="50" t="s">
        <v>20</v>
      </c>
      <c r="G23" s="44" t="s">
        <v>112</v>
      </c>
      <c r="H23" s="44" t="s">
        <v>5</v>
      </c>
      <c r="I23" s="44" t="s">
        <v>6</v>
      </c>
      <c r="J23" s="47">
        <v>10488</v>
      </c>
      <c r="K23" s="27">
        <f>3</f>
        <v>3</v>
      </c>
      <c r="L23" s="127">
        <f t="shared" si="0"/>
        <v>3</v>
      </c>
      <c r="M23" s="127">
        <f t="shared" si="1"/>
        <v>3</v>
      </c>
      <c r="N23" s="128"/>
      <c r="O23" s="129">
        <f t="shared" si="2"/>
        <v>0</v>
      </c>
      <c r="P23" s="128"/>
      <c r="Q23" s="128"/>
      <c r="R23" s="128"/>
      <c r="S23" s="26">
        <f t="shared" si="3"/>
        <v>0</v>
      </c>
      <c r="T23" s="25" t="str">
        <f t="shared" si="4"/>
        <v>OK</v>
      </c>
      <c r="U23" s="138"/>
      <c r="V23" s="138"/>
      <c r="W23" s="138"/>
      <c r="X23" s="139"/>
      <c r="Y23" s="139"/>
      <c r="Z23" s="139"/>
      <c r="AA23" s="138"/>
      <c r="AB23" s="138"/>
      <c r="AC23" s="138"/>
      <c r="AD23" s="138"/>
      <c r="AE23" s="138"/>
      <c r="AF23" s="138"/>
      <c r="AG23" s="138"/>
      <c r="AH23" s="110"/>
      <c r="AI23" s="110"/>
      <c r="AJ23" s="110"/>
      <c r="AK23" s="110">
        <v>3</v>
      </c>
      <c r="AL23" s="110"/>
      <c r="AM23" s="110"/>
      <c r="AN23" s="110"/>
      <c r="AO23" s="110"/>
      <c r="AP23" s="110"/>
    </row>
    <row r="24" spans="1:42" ht="30.25" customHeight="1" x14ac:dyDescent="0.35">
      <c r="A24" s="37">
        <v>21</v>
      </c>
      <c r="B24" s="37">
        <v>21</v>
      </c>
      <c r="C24" s="35" t="s">
        <v>63</v>
      </c>
      <c r="D24" s="34" t="s">
        <v>113</v>
      </c>
      <c r="E24" s="41" t="s">
        <v>114</v>
      </c>
      <c r="F24" s="43" t="s">
        <v>20</v>
      </c>
      <c r="G24" s="37" t="s">
        <v>115</v>
      </c>
      <c r="H24" s="37" t="s">
        <v>5</v>
      </c>
      <c r="I24" s="37" t="s">
        <v>6</v>
      </c>
      <c r="J24" s="36">
        <v>10968</v>
      </c>
      <c r="K24" s="27">
        <f>0</f>
        <v>0</v>
      </c>
      <c r="L24" s="127">
        <f t="shared" si="0"/>
        <v>0</v>
      </c>
      <c r="M24" s="127">
        <f t="shared" si="1"/>
        <v>0</v>
      </c>
      <c r="N24" s="128"/>
      <c r="O24" s="129">
        <f t="shared" si="2"/>
        <v>0</v>
      </c>
      <c r="P24" s="128"/>
      <c r="Q24" s="128"/>
      <c r="R24" s="128"/>
      <c r="S24" s="26">
        <f t="shared" si="3"/>
        <v>0</v>
      </c>
      <c r="T24" s="25" t="str">
        <f t="shared" si="4"/>
        <v>OK</v>
      </c>
      <c r="U24" s="138"/>
      <c r="V24" s="138"/>
      <c r="W24" s="138"/>
      <c r="X24" s="139"/>
      <c r="Y24" s="139"/>
      <c r="Z24" s="139"/>
      <c r="AA24" s="138"/>
      <c r="AB24" s="138"/>
      <c r="AC24" s="138"/>
      <c r="AD24" s="138"/>
      <c r="AE24" s="138"/>
      <c r="AF24" s="138"/>
      <c r="AG24" s="138"/>
      <c r="AH24" s="110"/>
      <c r="AI24" s="110"/>
      <c r="AJ24" s="110"/>
      <c r="AK24" s="110"/>
      <c r="AL24" s="110"/>
      <c r="AM24" s="110"/>
      <c r="AN24" s="110"/>
      <c r="AO24" s="110"/>
      <c r="AP24" s="110"/>
    </row>
    <row r="25" spans="1:42" ht="30.25" customHeight="1" x14ac:dyDescent="0.35">
      <c r="A25" s="44">
        <v>22</v>
      </c>
      <c r="B25" s="44">
        <v>22</v>
      </c>
      <c r="C25" s="45" t="s">
        <v>32</v>
      </c>
      <c r="D25" s="46" t="s">
        <v>116</v>
      </c>
      <c r="E25" s="48" t="s">
        <v>117</v>
      </c>
      <c r="F25" s="50" t="s">
        <v>20</v>
      </c>
      <c r="G25" s="44" t="s">
        <v>118</v>
      </c>
      <c r="H25" s="44" t="s">
        <v>5</v>
      </c>
      <c r="I25" s="44" t="s">
        <v>6</v>
      </c>
      <c r="J25" s="47">
        <v>13446</v>
      </c>
      <c r="K25" s="27">
        <f>10</f>
        <v>10</v>
      </c>
      <c r="L25" s="127">
        <f t="shared" si="0"/>
        <v>10</v>
      </c>
      <c r="M25" s="127">
        <f t="shared" si="1"/>
        <v>10</v>
      </c>
      <c r="N25" s="128"/>
      <c r="O25" s="129">
        <f t="shared" si="2"/>
        <v>2</v>
      </c>
      <c r="P25" s="128"/>
      <c r="Q25" s="128"/>
      <c r="R25" s="128"/>
      <c r="S25" s="26">
        <f t="shared" si="3"/>
        <v>0</v>
      </c>
      <c r="T25" s="25" t="str">
        <f t="shared" si="4"/>
        <v>OK</v>
      </c>
      <c r="U25" s="138"/>
      <c r="V25" s="138"/>
      <c r="W25" s="138"/>
      <c r="X25" s="139"/>
      <c r="Y25" s="139"/>
      <c r="Z25" s="139"/>
      <c r="AA25" s="138"/>
      <c r="AB25" s="138"/>
      <c r="AC25" s="140">
        <v>10</v>
      </c>
      <c r="AD25" s="138"/>
      <c r="AE25" s="138"/>
      <c r="AF25" s="138"/>
      <c r="AG25" s="138"/>
      <c r="AH25" s="110"/>
      <c r="AI25" s="110"/>
      <c r="AJ25" s="110"/>
      <c r="AK25" s="110"/>
      <c r="AL25" s="110"/>
      <c r="AM25" s="110"/>
      <c r="AN25" s="110"/>
      <c r="AO25" s="110"/>
      <c r="AP25" s="110"/>
    </row>
    <row r="26" spans="1:42" ht="30.25" customHeight="1" x14ac:dyDescent="0.35">
      <c r="A26" s="37">
        <v>23</v>
      </c>
      <c r="B26" s="37">
        <v>23</v>
      </c>
      <c r="C26" s="35" t="s">
        <v>119</v>
      </c>
      <c r="D26" s="34" t="s">
        <v>120</v>
      </c>
      <c r="E26" s="41" t="s">
        <v>121</v>
      </c>
      <c r="F26" s="43" t="s">
        <v>20</v>
      </c>
      <c r="G26" s="37" t="s">
        <v>115</v>
      </c>
      <c r="H26" s="37" t="s">
        <v>5</v>
      </c>
      <c r="I26" s="37" t="s">
        <v>6</v>
      </c>
      <c r="J26" s="36">
        <v>11764.7</v>
      </c>
      <c r="K26" s="27">
        <f>0</f>
        <v>0</v>
      </c>
      <c r="L26" s="127">
        <f t="shared" si="0"/>
        <v>0</v>
      </c>
      <c r="M26" s="127">
        <f t="shared" si="1"/>
        <v>0</v>
      </c>
      <c r="N26" s="128"/>
      <c r="O26" s="129">
        <f t="shared" si="2"/>
        <v>0</v>
      </c>
      <c r="P26" s="128"/>
      <c r="Q26" s="128"/>
      <c r="R26" s="128"/>
      <c r="S26" s="26">
        <f t="shared" si="3"/>
        <v>0</v>
      </c>
      <c r="T26" s="25" t="str">
        <f t="shared" si="4"/>
        <v>OK</v>
      </c>
      <c r="U26" s="138"/>
      <c r="V26" s="138"/>
      <c r="W26" s="138"/>
      <c r="X26" s="139"/>
      <c r="Y26" s="139"/>
      <c r="Z26" s="139"/>
      <c r="AA26" s="138"/>
      <c r="AB26" s="138"/>
      <c r="AC26" s="138"/>
      <c r="AD26" s="138"/>
      <c r="AE26" s="138"/>
      <c r="AF26" s="138"/>
      <c r="AG26" s="138"/>
      <c r="AH26" s="110"/>
      <c r="AI26" s="110"/>
      <c r="AJ26" s="110"/>
      <c r="AK26" s="110"/>
      <c r="AL26" s="110"/>
      <c r="AM26" s="110"/>
      <c r="AN26" s="110"/>
      <c r="AO26" s="110"/>
      <c r="AP26" s="110"/>
    </row>
    <row r="27" spans="1:42" ht="30.25" customHeight="1" x14ac:dyDescent="0.35">
      <c r="A27" s="44">
        <v>24</v>
      </c>
      <c r="B27" s="44">
        <v>24</v>
      </c>
      <c r="C27" s="45" t="s">
        <v>32</v>
      </c>
      <c r="D27" s="46" t="s">
        <v>122</v>
      </c>
      <c r="E27" s="48" t="s">
        <v>123</v>
      </c>
      <c r="F27" s="50" t="s">
        <v>20</v>
      </c>
      <c r="G27" s="44" t="s">
        <v>124</v>
      </c>
      <c r="H27" s="44" t="s">
        <v>60</v>
      </c>
      <c r="I27" s="44" t="s">
        <v>6</v>
      </c>
      <c r="J27" s="47">
        <v>13333.33</v>
      </c>
      <c r="K27" s="27">
        <f>0</f>
        <v>0</v>
      </c>
      <c r="L27" s="127">
        <f t="shared" si="0"/>
        <v>0</v>
      </c>
      <c r="M27" s="127">
        <f t="shared" si="1"/>
        <v>0</v>
      </c>
      <c r="N27" s="128"/>
      <c r="O27" s="129">
        <f t="shared" si="2"/>
        <v>0</v>
      </c>
      <c r="P27" s="128"/>
      <c r="Q27" s="128"/>
      <c r="R27" s="128"/>
      <c r="S27" s="26">
        <f t="shared" si="3"/>
        <v>0</v>
      </c>
      <c r="T27" s="25" t="str">
        <f t="shared" si="4"/>
        <v>OK</v>
      </c>
      <c r="U27" s="138"/>
      <c r="V27" s="138"/>
      <c r="W27" s="138"/>
      <c r="X27" s="139"/>
      <c r="Y27" s="139"/>
      <c r="Z27" s="139"/>
      <c r="AA27" s="138"/>
      <c r="AB27" s="138"/>
      <c r="AC27" s="138"/>
      <c r="AD27" s="138"/>
      <c r="AE27" s="138"/>
      <c r="AF27" s="138"/>
      <c r="AG27" s="138"/>
      <c r="AH27" s="110"/>
      <c r="AI27" s="110"/>
      <c r="AJ27" s="110"/>
      <c r="AK27" s="110"/>
      <c r="AL27" s="110"/>
      <c r="AM27" s="110"/>
      <c r="AN27" s="110"/>
      <c r="AO27" s="110"/>
      <c r="AP27" s="110"/>
    </row>
    <row r="28" spans="1:42" ht="30.25" customHeight="1" x14ac:dyDescent="0.35">
      <c r="A28" s="37">
        <v>25</v>
      </c>
      <c r="B28" s="37">
        <v>25</v>
      </c>
      <c r="C28" s="35" t="s">
        <v>125</v>
      </c>
      <c r="D28" s="34" t="s">
        <v>126</v>
      </c>
      <c r="E28" s="41" t="s">
        <v>127</v>
      </c>
      <c r="F28" s="43" t="s">
        <v>24</v>
      </c>
      <c r="G28" s="37" t="s">
        <v>25</v>
      </c>
      <c r="H28" s="37" t="s">
        <v>5</v>
      </c>
      <c r="I28" s="37" t="s">
        <v>26</v>
      </c>
      <c r="J28" s="36">
        <v>1320</v>
      </c>
      <c r="K28" s="27">
        <f>4</f>
        <v>4</v>
      </c>
      <c r="L28" s="127">
        <f t="shared" si="0"/>
        <v>2</v>
      </c>
      <c r="M28" s="127">
        <f t="shared" si="1"/>
        <v>2</v>
      </c>
      <c r="N28" s="128"/>
      <c r="O28" s="129">
        <f t="shared" si="2"/>
        <v>1</v>
      </c>
      <c r="P28" s="128"/>
      <c r="Q28" s="128"/>
      <c r="R28" s="128"/>
      <c r="S28" s="26">
        <f t="shared" si="3"/>
        <v>2</v>
      </c>
      <c r="T28" s="25" t="str">
        <f t="shared" si="4"/>
        <v>OK</v>
      </c>
      <c r="U28" s="138"/>
      <c r="V28" s="138"/>
      <c r="W28" s="138"/>
      <c r="X28" s="139"/>
      <c r="Y28" s="139"/>
      <c r="Z28" s="139"/>
      <c r="AA28" s="138"/>
      <c r="AB28" s="138"/>
      <c r="AC28" s="138"/>
      <c r="AD28" s="138"/>
      <c r="AE28" s="138"/>
      <c r="AF28" s="138"/>
      <c r="AG28" s="138"/>
      <c r="AH28" s="110"/>
      <c r="AI28" s="110"/>
      <c r="AJ28" s="110"/>
      <c r="AK28" s="110"/>
      <c r="AL28" s="110"/>
      <c r="AM28" s="110">
        <v>2</v>
      </c>
      <c r="AN28" s="110"/>
      <c r="AO28" s="110"/>
      <c r="AP28" s="110"/>
    </row>
    <row r="29" spans="1:42" ht="30.25" customHeight="1" x14ac:dyDescent="0.35">
      <c r="A29" s="44">
        <v>26</v>
      </c>
      <c r="B29" s="44">
        <v>26</v>
      </c>
      <c r="C29" s="45" t="s">
        <v>119</v>
      </c>
      <c r="D29" s="46" t="s">
        <v>14</v>
      </c>
      <c r="E29" s="48" t="s">
        <v>128</v>
      </c>
      <c r="F29" s="50" t="s">
        <v>23</v>
      </c>
      <c r="G29" s="44" t="s">
        <v>129</v>
      </c>
      <c r="H29" s="44" t="s">
        <v>5</v>
      </c>
      <c r="I29" s="44" t="s">
        <v>6</v>
      </c>
      <c r="J29" s="47">
        <v>650</v>
      </c>
      <c r="K29" s="27">
        <f>2</f>
        <v>2</v>
      </c>
      <c r="L29" s="127">
        <f t="shared" si="0"/>
        <v>0</v>
      </c>
      <c r="M29" s="127">
        <f t="shared" si="1"/>
        <v>0</v>
      </c>
      <c r="N29" s="128"/>
      <c r="O29" s="129">
        <f t="shared" si="2"/>
        <v>0</v>
      </c>
      <c r="P29" s="128"/>
      <c r="Q29" s="128"/>
      <c r="R29" s="128"/>
      <c r="S29" s="26">
        <f t="shared" si="3"/>
        <v>2</v>
      </c>
      <c r="T29" s="25" t="str">
        <f t="shared" si="4"/>
        <v>OK</v>
      </c>
      <c r="U29" s="138"/>
      <c r="V29" s="138"/>
      <c r="W29" s="138"/>
      <c r="X29" s="139"/>
      <c r="Y29" s="139"/>
      <c r="Z29" s="139"/>
      <c r="AA29" s="138"/>
      <c r="AB29" s="138"/>
      <c r="AC29" s="138"/>
      <c r="AD29" s="138"/>
      <c r="AE29" s="138"/>
      <c r="AF29" s="138"/>
      <c r="AG29" s="138"/>
      <c r="AH29" s="110"/>
      <c r="AI29" s="110"/>
      <c r="AJ29" s="110"/>
      <c r="AK29" s="110"/>
      <c r="AL29" s="110"/>
      <c r="AM29" s="110"/>
      <c r="AN29" s="110"/>
      <c r="AO29" s="110"/>
      <c r="AP29" s="110"/>
    </row>
    <row r="30" spans="1:42" ht="30.25" customHeight="1" x14ac:dyDescent="0.35">
      <c r="A30" s="37">
        <v>27</v>
      </c>
      <c r="B30" s="37">
        <v>27</v>
      </c>
      <c r="C30" s="35" t="s">
        <v>130</v>
      </c>
      <c r="D30" s="34" t="s">
        <v>131</v>
      </c>
      <c r="E30" s="41" t="s">
        <v>132</v>
      </c>
      <c r="F30" s="43" t="s">
        <v>28</v>
      </c>
      <c r="G30" s="37" t="s">
        <v>29</v>
      </c>
      <c r="H30" s="37" t="s">
        <v>8</v>
      </c>
      <c r="I30" s="37" t="s">
        <v>26</v>
      </c>
      <c r="J30" s="36">
        <v>39.78</v>
      </c>
      <c r="K30" s="27">
        <f>15</f>
        <v>15</v>
      </c>
      <c r="L30" s="127">
        <f t="shared" si="0"/>
        <v>15</v>
      </c>
      <c r="M30" s="127">
        <f t="shared" si="1"/>
        <v>15</v>
      </c>
      <c r="N30" s="128"/>
      <c r="O30" s="129">
        <f t="shared" si="2"/>
        <v>3</v>
      </c>
      <c r="P30" s="128"/>
      <c r="Q30" s="128"/>
      <c r="R30" s="128"/>
      <c r="S30" s="26">
        <f t="shared" si="3"/>
        <v>0</v>
      </c>
      <c r="T30" s="25" t="str">
        <f t="shared" si="4"/>
        <v>OK</v>
      </c>
      <c r="U30" s="138"/>
      <c r="V30" s="138"/>
      <c r="W30" s="138"/>
      <c r="X30" s="139"/>
      <c r="Y30" s="139"/>
      <c r="Z30" s="139"/>
      <c r="AA30" s="138"/>
      <c r="AB30" s="138"/>
      <c r="AC30" s="138"/>
      <c r="AD30" s="138"/>
      <c r="AE30" s="138"/>
      <c r="AF30" s="138"/>
      <c r="AG30" s="138"/>
      <c r="AH30" s="110"/>
      <c r="AI30" s="110"/>
      <c r="AJ30" s="110"/>
      <c r="AK30" s="110"/>
      <c r="AL30" s="110"/>
      <c r="AM30" s="110"/>
      <c r="AN30" s="110">
        <v>15</v>
      </c>
      <c r="AO30" s="110"/>
      <c r="AP30" s="110"/>
    </row>
    <row r="31" spans="1:42" ht="30.25" customHeight="1" x14ac:dyDescent="0.35">
      <c r="A31" s="44">
        <v>28</v>
      </c>
      <c r="B31" s="44">
        <v>28</v>
      </c>
      <c r="C31" s="45" t="s">
        <v>133</v>
      </c>
      <c r="D31" s="46" t="s">
        <v>134</v>
      </c>
      <c r="E31" s="48" t="s">
        <v>135</v>
      </c>
      <c r="F31" s="50" t="s">
        <v>136</v>
      </c>
      <c r="G31" s="44" t="s">
        <v>137</v>
      </c>
      <c r="H31" s="44" t="s">
        <v>5</v>
      </c>
      <c r="I31" s="44" t="s">
        <v>6</v>
      </c>
      <c r="J31" s="47">
        <v>2259.91</v>
      </c>
      <c r="K31" s="27">
        <f>5</f>
        <v>5</v>
      </c>
      <c r="L31" s="127">
        <f t="shared" si="0"/>
        <v>5</v>
      </c>
      <c r="M31" s="127">
        <f t="shared" si="1"/>
        <v>5</v>
      </c>
      <c r="N31" s="128"/>
      <c r="O31" s="129">
        <f t="shared" si="2"/>
        <v>1</v>
      </c>
      <c r="P31" s="128"/>
      <c r="Q31" s="128"/>
      <c r="R31" s="128"/>
      <c r="S31" s="26">
        <f t="shared" si="3"/>
        <v>0</v>
      </c>
      <c r="T31" s="25" t="str">
        <f t="shared" si="4"/>
        <v>OK</v>
      </c>
      <c r="U31" s="138"/>
      <c r="V31" s="138"/>
      <c r="W31" s="138"/>
      <c r="X31" s="139"/>
      <c r="Y31" s="139"/>
      <c r="Z31" s="139"/>
      <c r="AA31" s="138"/>
      <c r="AB31" s="138"/>
      <c r="AC31" s="138"/>
      <c r="AD31" s="140">
        <v>5</v>
      </c>
      <c r="AE31" s="138"/>
      <c r="AF31" s="138"/>
      <c r="AG31" s="138"/>
      <c r="AH31" s="110"/>
      <c r="AI31" s="110"/>
      <c r="AJ31" s="110"/>
      <c r="AK31" s="110"/>
      <c r="AL31" s="110"/>
      <c r="AM31" s="110"/>
      <c r="AN31" s="110"/>
      <c r="AO31" s="110"/>
      <c r="AP31" s="110"/>
    </row>
    <row r="32" spans="1:42" ht="30.25" customHeight="1" x14ac:dyDescent="0.35">
      <c r="A32" s="37">
        <v>29</v>
      </c>
      <c r="B32" s="37">
        <v>29</v>
      </c>
      <c r="C32" s="35" t="s">
        <v>138</v>
      </c>
      <c r="D32" s="34" t="s">
        <v>139</v>
      </c>
      <c r="E32" s="41" t="s">
        <v>140</v>
      </c>
      <c r="F32" s="43" t="s">
        <v>136</v>
      </c>
      <c r="G32" s="37" t="s">
        <v>137</v>
      </c>
      <c r="H32" s="37" t="s">
        <v>5</v>
      </c>
      <c r="I32" s="37" t="s">
        <v>6</v>
      </c>
      <c r="J32" s="36">
        <v>3391.3</v>
      </c>
      <c r="K32" s="27">
        <f>8</f>
        <v>8</v>
      </c>
      <c r="L32" s="127">
        <f t="shared" si="0"/>
        <v>8</v>
      </c>
      <c r="M32" s="127">
        <f t="shared" si="1"/>
        <v>8</v>
      </c>
      <c r="N32" s="128"/>
      <c r="O32" s="129">
        <f t="shared" si="2"/>
        <v>2</v>
      </c>
      <c r="P32" s="128"/>
      <c r="Q32" s="128"/>
      <c r="R32" s="128"/>
      <c r="S32" s="26">
        <f t="shared" si="3"/>
        <v>0</v>
      </c>
      <c r="T32" s="25" t="str">
        <f t="shared" si="4"/>
        <v>OK</v>
      </c>
      <c r="U32" s="138"/>
      <c r="V32" s="138"/>
      <c r="W32" s="138"/>
      <c r="X32" s="139"/>
      <c r="Y32" s="139"/>
      <c r="Z32" s="139"/>
      <c r="AA32" s="138"/>
      <c r="AB32" s="138"/>
      <c r="AC32" s="138"/>
      <c r="AD32" s="138"/>
      <c r="AE32" s="140">
        <v>8</v>
      </c>
      <c r="AF32" s="138"/>
      <c r="AG32" s="138"/>
      <c r="AH32" s="110"/>
      <c r="AI32" s="110"/>
      <c r="AJ32" s="110"/>
      <c r="AK32" s="110"/>
      <c r="AL32" s="110"/>
      <c r="AM32" s="110"/>
      <c r="AN32" s="110"/>
      <c r="AO32" s="110"/>
      <c r="AP32" s="110"/>
    </row>
    <row r="33" spans="1:42" ht="30.25" customHeight="1" x14ac:dyDescent="0.35">
      <c r="A33" s="44">
        <v>30</v>
      </c>
      <c r="B33" s="44">
        <v>30</v>
      </c>
      <c r="C33" s="45" t="s">
        <v>141</v>
      </c>
      <c r="D33" s="46" t="s">
        <v>142</v>
      </c>
      <c r="E33" s="48" t="s">
        <v>143</v>
      </c>
      <c r="F33" s="50" t="s">
        <v>136</v>
      </c>
      <c r="G33" s="44" t="s">
        <v>137</v>
      </c>
      <c r="H33" s="44" t="s">
        <v>5</v>
      </c>
      <c r="I33" s="44" t="s">
        <v>6</v>
      </c>
      <c r="J33" s="47">
        <v>9961.5300000000007</v>
      </c>
      <c r="K33" s="27">
        <f>5</f>
        <v>5</v>
      </c>
      <c r="L33" s="127">
        <f t="shared" si="0"/>
        <v>3</v>
      </c>
      <c r="M33" s="127">
        <f t="shared" si="1"/>
        <v>3</v>
      </c>
      <c r="N33" s="128"/>
      <c r="O33" s="129">
        <f t="shared" si="2"/>
        <v>1</v>
      </c>
      <c r="P33" s="128"/>
      <c r="Q33" s="128"/>
      <c r="R33" s="128"/>
      <c r="S33" s="26">
        <f t="shared" si="3"/>
        <v>2</v>
      </c>
      <c r="T33" s="25" t="str">
        <f t="shared" si="4"/>
        <v>OK</v>
      </c>
      <c r="U33" s="138"/>
      <c r="V33" s="138"/>
      <c r="W33" s="138"/>
      <c r="X33" s="139"/>
      <c r="Y33" s="139"/>
      <c r="Z33" s="139"/>
      <c r="AA33" s="138"/>
      <c r="AB33" s="138"/>
      <c r="AC33" s="138"/>
      <c r="AD33" s="138"/>
      <c r="AE33" s="138"/>
      <c r="AF33" s="140">
        <v>2</v>
      </c>
      <c r="AG33" s="138"/>
      <c r="AH33" s="110"/>
      <c r="AI33" s="110"/>
      <c r="AJ33" s="110"/>
      <c r="AK33" s="110"/>
      <c r="AL33" s="110"/>
      <c r="AM33" s="110"/>
      <c r="AN33" s="110"/>
      <c r="AO33" s="110">
        <v>1</v>
      </c>
      <c r="AP33" s="110"/>
    </row>
    <row r="34" spans="1:42" ht="30.25" customHeight="1" x14ac:dyDescent="0.35">
      <c r="A34" s="37">
        <v>31</v>
      </c>
      <c r="B34" s="37">
        <v>31</v>
      </c>
      <c r="C34" s="35" t="s">
        <v>144</v>
      </c>
      <c r="D34" s="34" t="s">
        <v>145</v>
      </c>
      <c r="E34" s="41" t="s">
        <v>146</v>
      </c>
      <c r="F34" s="43" t="s">
        <v>20</v>
      </c>
      <c r="G34" s="37" t="s">
        <v>147</v>
      </c>
      <c r="H34" s="37" t="s">
        <v>60</v>
      </c>
      <c r="I34" s="37">
        <v>44905212</v>
      </c>
      <c r="J34" s="36">
        <v>630</v>
      </c>
      <c r="K34" s="27">
        <f>0</f>
        <v>0</v>
      </c>
      <c r="L34" s="127">
        <f t="shared" si="0"/>
        <v>0</v>
      </c>
      <c r="M34" s="127">
        <f t="shared" si="1"/>
        <v>0</v>
      </c>
      <c r="N34" s="128"/>
      <c r="O34" s="129">
        <f t="shared" si="2"/>
        <v>0</v>
      </c>
      <c r="P34" s="128"/>
      <c r="Q34" s="128"/>
      <c r="R34" s="128"/>
      <c r="S34" s="26">
        <f t="shared" si="3"/>
        <v>0</v>
      </c>
      <c r="T34" s="25" t="str">
        <f t="shared" si="4"/>
        <v>OK</v>
      </c>
      <c r="U34" s="138"/>
      <c r="V34" s="138"/>
      <c r="W34" s="138"/>
      <c r="X34" s="139"/>
      <c r="Y34" s="139"/>
      <c r="Z34" s="139"/>
      <c r="AA34" s="138"/>
      <c r="AB34" s="138"/>
      <c r="AC34" s="138"/>
      <c r="AD34" s="138"/>
      <c r="AE34" s="138"/>
      <c r="AF34" s="138"/>
      <c r="AG34" s="138"/>
      <c r="AH34" s="110"/>
      <c r="AI34" s="110"/>
      <c r="AJ34" s="110"/>
      <c r="AK34" s="110"/>
      <c r="AL34" s="110"/>
      <c r="AM34" s="110"/>
      <c r="AN34" s="110"/>
      <c r="AO34" s="110"/>
      <c r="AP34" s="110"/>
    </row>
    <row r="35" spans="1:42" ht="30.25" customHeight="1" x14ac:dyDescent="0.35">
      <c r="A35" s="44">
        <v>32</v>
      </c>
      <c r="B35" s="44">
        <v>32</v>
      </c>
      <c r="C35" s="45" t="s">
        <v>144</v>
      </c>
      <c r="D35" s="46" t="s">
        <v>148</v>
      </c>
      <c r="E35" s="48" t="s">
        <v>149</v>
      </c>
      <c r="F35" s="50" t="s">
        <v>20</v>
      </c>
      <c r="G35" s="44" t="s">
        <v>147</v>
      </c>
      <c r="H35" s="44" t="s">
        <v>60</v>
      </c>
      <c r="I35" s="44">
        <v>44905212</v>
      </c>
      <c r="J35" s="47">
        <v>1550</v>
      </c>
      <c r="K35" s="27">
        <f>0</f>
        <v>0</v>
      </c>
      <c r="L35" s="127">
        <f t="shared" si="0"/>
        <v>0</v>
      </c>
      <c r="M35" s="127">
        <f t="shared" si="1"/>
        <v>0</v>
      </c>
      <c r="N35" s="128"/>
      <c r="O35" s="129">
        <f t="shared" si="2"/>
        <v>0</v>
      </c>
      <c r="P35" s="128"/>
      <c r="Q35" s="128"/>
      <c r="R35" s="128"/>
      <c r="S35" s="26">
        <f t="shared" si="3"/>
        <v>0</v>
      </c>
      <c r="T35" s="25" t="str">
        <f t="shared" si="4"/>
        <v>OK</v>
      </c>
      <c r="U35" s="138"/>
      <c r="V35" s="138"/>
      <c r="W35" s="138"/>
      <c r="X35" s="139"/>
      <c r="Y35" s="139"/>
      <c r="Z35" s="139"/>
      <c r="AA35" s="138"/>
      <c r="AB35" s="138"/>
      <c r="AC35" s="138"/>
      <c r="AD35" s="138"/>
      <c r="AE35" s="138"/>
      <c r="AF35" s="138"/>
      <c r="AG35" s="138"/>
      <c r="AH35" s="110"/>
      <c r="AI35" s="110"/>
      <c r="AJ35" s="110"/>
      <c r="AK35" s="110"/>
      <c r="AL35" s="110"/>
      <c r="AM35" s="110"/>
      <c r="AN35" s="110"/>
      <c r="AO35" s="110"/>
      <c r="AP35" s="110"/>
    </row>
    <row r="36" spans="1:42" ht="30.25" customHeight="1" x14ac:dyDescent="0.35">
      <c r="A36" s="37">
        <v>33</v>
      </c>
      <c r="B36" s="37">
        <v>33</v>
      </c>
      <c r="C36" s="35" t="s">
        <v>150</v>
      </c>
      <c r="D36" s="34" t="s">
        <v>151</v>
      </c>
      <c r="E36" s="41" t="s">
        <v>152</v>
      </c>
      <c r="F36" s="43" t="s">
        <v>20</v>
      </c>
      <c r="G36" s="37" t="s">
        <v>147</v>
      </c>
      <c r="H36" s="37" t="s">
        <v>60</v>
      </c>
      <c r="I36" s="37">
        <v>44905212</v>
      </c>
      <c r="J36" s="36">
        <v>930</v>
      </c>
      <c r="K36" s="27">
        <f>0</f>
        <v>0</v>
      </c>
      <c r="L36" s="127">
        <f t="shared" ref="L36:L67" si="5">IF(SUM(U36:AR36)&gt;K36+N36,K36+N36,SUM(U36:AR36))</f>
        <v>0</v>
      </c>
      <c r="M36" s="127">
        <f t="shared" ref="M36:M67" si="6">(SUM(U36:AR36))</f>
        <v>0</v>
      </c>
      <c r="N36" s="128"/>
      <c r="O36" s="129">
        <f t="shared" si="2"/>
        <v>0</v>
      </c>
      <c r="P36" s="128"/>
      <c r="Q36" s="128"/>
      <c r="R36" s="128"/>
      <c r="S36" s="26">
        <f t="shared" si="3"/>
        <v>0</v>
      </c>
      <c r="T36" s="25" t="str">
        <f t="shared" si="4"/>
        <v>OK</v>
      </c>
      <c r="U36" s="138"/>
      <c r="V36" s="138"/>
      <c r="W36" s="138"/>
      <c r="X36" s="139"/>
      <c r="Y36" s="139"/>
      <c r="Z36" s="139"/>
      <c r="AA36" s="138"/>
      <c r="AB36" s="138"/>
      <c r="AC36" s="138"/>
      <c r="AD36" s="138"/>
      <c r="AE36" s="138"/>
      <c r="AF36" s="138"/>
      <c r="AG36" s="138"/>
      <c r="AH36" s="110"/>
      <c r="AI36" s="110"/>
      <c r="AJ36" s="110"/>
      <c r="AK36" s="110"/>
      <c r="AL36" s="110"/>
      <c r="AM36" s="110"/>
      <c r="AN36" s="110"/>
      <c r="AO36" s="110"/>
      <c r="AP36" s="110"/>
    </row>
    <row r="37" spans="1:42" ht="30.25" customHeight="1" x14ac:dyDescent="0.35">
      <c r="A37" s="44">
        <v>34</v>
      </c>
      <c r="B37" s="44">
        <v>34</v>
      </c>
      <c r="C37" s="45" t="s">
        <v>150</v>
      </c>
      <c r="D37" s="46" t="s">
        <v>153</v>
      </c>
      <c r="E37" s="48" t="s">
        <v>154</v>
      </c>
      <c r="F37" s="50" t="s">
        <v>20</v>
      </c>
      <c r="G37" s="44" t="s">
        <v>147</v>
      </c>
      <c r="H37" s="44" t="s">
        <v>60</v>
      </c>
      <c r="I37" s="44">
        <v>44905212</v>
      </c>
      <c r="J37" s="47">
        <v>2560</v>
      </c>
      <c r="K37" s="27">
        <f>0</f>
        <v>0</v>
      </c>
      <c r="L37" s="127">
        <f t="shared" si="5"/>
        <v>0</v>
      </c>
      <c r="M37" s="127">
        <f t="shared" si="6"/>
        <v>0</v>
      </c>
      <c r="N37" s="128"/>
      <c r="O37" s="129">
        <f t="shared" si="2"/>
        <v>0</v>
      </c>
      <c r="P37" s="128"/>
      <c r="Q37" s="128"/>
      <c r="R37" s="128"/>
      <c r="S37" s="26">
        <f t="shared" si="3"/>
        <v>0</v>
      </c>
      <c r="T37" s="25" t="str">
        <f t="shared" si="4"/>
        <v>OK</v>
      </c>
      <c r="U37" s="138"/>
      <c r="V37" s="138"/>
      <c r="W37" s="138"/>
      <c r="X37" s="139"/>
      <c r="Y37" s="139"/>
      <c r="Z37" s="139"/>
      <c r="AA37" s="138"/>
      <c r="AB37" s="138"/>
      <c r="AC37" s="138"/>
      <c r="AD37" s="138"/>
      <c r="AE37" s="138"/>
      <c r="AF37" s="138"/>
      <c r="AG37" s="138"/>
      <c r="AH37" s="110"/>
      <c r="AI37" s="110"/>
      <c r="AJ37" s="110"/>
      <c r="AK37" s="110"/>
      <c r="AL37" s="110"/>
      <c r="AM37" s="110"/>
      <c r="AN37" s="110"/>
      <c r="AO37" s="110"/>
      <c r="AP37" s="110"/>
    </row>
    <row r="38" spans="1:42" ht="30.25" customHeight="1" x14ac:dyDescent="0.35">
      <c r="A38" s="198" t="s">
        <v>155</v>
      </c>
      <c r="B38" s="37">
        <v>35</v>
      </c>
      <c r="C38" s="195" t="s">
        <v>33</v>
      </c>
      <c r="D38" s="34" t="s">
        <v>27</v>
      </c>
      <c r="E38" s="41" t="s">
        <v>8</v>
      </c>
      <c r="F38" s="42" t="s">
        <v>28</v>
      </c>
      <c r="G38" s="37" t="s">
        <v>29</v>
      </c>
      <c r="H38" s="37" t="s">
        <v>8</v>
      </c>
      <c r="I38" s="37" t="s">
        <v>9</v>
      </c>
      <c r="J38" s="36">
        <v>150.13999999999999</v>
      </c>
      <c r="K38" s="27">
        <f>2</f>
        <v>2</v>
      </c>
      <c r="L38" s="127">
        <f t="shared" si="5"/>
        <v>1</v>
      </c>
      <c r="M38" s="127">
        <f t="shared" si="6"/>
        <v>1</v>
      </c>
      <c r="N38" s="128"/>
      <c r="O38" s="129">
        <f t="shared" si="2"/>
        <v>0</v>
      </c>
      <c r="P38" s="128"/>
      <c r="Q38" s="128"/>
      <c r="R38" s="128"/>
      <c r="S38" s="26">
        <f t="shared" si="3"/>
        <v>1</v>
      </c>
      <c r="T38" s="25" t="str">
        <f t="shared" si="4"/>
        <v>OK</v>
      </c>
      <c r="U38" s="138"/>
      <c r="V38" s="138"/>
      <c r="W38" s="138"/>
      <c r="X38" s="139"/>
      <c r="Y38" s="139"/>
      <c r="Z38" s="139"/>
      <c r="AA38" s="138"/>
      <c r="AB38" s="138"/>
      <c r="AC38" s="138"/>
      <c r="AD38" s="138"/>
      <c r="AE38" s="138"/>
      <c r="AF38" s="138"/>
      <c r="AG38" s="138"/>
      <c r="AH38" s="110"/>
      <c r="AI38" s="110"/>
      <c r="AJ38" s="110"/>
      <c r="AK38" s="110"/>
      <c r="AL38" s="110"/>
      <c r="AM38" s="110"/>
      <c r="AN38" s="110"/>
      <c r="AO38" s="110"/>
      <c r="AP38" s="110">
        <v>1</v>
      </c>
    </row>
    <row r="39" spans="1:42" ht="30.25" customHeight="1" x14ac:dyDescent="0.35">
      <c r="A39" s="199"/>
      <c r="B39" s="37">
        <v>36</v>
      </c>
      <c r="C39" s="196"/>
      <c r="D39" s="34" t="s">
        <v>7</v>
      </c>
      <c r="E39" s="41" t="s">
        <v>8</v>
      </c>
      <c r="F39" s="43" t="s">
        <v>28</v>
      </c>
      <c r="G39" s="37" t="s">
        <v>29</v>
      </c>
      <c r="H39" s="37" t="s">
        <v>8</v>
      </c>
      <c r="I39" s="37" t="s">
        <v>9</v>
      </c>
      <c r="J39" s="36">
        <v>1076</v>
      </c>
      <c r="K39" s="27">
        <f>22</f>
        <v>22</v>
      </c>
      <c r="L39" s="127">
        <f t="shared" si="5"/>
        <v>22</v>
      </c>
      <c r="M39" s="127">
        <f t="shared" si="6"/>
        <v>22</v>
      </c>
      <c r="N39" s="128"/>
      <c r="O39" s="129">
        <f t="shared" si="2"/>
        <v>5</v>
      </c>
      <c r="P39" s="128"/>
      <c r="Q39" s="128"/>
      <c r="R39" s="128"/>
      <c r="S39" s="26">
        <f t="shared" si="3"/>
        <v>0</v>
      </c>
      <c r="T39" s="25" t="str">
        <f t="shared" si="4"/>
        <v>OK</v>
      </c>
      <c r="U39" s="140">
        <v>2</v>
      </c>
      <c r="V39" s="140">
        <v>1</v>
      </c>
      <c r="W39" s="138"/>
      <c r="X39" s="139"/>
      <c r="Y39" s="141">
        <v>1</v>
      </c>
      <c r="Z39" s="141">
        <v>1</v>
      </c>
      <c r="AA39" s="138"/>
      <c r="AB39" s="138"/>
      <c r="AC39" s="138"/>
      <c r="AD39" s="138"/>
      <c r="AE39" s="138"/>
      <c r="AF39" s="138"/>
      <c r="AG39" s="140">
        <v>1</v>
      </c>
      <c r="AH39" s="110"/>
      <c r="AI39" s="110">
        <v>10</v>
      </c>
      <c r="AJ39" s="110"/>
      <c r="AK39" s="110"/>
      <c r="AL39" s="110"/>
      <c r="AM39" s="110"/>
      <c r="AN39" s="110"/>
      <c r="AO39" s="110"/>
      <c r="AP39" s="110">
        <v>6</v>
      </c>
    </row>
    <row r="40" spans="1:42" ht="30.25" customHeight="1" x14ac:dyDescent="0.35">
      <c r="A40" s="199"/>
      <c r="B40" s="37">
        <v>37</v>
      </c>
      <c r="C40" s="196"/>
      <c r="D40" s="34" t="s">
        <v>156</v>
      </c>
      <c r="E40" s="41" t="s">
        <v>8</v>
      </c>
      <c r="F40" s="43" t="s">
        <v>28</v>
      </c>
      <c r="G40" s="37" t="s">
        <v>29</v>
      </c>
      <c r="H40" s="37" t="s">
        <v>34</v>
      </c>
      <c r="I40" s="37" t="s">
        <v>9</v>
      </c>
      <c r="J40" s="36">
        <v>75</v>
      </c>
      <c r="K40" s="27">
        <f>20</f>
        <v>20</v>
      </c>
      <c r="L40" s="127">
        <f t="shared" si="5"/>
        <v>20</v>
      </c>
      <c r="M40" s="127">
        <f t="shared" si="6"/>
        <v>20</v>
      </c>
      <c r="N40" s="128"/>
      <c r="O40" s="129">
        <f t="shared" si="2"/>
        <v>5</v>
      </c>
      <c r="P40" s="128"/>
      <c r="Q40" s="128"/>
      <c r="R40" s="128"/>
      <c r="S40" s="26">
        <f t="shared" si="3"/>
        <v>0</v>
      </c>
      <c r="T40" s="25" t="str">
        <f t="shared" si="4"/>
        <v>OK</v>
      </c>
      <c r="U40" s="138"/>
      <c r="V40" s="138"/>
      <c r="W40" s="138"/>
      <c r="X40" s="139"/>
      <c r="Y40" s="139"/>
      <c r="Z40" s="139"/>
      <c r="AA40" s="138"/>
      <c r="AB40" s="138"/>
      <c r="AC40" s="138"/>
      <c r="AD40" s="138"/>
      <c r="AE40" s="138"/>
      <c r="AF40" s="138"/>
      <c r="AG40" s="138"/>
      <c r="AH40" s="110"/>
      <c r="AI40" s="110">
        <v>10</v>
      </c>
      <c r="AJ40" s="110"/>
      <c r="AK40" s="110"/>
      <c r="AL40" s="110"/>
      <c r="AM40" s="110"/>
      <c r="AN40" s="110"/>
      <c r="AO40" s="110"/>
      <c r="AP40" s="110">
        <v>10</v>
      </c>
    </row>
    <row r="41" spans="1:42" ht="30.25" customHeight="1" x14ac:dyDescent="0.35">
      <c r="A41" s="199"/>
      <c r="B41" s="37">
        <v>38</v>
      </c>
      <c r="C41" s="196"/>
      <c r="D41" s="34" t="s">
        <v>11</v>
      </c>
      <c r="E41" s="41" t="s">
        <v>8</v>
      </c>
      <c r="F41" s="43" t="s">
        <v>28</v>
      </c>
      <c r="G41" s="37" t="s">
        <v>29</v>
      </c>
      <c r="H41" s="37" t="s">
        <v>8</v>
      </c>
      <c r="I41" s="37" t="s">
        <v>9</v>
      </c>
      <c r="J41" s="36">
        <v>1400</v>
      </c>
      <c r="K41" s="27">
        <f>10</f>
        <v>10</v>
      </c>
      <c r="L41" s="127">
        <f t="shared" si="5"/>
        <v>10</v>
      </c>
      <c r="M41" s="127">
        <f t="shared" si="6"/>
        <v>10</v>
      </c>
      <c r="N41" s="128"/>
      <c r="O41" s="129">
        <f t="shared" si="2"/>
        <v>2</v>
      </c>
      <c r="P41" s="128"/>
      <c r="Q41" s="128"/>
      <c r="R41" s="128"/>
      <c r="S41" s="26">
        <f t="shared" si="3"/>
        <v>0</v>
      </c>
      <c r="T41" s="25" t="str">
        <f t="shared" si="4"/>
        <v>OK</v>
      </c>
      <c r="U41" s="138"/>
      <c r="V41" s="138"/>
      <c r="W41" s="138"/>
      <c r="X41" s="139"/>
      <c r="Y41" s="139"/>
      <c r="Z41" s="139"/>
      <c r="AA41" s="138"/>
      <c r="AB41" s="138"/>
      <c r="AC41" s="138"/>
      <c r="AD41" s="138"/>
      <c r="AE41" s="138"/>
      <c r="AF41" s="138"/>
      <c r="AG41" s="138"/>
      <c r="AH41" s="110"/>
      <c r="AI41" s="110">
        <v>10</v>
      </c>
      <c r="AJ41" s="110"/>
      <c r="AK41" s="110"/>
      <c r="AL41" s="110"/>
      <c r="AM41" s="110"/>
      <c r="AN41" s="110"/>
      <c r="AO41" s="110"/>
      <c r="AP41" s="110"/>
    </row>
    <row r="42" spans="1:42" ht="30.25" customHeight="1" x14ac:dyDescent="0.35">
      <c r="A42" s="199"/>
      <c r="B42" s="37">
        <v>39</v>
      </c>
      <c r="C42" s="196"/>
      <c r="D42" s="34" t="s">
        <v>12</v>
      </c>
      <c r="E42" s="41" t="s">
        <v>8</v>
      </c>
      <c r="F42" s="43" t="s">
        <v>28</v>
      </c>
      <c r="G42" s="37" t="s">
        <v>29</v>
      </c>
      <c r="H42" s="37" t="s">
        <v>34</v>
      </c>
      <c r="I42" s="37" t="s">
        <v>9</v>
      </c>
      <c r="J42" s="36">
        <v>75.5</v>
      </c>
      <c r="K42" s="27">
        <f>60</f>
        <v>60</v>
      </c>
      <c r="L42" s="127">
        <f t="shared" si="5"/>
        <v>60</v>
      </c>
      <c r="M42" s="127">
        <f t="shared" si="6"/>
        <v>60</v>
      </c>
      <c r="N42" s="128"/>
      <c r="O42" s="129">
        <f t="shared" si="2"/>
        <v>15</v>
      </c>
      <c r="P42" s="128"/>
      <c r="Q42" s="128"/>
      <c r="R42" s="128"/>
      <c r="S42" s="26">
        <f t="shared" si="3"/>
        <v>0</v>
      </c>
      <c r="T42" s="25" t="str">
        <f t="shared" si="4"/>
        <v>OK</v>
      </c>
      <c r="U42" s="140">
        <v>10</v>
      </c>
      <c r="V42" s="140">
        <v>5</v>
      </c>
      <c r="W42" s="138"/>
      <c r="X42" s="139"/>
      <c r="Y42" s="139"/>
      <c r="Z42" s="139"/>
      <c r="AA42" s="138"/>
      <c r="AB42" s="138"/>
      <c r="AC42" s="138"/>
      <c r="AD42" s="138"/>
      <c r="AE42" s="138"/>
      <c r="AF42" s="138"/>
      <c r="AG42" s="138"/>
      <c r="AH42" s="110"/>
      <c r="AI42" s="110"/>
      <c r="AJ42" s="110"/>
      <c r="AK42" s="110"/>
      <c r="AL42" s="110"/>
      <c r="AM42" s="110"/>
      <c r="AN42" s="110"/>
      <c r="AO42" s="110"/>
      <c r="AP42" s="110">
        <v>45</v>
      </c>
    </row>
    <row r="43" spans="1:42" ht="30.25" customHeight="1" x14ac:dyDescent="0.35">
      <c r="A43" s="199"/>
      <c r="B43" s="37">
        <v>40</v>
      </c>
      <c r="C43" s="196"/>
      <c r="D43" s="34" t="s">
        <v>10</v>
      </c>
      <c r="E43" s="41" t="s">
        <v>8</v>
      </c>
      <c r="F43" s="43" t="s">
        <v>28</v>
      </c>
      <c r="G43" s="37" t="s">
        <v>29</v>
      </c>
      <c r="H43" s="37" t="s">
        <v>8</v>
      </c>
      <c r="I43" s="37" t="s">
        <v>9</v>
      </c>
      <c r="J43" s="36">
        <v>1600</v>
      </c>
      <c r="K43" s="27">
        <f>10</f>
        <v>10</v>
      </c>
      <c r="L43" s="127">
        <f t="shared" si="5"/>
        <v>9</v>
      </c>
      <c r="M43" s="127">
        <f t="shared" si="6"/>
        <v>9</v>
      </c>
      <c r="N43" s="128"/>
      <c r="O43" s="129">
        <f t="shared" si="2"/>
        <v>2</v>
      </c>
      <c r="P43" s="128"/>
      <c r="Q43" s="128"/>
      <c r="R43" s="128"/>
      <c r="S43" s="26">
        <f t="shared" si="3"/>
        <v>1</v>
      </c>
      <c r="T43" s="25" t="str">
        <f t="shared" si="4"/>
        <v>OK</v>
      </c>
      <c r="U43" s="138"/>
      <c r="V43" s="138"/>
      <c r="W43" s="138"/>
      <c r="X43" s="139"/>
      <c r="Y43" s="139"/>
      <c r="Z43" s="139"/>
      <c r="AA43" s="138"/>
      <c r="AB43" s="138"/>
      <c r="AC43" s="138"/>
      <c r="AD43" s="138"/>
      <c r="AE43" s="138"/>
      <c r="AF43" s="138"/>
      <c r="AG43" s="138"/>
      <c r="AH43" s="110"/>
      <c r="AI43" s="110">
        <v>6</v>
      </c>
      <c r="AJ43" s="110"/>
      <c r="AK43" s="110"/>
      <c r="AL43" s="110"/>
      <c r="AM43" s="110"/>
      <c r="AN43" s="110"/>
      <c r="AO43" s="110"/>
      <c r="AP43" s="110">
        <v>3</v>
      </c>
    </row>
    <row r="44" spans="1:42" ht="30.25" customHeight="1" x14ac:dyDescent="0.35">
      <c r="A44" s="199"/>
      <c r="B44" s="37">
        <v>41</v>
      </c>
      <c r="C44" s="196"/>
      <c r="D44" s="34" t="s">
        <v>13</v>
      </c>
      <c r="E44" s="41" t="s">
        <v>8</v>
      </c>
      <c r="F44" s="43" t="s">
        <v>28</v>
      </c>
      <c r="G44" s="37" t="s">
        <v>29</v>
      </c>
      <c r="H44" s="37" t="s">
        <v>34</v>
      </c>
      <c r="I44" s="37" t="s">
        <v>9</v>
      </c>
      <c r="J44" s="36">
        <v>75</v>
      </c>
      <c r="K44" s="27">
        <f>20</f>
        <v>20</v>
      </c>
      <c r="L44" s="127">
        <f t="shared" si="5"/>
        <v>15</v>
      </c>
      <c r="M44" s="127">
        <f t="shared" si="6"/>
        <v>15</v>
      </c>
      <c r="N44" s="128"/>
      <c r="O44" s="129">
        <f t="shared" si="2"/>
        <v>5</v>
      </c>
      <c r="P44" s="128"/>
      <c r="Q44" s="128"/>
      <c r="R44" s="128"/>
      <c r="S44" s="26">
        <f t="shared" si="3"/>
        <v>5</v>
      </c>
      <c r="T44" s="25" t="str">
        <f t="shared" si="4"/>
        <v>OK</v>
      </c>
      <c r="U44" s="138"/>
      <c r="V44" s="138"/>
      <c r="W44" s="138"/>
      <c r="X44" s="139"/>
      <c r="Y44" s="139"/>
      <c r="Z44" s="139"/>
      <c r="AA44" s="138"/>
      <c r="AB44" s="138"/>
      <c r="AC44" s="138"/>
      <c r="AD44" s="138"/>
      <c r="AE44" s="138"/>
      <c r="AF44" s="138"/>
      <c r="AG44" s="138"/>
      <c r="AH44" s="110"/>
      <c r="AI44" s="110">
        <v>15</v>
      </c>
      <c r="AJ44" s="110"/>
      <c r="AK44" s="110"/>
      <c r="AL44" s="110"/>
      <c r="AM44" s="110"/>
      <c r="AN44" s="110"/>
      <c r="AO44" s="110"/>
      <c r="AP44" s="110"/>
    </row>
    <row r="45" spans="1:42" ht="30.25" customHeight="1" x14ac:dyDescent="0.35">
      <c r="A45" s="199"/>
      <c r="B45" s="84">
        <v>42</v>
      </c>
      <c r="C45" s="196"/>
      <c r="D45" s="34" t="s">
        <v>157</v>
      </c>
      <c r="E45" s="41" t="s">
        <v>8</v>
      </c>
      <c r="F45" s="43" t="s">
        <v>28</v>
      </c>
      <c r="G45" s="37" t="s">
        <v>29</v>
      </c>
      <c r="H45" s="37" t="s">
        <v>8</v>
      </c>
      <c r="I45" s="37" t="s">
        <v>9</v>
      </c>
      <c r="J45" s="36">
        <v>350</v>
      </c>
      <c r="K45" s="27">
        <f>25</f>
        <v>25</v>
      </c>
      <c r="L45" s="127">
        <f t="shared" si="5"/>
        <v>21</v>
      </c>
      <c r="M45" s="127">
        <f t="shared" si="6"/>
        <v>21</v>
      </c>
      <c r="N45" s="128"/>
      <c r="O45" s="129">
        <f t="shared" si="2"/>
        <v>6</v>
      </c>
      <c r="P45" s="128"/>
      <c r="Q45" s="128"/>
      <c r="R45" s="128"/>
      <c r="S45" s="26">
        <f t="shared" si="3"/>
        <v>4</v>
      </c>
      <c r="T45" s="25" t="str">
        <f t="shared" si="4"/>
        <v>OK</v>
      </c>
      <c r="U45" s="138"/>
      <c r="V45" s="138"/>
      <c r="W45" s="140">
        <v>2</v>
      </c>
      <c r="X45" s="139"/>
      <c r="Y45" s="141">
        <v>1</v>
      </c>
      <c r="Z45" s="141">
        <v>1</v>
      </c>
      <c r="AA45" s="138"/>
      <c r="AB45" s="138"/>
      <c r="AC45" s="138"/>
      <c r="AD45" s="138"/>
      <c r="AE45" s="138"/>
      <c r="AF45" s="138"/>
      <c r="AG45" s="140">
        <v>2</v>
      </c>
      <c r="AH45" s="110">
        <v>9</v>
      </c>
      <c r="AI45" s="110"/>
      <c r="AJ45" s="110"/>
      <c r="AK45" s="110"/>
      <c r="AL45" s="110"/>
      <c r="AM45" s="110"/>
      <c r="AN45" s="110"/>
      <c r="AO45" s="110"/>
      <c r="AP45" s="110">
        <v>6</v>
      </c>
    </row>
    <row r="46" spans="1:42" ht="30.25" customHeight="1" x14ac:dyDescent="0.35">
      <c r="A46" s="199"/>
      <c r="B46" s="37">
        <v>43</v>
      </c>
      <c r="C46" s="196"/>
      <c r="D46" s="34" t="s">
        <v>30</v>
      </c>
      <c r="E46" s="41" t="s">
        <v>8</v>
      </c>
      <c r="F46" s="43" t="s">
        <v>28</v>
      </c>
      <c r="G46" s="37" t="s">
        <v>29</v>
      </c>
      <c r="H46" s="37" t="s">
        <v>8</v>
      </c>
      <c r="I46" s="37" t="s">
        <v>9</v>
      </c>
      <c r="J46" s="36">
        <v>100.25</v>
      </c>
      <c r="K46" s="27">
        <f>4</f>
        <v>4</v>
      </c>
      <c r="L46" s="127">
        <f t="shared" si="5"/>
        <v>1</v>
      </c>
      <c r="M46" s="127">
        <f t="shared" si="6"/>
        <v>1</v>
      </c>
      <c r="N46" s="128"/>
      <c r="O46" s="129">
        <f t="shared" si="2"/>
        <v>1</v>
      </c>
      <c r="P46" s="128"/>
      <c r="Q46" s="128"/>
      <c r="R46" s="128"/>
      <c r="S46" s="26">
        <f t="shared" si="3"/>
        <v>3</v>
      </c>
      <c r="T46" s="25" t="str">
        <f t="shared" si="4"/>
        <v>OK</v>
      </c>
      <c r="U46" s="138"/>
      <c r="V46" s="138"/>
      <c r="W46" s="138"/>
      <c r="X46" s="139"/>
      <c r="Y46" s="139"/>
      <c r="Z46" s="139"/>
      <c r="AA46" s="138"/>
      <c r="AB46" s="138"/>
      <c r="AC46" s="138"/>
      <c r="AD46" s="138"/>
      <c r="AE46" s="138"/>
      <c r="AF46" s="138"/>
      <c r="AG46" s="138"/>
      <c r="AH46" s="110"/>
      <c r="AI46" s="110"/>
      <c r="AJ46" s="110"/>
      <c r="AK46" s="110"/>
      <c r="AL46" s="110"/>
      <c r="AM46" s="110"/>
      <c r="AN46" s="110"/>
      <c r="AO46" s="110"/>
      <c r="AP46" s="110">
        <v>1</v>
      </c>
    </row>
    <row r="47" spans="1:42" ht="30.25" customHeight="1" x14ac:dyDescent="0.35">
      <c r="A47" s="199"/>
      <c r="B47" s="37">
        <v>44</v>
      </c>
      <c r="C47" s="196"/>
      <c r="D47" s="34" t="s">
        <v>158</v>
      </c>
      <c r="E47" s="41" t="s">
        <v>8</v>
      </c>
      <c r="F47" s="42" t="s">
        <v>28</v>
      </c>
      <c r="G47" s="37" t="s">
        <v>159</v>
      </c>
      <c r="H47" s="37" t="s">
        <v>8</v>
      </c>
      <c r="I47" s="37" t="s">
        <v>9</v>
      </c>
      <c r="J47" s="36">
        <v>1424</v>
      </c>
      <c r="K47" s="27">
        <f>4</f>
        <v>4</v>
      </c>
      <c r="L47" s="127">
        <f t="shared" si="5"/>
        <v>0</v>
      </c>
      <c r="M47" s="127">
        <f t="shared" si="6"/>
        <v>0</v>
      </c>
      <c r="N47" s="128"/>
      <c r="O47" s="129">
        <f t="shared" si="2"/>
        <v>1</v>
      </c>
      <c r="P47" s="128"/>
      <c r="Q47" s="128"/>
      <c r="R47" s="128"/>
      <c r="S47" s="26">
        <f t="shared" si="3"/>
        <v>4</v>
      </c>
      <c r="T47" s="25" t="str">
        <f t="shared" si="4"/>
        <v>OK</v>
      </c>
      <c r="U47" s="138"/>
      <c r="V47" s="138"/>
      <c r="W47" s="138"/>
      <c r="X47" s="139"/>
      <c r="Y47" s="139"/>
      <c r="Z47" s="139"/>
      <c r="AA47" s="138"/>
      <c r="AB47" s="138"/>
      <c r="AC47" s="138"/>
      <c r="AD47" s="138"/>
      <c r="AE47" s="138"/>
      <c r="AF47" s="138"/>
      <c r="AG47" s="138"/>
      <c r="AH47" s="110"/>
      <c r="AI47" s="110"/>
      <c r="AJ47" s="110"/>
      <c r="AK47" s="110"/>
      <c r="AL47" s="110"/>
      <c r="AM47" s="110"/>
      <c r="AN47" s="110"/>
      <c r="AO47" s="110"/>
      <c r="AP47" s="110"/>
    </row>
    <row r="48" spans="1:42" ht="30.25" customHeight="1" x14ac:dyDescent="0.35">
      <c r="A48" s="200"/>
      <c r="B48" s="37">
        <v>45</v>
      </c>
      <c r="C48" s="197"/>
      <c r="D48" s="34" t="s">
        <v>160</v>
      </c>
      <c r="E48" s="41" t="s">
        <v>8</v>
      </c>
      <c r="F48" s="43" t="s">
        <v>28</v>
      </c>
      <c r="G48" s="37" t="s">
        <v>29</v>
      </c>
      <c r="H48" s="37" t="s">
        <v>8</v>
      </c>
      <c r="I48" s="37" t="s">
        <v>9</v>
      </c>
      <c r="J48" s="36">
        <v>2503.0100000000002</v>
      </c>
      <c r="K48" s="27">
        <f>4</f>
        <v>4</v>
      </c>
      <c r="L48" s="127">
        <f t="shared" si="5"/>
        <v>0</v>
      </c>
      <c r="M48" s="127">
        <f t="shared" si="6"/>
        <v>0</v>
      </c>
      <c r="N48" s="128"/>
      <c r="O48" s="129">
        <f t="shared" si="2"/>
        <v>1</v>
      </c>
      <c r="P48" s="128"/>
      <c r="Q48" s="128"/>
      <c r="R48" s="128"/>
      <c r="S48" s="26">
        <f t="shared" si="3"/>
        <v>4</v>
      </c>
      <c r="T48" s="25" t="str">
        <f t="shared" si="4"/>
        <v>OK</v>
      </c>
      <c r="U48" s="138"/>
      <c r="V48" s="138"/>
      <c r="W48" s="138"/>
      <c r="X48" s="139"/>
      <c r="Y48" s="139"/>
      <c r="Z48" s="139"/>
      <c r="AA48" s="138"/>
      <c r="AB48" s="138"/>
      <c r="AC48" s="138"/>
      <c r="AD48" s="138"/>
      <c r="AE48" s="138"/>
      <c r="AF48" s="138"/>
      <c r="AG48" s="138"/>
      <c r="AH48" s="110"/>
      <c r="AI48" s="110"/>
      <c r="AJ48" s="110"/>
      <c r="AK48" s="110"/>
      <c r="AL48" s="110"/>
      <c r="AM48" s="110"/>
      <c r="AN48" s="110"/>
      <c r="AO48" s="110"/>
      <c r="AP48" s="110"/>
    </row>
    <row r="49" spans="1:42" ht="30.25" customHeight="1" x14ac:dyDescent="0.35">
      <c r="A49" s="208" t="s">
        <v>161</v>
      </c>
      <c r="B49" s="44">
        <v>46</v>
      </c>
      <c r="C49" s="205" t="s">
        <v>33</v>
      </c>
      <c r="D49" s="46" t="s">
        <v>27</v>
      </c>
      <c r="E49" s="48" t="s">
        <v>8</v>
      </c>
      <c r="F49" s="50" t="s">
        <v>28</v>
      </c>
      <c r="G49" s="44" t="s">
        <v>29</v>
      </c>
      <c r="H49" s="44" t="s">
        <v>8</v>
      </c>
      <c r="I49" s="44" t="s">
        <v>9</v>
      </c>
      <c r="J49" s="47">
        <v>80</v>
      </c>
      <c r="K49" s="27">
        <f>0</f>
        <v>0</v>
      </c>
      <c r="L49" s="127">
        <f t="shared" si="5"/>
        <v>0</v>
      </c>
      <c r="M49" s="127">
        <f t="shared" si="6"/>
        <v>0</v>
      </c>
      <c r="N49" s="128"/>
      <c r="O49" s="129">
        <f t="shared" si="2"/>
        <v>0</v>
      </c>
      <c r="P49" s="128"/>
      <c r="Q49" s="128"/>
      <c r="R49" s="128"/>
      <c r="S49" s="26">
        <f t="shared" si="3"/>
        <v>0</v>
      </c>
      <c r="T49" s="25" t="str">
        <f t="shared" si="4"/>
        <v>OK</v>
      </c>
      <c r="U49" s="138"/>
      <c r="V49" s="138"/>
      <c r="W49" s="138"/>
      <c r="X49" s="139"/>
      <c r="Y49" s="139"/>
      <c r="Z49" s="139"/>
      <c r="AA49" s="138"/>
      <c r="AB49" s="138"/>
      <c r="AC49" s="138"/>
      <c r="AD49" s="138"/>
      <c r="AE49" s="138"/>
      <c r="AF49" s="138"/>
      <c r="AG49" s="138"/>
      <c r="AH49" s="110"/>
      <c r="AI49" s="110"/>
      <c r="AJ49" s="110"/>
      <c r="AK49" s="110"/>
      <c r="AL49" s="110"/>
      <c r="AM49" s="110"/>
      <c r="AN49" s="110"/>
      <c r="AO49" s="110"/>
      <c r="AP49" s="110"/>
    </row>
    <row r="50" spans="1:42" ht="30.25" customHeight="1" x14ac:dyDescent="0.35">
      <c r="A50" s="209"/>
      <c r="B50" s="44">
        <v>47</v>
      </c>
      <c r="C50" s="206"/>
      <c r="D50" s="46" t="s">
        <v>7</v>
      </c>
      <c r="E50" s="48" t="s">
        <v>8</v>
      </c>
      <c r="F50" s="50" t="s">
        <v>28</v>
      </c>
      <c r="G50" s="44" t="s">
        <v>29</v>
      </c>
      <c r="H50" s="44" t="s">
        <v>8</v>
      </c>
      <c r="I50" s="44" t="s">
        <v>9</v>
      </c>
      <c r="J50" s="47">
        <v>550</v>
      </c>
      <c r="K50" s="27">
        <f>0</f>
        <v>0</v>
      </c>
      <c r="L50" s="127">
        <f t="shared" si="5"/>
        <v>0</v>
      </c>
      <c r="M50" s="127">
        <f t="shared" si="6"/>
        <v>0</v>
      </c>
      <c r="N50" s="128"/>
      <c r="O50" s="129">
        <f t="shared" si="2"/>
        <v>0</v>
      </c>
      <c r="P50" s="128"/>
      <c r="Q50" s="128"/>
      <c r="R50" s="128"/>
      <c r="S50" s="26">
        <f t="shared" si="3"/>
        <v>0</v>
      </c>
      <c r="T50" s="25" t="str">
        <f t="shared" si="4"/>
        <v>OK</v>
      </c>
      <c r="U50" s="138"/>
      <c r="V50" s="138"/>
      <c r="W50" s="138"/>
      <c r="X50" s="139"/>
      <c r="Y50" s="139"/>
      <c r="Z50" s="139"/>
      <c r="AA50" s="138"/>
      <c r="AB50" s="138"/>
      <c r="AC50" s="138"/>
      <c r="AD50" s="138"/>
      <c r="AE50" s="138"/>
      <c r="AF50" s="138"/>
      <c r="AG50" s="138"/>
      <c r="AH50" s="110"/>
      <c r="AI50" s="110"/>
      <c r="AJ50" s="110"/>
      <c r="AK50" s="110"/>
      <c r="AL50" s="110"/>
      <c r="AM50" s="110"/>
      <c r="AN50" s="110"/>
      <c r="AO50" s="110"/>
      <c r="AP50" s="110"/>
    </row>
    <row r="51" spans="1:42" ht="30.25" customHeight="1" x14ac:dyDescent="0.35">
      <c r="A51" s="209"/>
      <c r="B51" s="44">
        <v>48</v>
      </c>
      <c r="C51" s="206"/>
      <c r="D51" s="46" t="s">
        <v>10</v>
      </c>
      <c r="E51" s="48" t="s">
        <v>8</v>
      </c>
      <c r="F51" s="50" t="s">
        <v>28</v>
      </c>
      <c r="G51" s="44" t="s">
        <v>29</v>
      </c>
      <c r="H51" s="44" t="s">
        <v>8</v>
      </c>
      <c r="I51" s="44" t="s">
        <v>9</v>
      </c>
      <c r="J51" s="47">
        <v>850</v>
      </c>
      <c r="K51" s="27">
        <f>0</f>
        <v>0</v>
      </c>
      <c r="L51" s="127">
        <f t="shared" si="5"/>
        <v>0</v>
      </c>
      <c r="M51" s="127">
        <f t="shared" si="6"/>
        <v>0</v>
      </c>
      <c r="N51" s="128"/>
      <c r="O51" s="129">
        <f t="shared" si="2"/>
        <v>0</v>
      </c>
      <c r="P51" s="128"/>
      <c r="Q51" s="128"/>
      <c r="R51" s="128"/>
      <c r="S51" s="26">
        <f t="shared" si="3"/>
        <v>0</v>
      </c>
      <c r="T51" s="25" t="str">
        <f t="shared" si="4"/>
        <v>OK</v>
      </c>
      <c r="U51" s="138"/>
      <c r="V51" s="138"/>
      <c r="W51" s="138"/>
      <c r="X51" s="139"/>
      <c r="Y51" s="139"/>
      <c r="Z51" s="139"/>
      <c r="AA51" s="138"/>
      <c r="AB51" s="138"/>
      <c r="AC51" s="138"/>
      <c r="AD51" s="138"/>
      <c r="AE51" s="138"/>
      <c r="AF51" s="138"/>
      <c r="AG51" s="138"/>
      <c r="AH51" s="110"/>
      <c r="AI51" s="110"/>
      <c r="AJ51" s="110"/>
      <c r="AK51" s="110"/>
      <c r="AL51" s="110"/>
      <c r="AM51" s="110"/>
      <c r="AN51" s="110"/>
      <c r="AO51" s="110"/>
      <c r="AP51" s="110"/>
    </row>
    <row r="52" spans="1:42" ht="30.25" customHeight="1" x14ac:dyDescent="0.35">
      <c r="A52" s="209"/>
      <c r="B52" s="44">
        <v>49</v>
      </c>
      <c r="C52" s="206"/>
      <c r="D52" s="46" t="s">
        <v>11</v>
      </c>
      <c r="E52" s="48" t="s">
        <v>8</v>
      </c>
      <c r="F52" s="50" t="s">
        <v>28</v>
      </c>
      <c r="G52" s="44" t="s">
        <v>29</v>
      </c>
      <c r="H52" s="44" t="s">
        <v>8</v>
      </c>
      <c r="I52" s="44" t="s">
        <v>9</v>
      </c>
      <c r="J52" s="47">
        <v>800</v>
      </c>
      <c r="K52" s="27">
        <f>0</f>
        <v>0</v>
      </c>
      <c r="L52" s="127">
        <f t="shared" si="5"/>
        <v>0</v>
      </c>
      <c r="M52" s="127">
        <f t="shared" si="6"/>
        <v>0</v>
      </c>
      <c r="N52" s="128"/>
      <c r="O52" s="129">
        <f t="shared" si="2"/>
        <v>0</v>
      </c>
      <c r="P52" s="128"/>
      <c r="Q52" s="128"/>
      <c r="R52" s="128"/>
      <c r="S52" s="26">
        <f t="shared" si="3"/>
        <v>0</v>
      </c>
      <c r="T52" s="25" t="str">
        <f t="shared" si="4"/>
        <v>OK</v>
      </c>
      <c r="U52" s="138"/>
      <c r="V52" s="138"/>
      <c r="W52" s="138"/>
      <c r="X52" s="139"/>
      <c r="Y52" s="139"/>
      <c r="Z52" s="139"/>
      <c r="AA52" s="138"/>
      <c r="AB52" s="138"/>
      <c r="AC52" s="138"/>
      <c r="AD52" s="138"/>
      <c r="AE52" s="138"/>
      <c r="AF52" s="138"/>
      <c r="AG52" s="138"/>
      <c r="AH52" s="110"/>
      <c r="AI52" s="110"/>
      <c r="AJ52" s="110"/>
      <c r="AK52" s="110"/>
      <c r="AL52" s="110"/>
      <c r="AM52" s="110"/>
      <c r="AN52" s="110"/>
      <c r="AO52" s="110"/>
      <c r="AP52" s="110"/>
    </row>
    <row r="53" spans="1:42" ht="30.25" customHeight="1" x14ac:dyDescent="0.35">
      <c r="A53" s="209"/>
      <c r="B53" s="44">
        <v>50</v>
      </c>
      <c r="C53" s="206"/>
      <c r="D53" s="46" t="s">
        <v>12</v>
      </c>
      <c r="E53" s="48" t="s">
        <v>8</v>
      </c>
      <c r="F53" s="50" t="s">
        <v>28</v>
      </c>
      <c r="G53" s="44" t="s">
        <v>29</v>
      </c>
      <c r="H53" s="44" t="s">
        <v>34</v>
      </c>
      <c r="I53" s="44" t="s">
        <v>9</v>
      </c>
      <c r="J53" s="47">
        <v>50</v>
      </c>
      <c r="K53" s="27">
        <f>0</f>
        <v>0</v>
      </c>
      <c r="L53" s="127">
        <f t="shared" si="5"/>
        <v>0</v>
      </c>
      <c r="M53" s="127">
        <f t="shared" si="6"/>
        <v>0</v>
      </c>
      <c r="N53" s="128"/>
      <c r="O53" s="129">
        <f t="shared" si="2"/>
        <v>0</v>
      </c>
      <c r="P53" s="128"/>
      <c r="Q53" s="128"/>
      <c r="R53" s="128"/>
      <c r="S53" s="26">
        <f t="shared" si="3"/>
        <v>0</v>
      </c>
      <c r="T53" s="25" t="str">
        <f t="shared" si="4"/>
        <v>OK</v>
      </c>
      <c r="U53" s="138"/>
      <c r="V53" s="138"/>
      <c r="W53" s="138"/>
      <c r="X53" s="139"/>
      <c r="Y53" s="139"/>
      <c r="Z53" s="139"/>
      <c r="AA53" s="138"/>
      <c r="AB53" s="138"/>
      <c r="AC53" s="138"/>
      <c r="AD53" s="138"/>
      <c r="AE53" s="138"/>
      <c r="AF53" s="138"/>
      <c r="AG53" s="138"/>
      <c r="AH53" s="110"/>
      <c r="AI53" s="110"/>
      <c r="AJ53" s="110"/>
      <c r="AK53" s="110"/>
      <c r="AL53" s="110"/>
      <c r="AM53" s="110"/>
      <c r="AN53" s="110"/>
      <c r="AO53" s="110"/>
      <c r="AP53" s="110"/>
    </row>
    <row r="54" spans="1:42" ht="30.25" customHeight="1" x14ac:dyDescent="0.35">
      <c r="A54" s="209"/>
      <c r="B54" s="44">
        <v>51</v>
      </c>
      <c r="C54" s="206"/>
      <c r="D54" s="46" t="s">
        <v>156</v>
      </c>
      <c r="E54" s="48" t="s">
        <v>8</v>
      </c>
      <c r="F54" s="50" t="s">
        <v>28</v>
      </c>
      <c r="G54" s="44" t="s">
        <v>29</v>
      </c>
      <c r="H54" s="44" t="s">
        <v>34</v>
      </c>
      <c r="I54" s="44" t="s">
        <v>9</v>
      </c>
      <c r="J54" s="47">
        <v>50</v>
      </c>
      <c r="K54" s="27">
        <f>0</f>
        <v>0</v>
      </c>
      <c r="L54" s="127">
        <f t="shared" si="5"/>
        <v>0</v>
      </c>
      <c r="M54" s="127">
        <f t="shared" si="6"/>
        <v>0</v>
      </c>
      <c r="N54" s="128"/>
      <c r="O54" s="129">
        <f t="shared" si="2"/>
        <v>0</v>
      </c>
      <c r="P54" s="128"/>
      <c r="Q54" s="128"/>
      <c r="R54" s="128"/>
      <c r="S54" s="26">
        <f t="shared" si="3"/>
        <v>0</v>
      </c>
      <c r="T54" s="25" t="str">
        <f t="shared" si="4"/>
        <v>OK</v>
      </c>
      <c r="U54" s="138"/>
      <c r="V54" s="138"/>
      <c r="W54" s="138"/>
      <c r="X54" s="139"/>
      <c r="Y54" s="139"/>
      <c r="Z54" s="139"/>
      <c r="AA54" s="138"/>
      <c r="AB54" s="138"/>
      <c r="AC54" s="138"/>
      <c r="AD54" s="138"/>
      <c r="AE54" s="138"/>
      <c r="AF54" s="138"/>
      <c r="AG54" s="138"/>
      <c r="AH54" s="110"/>
      <c r="AI54" s="110"/>
      <c r="AJ54" s="110"/>
      <c r="AK54" s="110"/>
      <c r="AL54" s="110"/>
      <c r="AM54" s="110"/>
      <c r="AN54" s="110"/>
      <c r="AO54" s="110"/>
      <c r="AP54" s="110"/>
    </row>
    <row r="55" spans="1:42" ht="30.25" customHeight="1" x14ac:dyDescent="0.35">
      <c r="A55" s="209"/>
      <c r="B55" s="44">
        <v>52</v>
      </c>
      <c r="C55" s="206"/>
      <c r="D55" s="46" t="s">
        <v>13</v>
      </c>
      <c r="E55" s="48" t="s">
        <v>8</v>
      </c>
      <c r="F55" s="50" t="s">
        <v>28</v>
      </c>
      <c r="G55" s="44" t="s">
        <v>29</v>
      </c>
      <c r="H55" s="44" t="s">
        <v>34</v>
      </c>
      <c r="I55" s="44" t="s">
        <v>9</v>
      </c>
      <c r="J55" s="47">
        <v>50</v>
      </c>
      <c r="K55" s="27">
        <f>0</f>
        <v>0</v>
      </c>
      <c r="L55" s="127">
        <f t="shared" si="5"/>
        <v>0</v>
      </c>
      <c r="M55" s="127">
        <f t="shared" si="6"/>
        <v>0</v>
      </c>
      <c r="N55" s="128"/>
      <c r="O55" s="129">
        <f t="shared" si="2"/>
        <v>0</v>
      </c>
      <c r="P55" s="128"/>
      <c r="Q55" s="128"/>
      <c r="R55" s="128"/>
      <c r="S55" s="26">
        <f t="shared" si="3"/>
        <v>0</v>
      </c>
      <c r="T55" s="25" t="str">
        <f t="shared" si="4"/>
        <v>OK</v>
      </c>
      <c r="U55" s="138"/>
      <c r="V55" s="138"/>
      <c r="W55" s="138"/>
      <c r="X55" s="139"/>
      <c r="Y55" s="139"/>
      <c r="Z55" s="139"/>
      <c r="AA55" s="138"/>
      <c r="AB55" s="138"/>
      <c r="AC55" s="138"/>
      <c r="AD55" s="138"/>
      <c r="AE55" s="138"/>
      <c r="AF55" s="138"/>
      <c r="AG55" s="138"/>
      <c r="AH55" s="110"/>
      <c r="AI55" s="110"/>
      <c r="AJ55" s="110"/>
      <c r="AK55" s="110"/>
      <c r="AL55" s="110"/>
      <c r="AM55" s="110"/>
      <c r="AN55" s="110"/>
      <c r="AO55" s="110"/>
      <c r="AP55" s="110"/>
    </row>
    <row r="56" spans="1:42" ht="30.25" customHeight="1" x14ac:dyDescent="0.35">
      <c r="A56" s="209"/>
      <c r="B56" s="44">
        <v>53</v>
      </c>
      <c r="C56" s="206"/>
      <c r="D56" s="46" t="s">
        <v>157</v>
      </c>
      <c r="E56" s="48" t="s">
        <v>8</v>
      </c>
      <c r="F56" s="50" t="s">
        <v>28</v>
      </c>
      <c r="G56" s="44" t="s">
        <v>29</v>
      </c>
      <c r="H56" s="44" t="s">
        <v>8</v>
      </c>
      <c r="I56" s="44" t="s">
        <v>9</v>
      </c>
      <c r="J56" s="47">
        <v>50</v>
      </c>
      <c r="K56" s="27">
        <f>0</f>
        <v>0</v>
      </c>
      <c r="L56" s="127">
        <f t="shared" si="5"/>
        <v>0</v>
      </c>
      <c r="M56" s="127">
        <f t="shared" si="6"/>
        <v>0</v>
      </c>
      <c r="N56" s="128"/>
      <c r="O56" s="129">
        <f t="shared" si="2"/>
        <v>0</v>
      </c>
      <c r="P56" s="128"/>
      <c r="Q56" s="128"/>
      <c r="R56" s="128"/>
      <c r="S56" s="26">
        <f t="shared" si="3"/>
        <v>0</v>
      </c>
      <c r="T56" s="25" t="str">
        <f t="shared" si="4"/>
        <v>OK</v>
      </c>
      <c r="U56" s="138"/>
      <c r="V56" s="138"/>
      <c r="W56" s="138"/>
      <c r="X56" s="139"/>
      <c r="Y56" s="139"/>
      <c r="Z56" s="139"/>
      <c r="AA56" s="138"/>
      <c r="AB56" s="138"/>
      <c r="AC56" s="138"/>
      <c r="AD56" s="138"/>
      <c r="AE56" s="138"/>
      <c r="AF56" s="138"/>
      <c r="AG56" s="138"/>
      <c r="AH56" s="110"/>
      <c r="AI56" s="110"/>
      <c r="AJ56" s="110"/>
      <c r="AK56" s="110"/>
      <c r="AL56" s="110"/>
      <c r="AM56" s="110"/>
      <c r="AN56" s="110"/>
      <c r="AO56" s="110"/>
      <c r="AP56" s="110"/>
    </row>
    <row r="57" spans="1:42" ht="30.25" customHeight="1" x14ac:dyDescent="0.35">
      <c r="A57" s="209"/>
      <c r="B57" s="44">
        <v>54</v>
      </c>
      <c r="C57" s="206"/>
      <c r="D57" s="46" t="s">
        <v>30</v>
      </c>
      <c r="E57" s="48" t="s">
        <v>8</v>
      </c>
      <c r="F57" s="50" t="s">
        <v>28</v>
      </c>
      <c r="G57" s="44" t="s">
        <v>29</v>
      </c>
      <c r="H57" s="44" t="s">
        <v>8</v>
      </c>
      <c r="I57" s="44" t="s">
        <v>9</v>
      </c>
      <c r="J57" s="47">
        <v>80</v>
      </c>
      <c r="K57" s="27">
        <f>0</f>
        <v>0</v>
      </c>
      <c r="L57" s="127">
        <f t="shared" si="5"/>
        <v>0</v>
      </c>
      <c r="M57" s="127">
        <f t="shared" si="6"/>
        <v>0</v>
      </c>
      <c r="N57" s="128"/>
      <c r="O57" s="129">
        <f t="shared" si="2"/>
        <v>0</v>
      </c>
      <c r="P57" s="128"/>
      <c r="Q57" s="128"/>
      <c r="R57" s="128"/>
      <c r="S57" s="26">
        <f t="shared" si="3"/>
        <v>0</v>
      </c>
      <c r="T57" s="25" t="str">
        <f t="shared" si="4"/>
        <v>OK</v>
      </c>
      <c r="U57" s="138"/>
      <c r="V57" s="138"/>
      <c r="W57" s="138"/>
      <c r="X57" s="139"/>
      <c r="Y57" s="139"/>
      <c r="Z57" s="139"/>
      <c r="AA57" s="138"/>
      <c r="AB57" s="138"/>
      <c r="AC57" s="138"/>
      <c r="AD57" s="138"/>
      <c r="AE57" s="138"/>
      <c r="AF57" s="138"/>
      <c r="AG57" s="138"/>
      <c r="AH57" s="110"/>
      <c r="AI57" s="110"/>
      <c r="AJ57" s="110"/>
      <c r="AK57" s="110"/>
      <c r="AL57" s="110"/>
      <c r="AM57" s="110"/>
      <c r="AN57" s="110"/>
      <c r="AO57" s="110"/>
      <c r="AP57" s="110"/>
    </row>
    <row r="58" spans="1:42" ht="30.25" customHeight="1" x14ac:dyDescent="0.35">
      <c r="A58" s="209"/>
      <c r="B58" s="44">
        <v>55</v>
      </c>
      <c r="C58" s="206"/>
      <c r="D58" s="46" t="s">
        <v>162</v>
      </c>
      <c r="E58" s="48" t="s">
        <v>8</v>
      </c>
      <c r="F58" s="50" t="s">
        <v>28</v>
      </c>
      <c r="G58" s="44" t="s">
        <v>159</v>
      </c>
      <c r="H58" s="44" t="s">
        <v>8</v>
      </c>
      <c r="I58" s="44" t="s">
        <v>9</v>
      </c>
      <c r="J58" s="47">
        <v>1114</v>
      </c>
      <c r="K58" s="27">
        <f>0</f>
        <v>0</v>
      </c>
      <c r="L58" s="127">
        <f t="shared" si="5"/>
        <v>0</v>
      </c>
      <c r="M58" s="127">
        <f t="shared" si="6"/>
        <v>0</v>
      </c>
      <c r="N58" s="128"/>
      <c r="O58" s="129">
        <f t="shared" si="2"/>
        <v>0</v>
      </c>
      <c r="P58" s="128"/>
      <c r="Q58" s="128"/>
      <c r="R58" s="128"/>
      <c r="S58" s="26">
        <f t="shared" si="3"/>
        <v>0</v>
      </c>
      <c r="T58" s="25" t="str">
        <f t="shared" si="4"/>
        <v>OK</v>
      </c>
      <c r="U58" s="138"/>
      <c r="V58" s="138"/>
      <c r="W58" s="138"/>
      <c r="X58" s="139"/>
      <c r="Y58" s="139"/>
      <c r="Z58" s="139"/>
      <c r="AA58" s="138"/>
      <c r="AB58" s="138"/>
      <c r="AC58" s="138"/>
      <c r="AD58" s="138"/>
      <c r="AE58" s="138"/>
      <c r="AF58" s="138"/>
      <c r="AG58" s="138"/>
      <c r="AH58" s="110"/>
      <c r="AI58" s="110"/>
      <c r="AJ58" s="110"/>
      <c r="AK58" s="110"/>
      <c r="AL58" s="110"/>
      <c r="AM58" s="110"/>
      <c r="AN58" s="110"/>
      <c r="AO58" s="110"/>
      <c r="AP58" s="110"/>
    </row>
    <row r="59" spans="1:42" ht="30.25" customHeight="1" x14ac:dyDescent="0.35">
      <c r="A59" s="210"/>
      <c r="B59" s="44">
        <v>56</v>
      </c>
      <c r="C59" s="207"/>
      <c r="D59" s="46" t="s">
        <v>160</v>
      </c>
      <c r="E59" s="48" t="s">
        <v>8</v>
      </c>
      <c r="F59" s="50" t="s">
        <v>28</v>
      </c>
      <c r="G59" s="44" t="s">
        <v>29</v>
      </c>
      <c r="H59" s="44" t="s">
        <v>8</v>
      </c>
      <c r="I59" s="44" t="s">
        <v>9</v>
      </c>
      <c r="J59" s="47">
        <v>2000</v>
      </c>
      <c r="K59" s="27">
        <f>0</f>
        <v>0</v>
      </c>
      <c r="L59" s="127">
        <f t="shared" si="5"/>
        <v>0</v>
      </c>
      <c r="M59" s="127">
        <f t="shared" si="6"/>
        <v>0</v>
      </c>
      <c r="N59" s="128"/>
      <c r="O59" s="129">
        <f t="shared" si="2"/>
        <v>0</v>
      </c>
      <c r="P59" s="128"/>
      <c r="Q59" s="128"/>
      <c r="R59" s="128"/>
      <c r="S59" s="26">
        <f t="shared" si="3"/>
        <v>0</v>
      </c>
      <c r="T59" s="25" t="str">
        <f t="shared" si="4"/>
        <v>OK</v>
      </c>
      <c r="U59" s="138"/>
      <c r="V59" s="138"/>
      <c r="W59" s="138"/>
      <c r="X59" s="139"/>
      <c r="Y59" s="139"/>
      <c r="Z59" s="139"/>
      <c r="AA59" s="138"/>
      <c r="AB59" s="138"/>
      <c r="AC59" s="138"/>
      <c r="AD59" s="138"/>
      <c r="AE59" s="138"/>
      <c r="AF59" s="138"/>
      <c r="AG59" s="138"/>
      <c r="AH59" s="110"/>
      <c r="AI59" s="110"/>
      <c r="AJ59" s="110"/>
      <c r="AK59" s="110"/>
      <c r="AL59" s="110"/>
      <c r="AM59" s="110"/>
      <c r="AN59" s="110"/>
      <c r="AO59" s="110"/>
      <c r="AP59" s="110"/>
    </row>
    <row r="60" spans="1:42" ht="30.25" customHeight="1" x14ac:dyDescent="0.35">
      <c r="A60" s="198" t="s">
        <v>163</v>
      </c>
      <c r="B60" s="37">
        <v>57</v>
      </c>
      <c r="C60" s="195" t="s">
        <v>33</v>
      </c>
      <c r="D60" s="34" t="s">
        <v>27</v>
      </c>
      <c r="E60" s="41" t="s">
        <v>8</v>
      </c>
      <c r="F60" s="43" t="s">
        <v>28</v>
      </c>
      <c r="G60" s="37" t="s">
        <v>29</v>
      </c>
      <c r="H60" s="37" t="s">
        <v>8</v>
      </c>
      <c r="I60" s="37" t="s">
        <v>9</v>
      </c>
      <c r="J60" s="36">
        <v>250.5</v>
      </c>
      <c r="K60" s="27">
        <f>0</f>
        <v>0</v>
      </c>
      <c r="L60" s="127">
        <f t="shared" si="5"/>
        <v>0</v>
      </c>
      <c r="M60" s="127">
        <f t="shared" si="6"/>
        <v>0</v>
      </c>
      <c r="N60" s="128"/>
      <c r="O60" s="129">
        <f t="shared" si="2"/>
        <v>0</v>
      </c>
      <c r="P60" s="128"/>
      <c r="Q60" s="128"/>
      <c r="R60" s="128"/>
      <c r="S60" s="26">
        <f t="shared" si="3"/>
        <v>0</v>
      </c>
      <c r="T60" s="25" t="str">
        <f t="shared" si="4"/>
        <v>OK</v>
      </c>
      <c r="U60" s="138"/>
      <c r="V60" s="138"/>
      <c r="W60" s="138"/>
      <c r="X60" s="139"/>
      <c r="Y60" s="139"/>
      <c r="Z60" s="139"/>
      <c r="AA60" s="138"/>
      <c r="AB60" s="138"/>
      <c r="AC60" s="138"/>
      <c r="AD60" s="138"/>
      <c r="AE60" s="138"/>
      <c r="AF60" s="138"/>
      <c r="AG60" s="138"/>
      <c r="AH60" s="110"/>
      <c r="AI60" s="110"/>
      <c r="AJ60" s="110"/>
      <c r="AK60" s="110"/>
      <c r="AL60" s="110"/>
      <c r="AM60" s="110"/>
      <c r="AN60" s="110"/>
      <c r="AO60" s="110"/>
      <c r="AP60" s="110"/>
    </row>
    <row r="61" spans="1:42" ht="30.25" customHeight="1" x14ac:dyDescent="0.35">
      <c r="A61" s="199"/>
      <c r="B61" s="37">
        <v>58</v>
      </c>
      <c r="C61" s="196"/>
      <c r="D61" s="34" t="s">
        <v>7</v>
      </c>
      <c r="E61" s="41" t="s">
        <v>8</v>
      </c>
      <c r="F61" s="43" t="s">
        <v>28</v>
      </c>
      <c r="G61" s="37" t="s">
        <v>29</v>
      </c>
      <c r="H61" s="37" t="s">
        <v>8</v>
      </c>
      <c r="I61" s="37" t="s">
        <v>9</v>
      </c>
      <c r="J61" s="36">
        <v>1000</v>
      </c>
      <c r="K61" s="27">
        <f>0</f>
        <v>0</v>
      </c>
      <c r="L61" s="127">
        <f t="shared" si="5"/>
        <v>0</v>
      </c>
      <c r="M61" s="127">
        <f t="shared" si="6"/>
        <v>0</v>
      </c>
      <c r="N61" s="128"/>
      <c r="O61" s="129">
        <f t="shared" si="2"/>
        <v>0</v>
      </c>
      <c r="P61" s="128"/>
      <c r="Q61" s="128"/>
      <c r="R61" s="128"/>
      <c r="S61" s="26">
        <f t="shared" si="3"/>
        <v>0</v>
      </c>
      <c r="T61" s="25" t="str">
        <f t="shared" si="4"/>
        <v>OK</v>
      </c>
      <c r="U61" s="138"/>
      <c r="V61" s="138"/>
      <c r="W61" s="138"/>
      <c r="X61" s="139"/>
      <c r="Y61" s="139"/>
      <c r="Z61" s="139"/>
      <c r="AA61" s="138"/>
      <c r="AB61" s="138"/>
      <c r="AC61" s="138"/>
      <c r="AD61" s="138"/>
      <c r="AE61" s="138"/>
      <c r="AF61" s="138"/>
      <c r="AG61" s="138"/>
      <c r="AH61" s="110"/>
      <c r="AI61" s="110"/>
      <c r="AJ61" s="110"/>
      <c r="AK61" s="110"/>
      <c r="AL61" s="110"/>
      <c r="AM61" s="110"/>
      <c r="AN61" s="110"/>
      <c r="AO61" s="110"/>
      <c r="AP61" s="110"/>
    </row>
    <row r="62" spans="1:42" ht="30.25" customHeight="1" x14ac:dyDescent="0.35">
      <c r="A62" s="199"/>
      <c r="B62" s="37">
        <v>59</v>
      </c>
      <c r="C62" s="196"/>
      <c r="D62" s="34" t="s">
        <v>10</v>
      </c>
      <c r="E62" s="41" t="s">
        <v>8</v>
      </c>
      <c r="F62" s="43" t="s">
        <v>28</v>
      </c>
      <c r="G62" s="37" t="s">
        <v>29</v>
      </c>
      <c r="H62" s="37" t="s">
        <v>8</v>
      </c>
      <c r="I62" s="37" t="s">
        <v>9</v>
      </c>
      <c r="J62" s="36">
        <v>1500</v>
      </c>
      <c r="K62" s="27">
        <f>0</f>
        <v>0</v>
      </c>
      <c r="L62" s="127">
        <f t="shared" si="5"/>
        <v>0</v>
      </c>
      <c r="M62" s="127">
        <f t="shared" si="6"/>
        <v>0</v>
      </c>
      <c r="N62" s="128"/>
      <c r="O62" s="129">
        <f t="shared" si="2"/>
        <v>0</v>
      </c>
      <c r="P62" s="128"/>
      <c r="Q62" s="128"/>
      <c r="R62" s="128"/>
      <c r="S62" s="26">
        <f t="shared" si="3"/>
        <v>0</v>
      </c>
      <c r="T62" s="25" t="str">
        <f t="shared" si="4"/>
        <v>OK</v>
      </c>
      <c r="U62" s="138"/>
      <c r="V62" s="138"/>
      <c r="W62" s="138"/>
      <c r="X62" s="139"/>
      <c r="Y62" s="139"/>
      <c r="Z62" s="139"/>
      <c r="AA62" s="138"/>
      <c r="AB62" s="138"/>
      <c r="AC62" s="138"/>
      <c r="AD62" s="138"/>
      <c r="AE62" s="138"/>
      <c r="AF62" s="138"/>
      <c r="AG62" s="138"/>
      <c r="AH62" s="110"/>
      <c r="AI62" s="110"/>
      <c r="AJ62" s="110"/>
      <c r="AK62" s="110"/>
      <c r="AL62" s="110"/>
      <c r="AM62" s="110"/>
      <c r="AN62" s="110"/>
      <c r="AO62" s="110"/>
      <c r="AP62" s="110"/>
    </row>
    <row r="63" spans="1:42" ht="30.25" customHeight="1" x14ac:dyDescent="0.35">
      <c r="A63" s="199"/>
      <c r="B63" s="37">
        <v>60</v>
      </c>
      <c r="C63" s="196"/>
      <c r="D63" s="34" t="s">
        <v>11</v>
      </c>
      <c r="E63" s="41" t="s">
        <v>8</v>
      </c>
      <c r="F63" s="43" t="s">
        <v>28</v>
      </c>
      <c r="G63" s="37" t="s">
        <v>29</v>
      </c>
      <c r="H63" s="37" t="s">
        <v>8</v>
      </c>
      <c r="I63" s="37" t="s">
        <v>9</v>
      </c>
      <c r="J63" s="36">
        <v>1731</v>
      </c>
      <c r="K63" s="27">
        <f>0</f>
        <v>0</v>
      </c>
      <c r="L63" s="127">
        <f t="shared" si="5"/>
        <v>0</v>
      </c>
      <c r="M63" s="127">
        <f t="shared" si="6"/>
        <v>0</v>
      </c>
      <c r="N63" s="128"/>
      <c r="O63" s="129">
        <f t="shared" si="2"/>
        <v>0</v>
      </c>
      <c r="P63" s="128"/>
      <c r="Q63" s="128"/>
      <c r="R63" s="128"/>
      <c r="S63" s="26">
        <f t="shared" si="3"/>
        <v>0</v>
      </c>
      <c r="T63" s="25" t="str">
        <f t="shared" si="4"/>
        <v>OK</v>
      </c>
      <c r="U63" s="138"/>
      <c r="V63" s="138"/>
      <c r="W63" s="138"/>
      <c r="X63" s="139"/>
      <c r="Y63" s="139"/>
      <c r="Z63" s="139"/>
      <c r="AA63" s="138"/>
      <c r="AB63" s="138"/>
      <c r="AC63" s="138"/>
      <c r="AD63" s="138"/>
      <c r="AE63" s="138"/>
      <c r="AF63" s="138"/>
      <c r="AG63" s="138"/>
      <c r="AH63" s="110"/>
      <c r="AI63" s="110"/>
      <c r="AJ63" s="110"/>
      <c r="AK63" s="110"/>
      <c r="AL63" s="110"/>
      <c r="AM63" s="110"/>
      <c r="AN63" s="110"/>
      <c r="AO63" s="110"/>
      <c r="AP63" s="110"/>
    </row>
    <row r="64" spans="1:42" ht="30.25" customHeight="1" x14ac:dyDescent="0.35">
      <c r="A64" s="199"/>
      <c r="B64" s="37">
        <v>61</v>
      </c>
      <c r="C64" s="196"/>
      <c r="D64" s="34" t="s">
        <v>12</v>
      </c>
      <c r="E64" s="41" t="s">
        <v>8</v>
      </c>
      <c r="F64" s="43" t="s">
        <v>28</v>
      </c>
      <c r="G64" s="37" t="s">
        <v>29</v>
      </c>
      <c r="H64" s="37" t="s">
        <v>34</v>
      </c>
      <c r="I64" s="37" t="s">
        <v>9</v>
      </c>
      <c r="J64" s="36">
        <v>160</v>
      </c>
      <c r="K64" s="27">
        <f>0</f>
        <v>0</v>
      </c>
      <c r="L64" s="127">
        <f t="shared" si="5"/>
        <v>0</v>
      </c>
      <c r="M64" s="127">
        <f t="shared" si="6"/>
        <v>0</v>
      </c>
      <c r="N64" s="128"/>
      <c r="O64" s="129">
        <f t="shared" si="2"/>
        <v>0</v>
      </c>
      <c r="P64" s="128"/>
      <c r="Q64" s="128"/>
      <c r="R64" s="128"/>
      <c r="S64" s="26">
        <f t="shared" si="3"/>
        <v>0</v>
      </c>
      <c r="T64" s="25" t="str">
        <f t="shared" si="4"/>
        <v>OK</v>
      </c>
      <c r="U64" s="138"/>
      <c r="V64" s="138"/>
      <c r="W64" s="138"/>
      <c r="X64" s="139"/>
      <c r="Y64" s="139"/>
      <c r="Z64" s="139"/>
      <c r="AA64" s="138"/>
      <c r="AB64" s="138"/>
      <c r="AC64" s="138"/>
      <c r="AD64" s="138"/>
      <c r="AE64" s="138"/>
      <c r="AF64" s="138"/>
      <c r="AG64" s="138"/>
      <c r="AH64" s="110"/>
      <c r="AI64" s="110"/>
      <c r="AJ64" s="110"/>
      <c r="AK64" s="110"/>
      <c r="AL64" s="110"/>
      <c r="AM64" s="110"/>
      <c r="AN64" s="110"/>
      <c r="AO64" s="110"/>
      <c r="AP64" s="110"/>
    </row>
    <row r="65" spans="1:42" ht="30.25" customHeight="1" x14ac:dyDescent="0.35">
      <c r="A65" s="199"/>
      <c r="B65" s="37">
        <v>62</v>
      </c>
      <c r="C65" s="196"/>
      <c r="D65" s="34" t="s">
        <v>156</v>
      </c>
      <c r="E65" s="41" t="s">
        <v>8</v>
      </c>
      <c r="F65" s="43" t="s">
        <v>28</v>
      </c>
      <c r="G65" s="37" t="s">
        <v>29</v>
      </c>
      <c r="H65" s="37" t="s">
        <v>34</v>
      </c>
      <c r="I65" s="37" t="s">
        <v>9</v>
      </c>
      <c r="J65" s="36">
        <v>135</v>
      </c>
      <c r="K65" s="27">
        <f>0</f>
        <v>0</v>
      </c>
      <c r="L65" s="127">
        <f t="shared" si="5"/>
        <v>0</v>
      </c>
      <c r="M65" s="127">
        <f t="shared" si="6"/>
        <v>0</v>
      </c>
      <c r="N65" s="128"/>
      <c r="O65" s="129">
        <f t="shared" si="2"/>
        <v>0</v>
      </c>
      <c r="P65" s="128"/>
      <c r="Q65" s="128"/>
      <c r="R65" s="128"/>
      <c r="S65" s="26">
        <f t="shared" si="3"/>
        <v>0</v>
      </c>
      <c r="T65" s="25" t="str">
        <f t="shared" si="4"/>
        <v>OK</v>
      </c>
      <c r="U65" s="138"/>
      <c r="V65" s="138"/>
      <c r="W65" s="138"/>
      <c r="X65" s="139"/>
      <c r="Y65" s="139"/>
      <c r="Z65" s="139"/>
      <c r="AA65" s="138"/>
      <c r="AB65" s="138"/>
      <c r="AC65" s="138"/>
      <c r="AD65" s="138"/>
      <c r="AE65" s="138"/>
      <c r="AF65" s="138"/>
      <c r="AG65" s="138"/>
      <c r="AH65" s="110"/>
      <c r="AI65" s="110"/>
      <c r="AJ65" s="110"/>
      <c r="AK65" s="110"/>
      <c r="AL65" s="110"/>
      <c r="AM65" s="110"/>
      <c r="AN65" s="110"/>
      <c r="AO65" s="110"/>
      <c r="AP65" s="110"/>
    </row>
    <row r="66" spans="1:42" ht="30.25" customHeight="1" x14ac:dyDescent="0.35">
      <c r="A66" s="199"/>
      <c r="B66" s="37">
        <v>63</v>
      </c>
      <c r="C66" s="196"/>
      <c r="D66" s="34" t="s">
        <v>13</v>
      </c>
      <c r="E66" s="41" t="s">
        <v>8</v>
      </c>
      <c r="F66" s="43" t="s">
        <v>28</v>
      </c>
      <c r="G66" s="37" t="s">
        <v>29</v>
      </c>
      <c r="H66" s="37" t="s">
        <v>34</v>
      </c>
      <c r="I66" s="37" t="s">
        <v>9</v>
      </c>
      <c r="J66" s="36">
        <v>135</v>
      </c>
      <c r="K66" s="27">
        <f>0</f>
        <v>0</v>
      </c>
      <c r="L66" s="127">
        <f t="shared" si="5"/>
        <v>0</v>
      </c>
      <c r="M66" s="127">
        <f t="shared" si="6"/>
        <v>0</v>
      </c>
      <c r="N66" s="128"/>
      <c r="O66" s="129">
        <f t="shared" si="2"/>
        <v>0</v>
      </c>
      <c r="P66" s="128"/>
      <c r="Q66" s="128"/>
      <c r="R66" s="128"/>
      <c r="S66" s="26">
        <f t="shared" si="3"/>
        <v>0</v>
      </c>
      <c r="T66" s="25" t="str">
        <f t="shared" si="4"/>
        <v>OK</v>
      </c>
      <c r="U66" s="138"/>
      <c r="V66" s="138"/>
      <c r="W66" s="138"/>
      <c r="X66" s="139"/>
      <c r="Y66" s="139"/>
      <c r="Z66" s="139"/>
      <c r="AA66" s="138"/>
      <c r="AB66" s="138"/>
      <c r="AC66" s="138"/>
      <c r="AD66" s="138"/>
      <c r="AE66" s="138"/>
      <c r="AF66" s="138"/>
      <c r="AG66" s="138"/>
      <c r="AH66" s="110"/>
      <c r="AI66" s="110"/>
      <c r="AJ66" s="110"/>
      <c r="AK66" s="110"/>
      <c r="AL66" s="110"/>
      <c r="AM66" s="110"/>
      <c r="AN66" s="110"/>
      <c r="AO66" s="110"/>
      <c r="AP66" s="110"/>
    </row>
    <row r="67" spans="1:42" ht="30.25" customHeight="1" x14ac:dyDescent="0.35">
      <c r="A67" s="199"/>
      <c r="B67" s="37">
        <v>64</v>
      </c>
      <c r="C67" s="196"/>
      <c r="D67" s="34" t="s">
        <v>157</v>
      </c>
      <c r="E67" s="41" t="s">
        <v>8</v>
      </c>
      <c r="F67" s="43" t="s">
        <v>28</v>
      </c>
      <c r="G67" s="37" t="s">
        <v>29</v>
      </c>
      <c r="H67" s="37" t="s">
        <v>8</v>
      </c>
      <c r="I67" s="37" t="s">
        <v>9</v>
      </c>
      <c r="J67" s="36">
        <v>365</v>
      </c>
      <c r="K67" s="27">
        <f>0</f>
        <v>0</v>
      </c>
      <c r="L67" s="127">
        <f t="shared" si="5"/>
        <v>0</v>
      </c>
      <c r="M67" s="127">
        <f t="shared" si="6"/>
        <v>0</v>
      </c>
      <c r="N67" s="128"/>
      <c r="O67" s="129">
        <f t="shared" si="2"/>
        <v>0</v>
      </c>
      <c r="P67" s="128"/>
      <c r="Q67" s="128"/>
      <c r="R67" s="128"/>
      <c r="S67" s="26">
        <f t="shared" si="3"/>
        <v>0</v>
      </c>
      <c r="T67" s="25" t="str">
        <f t="shared" si="4"/>
        <v>OK</v>
      </c>
      <c r="U67" s="138"/>
      <c r="V67" s="138"/>
      <c r="W67" s="138"/>
      <c r="X67" s="139"/>
      <c r="Y67" s="139"/>
      <c r="Z67" s="139"/>
      <c r="AA67" s="138"/>
      <c r="AB67" s="138"/>
      <c r="AC67" s="138"/>
      <c r="AD67" s="138"/>
      <c r="AE67" s="138"/>
      <c r="AF67" s="138"/>
      <c r="AG67" s="138"/>
      <c r="AH67" s="110"/>
      <c r="AI67" s="110"/>
      <c r="AJ67" s="110"/>
      <c r="AK67" s="110"/>
      <c r="AL67" s="110"/>
      <c r="AM67" s="110"/>
      <c r="AN67" s="110"/>
      <c r="AO67" s="110"/>
      <c r="AP67" s="110"/>
    </row>
    <row r="68" spans="1:42" ht="30.25" customHeight="1" x14ac:dyDescent="0.35">
      <c r="A68" s="200"/>
      <c r="B68" s="37">
        <v>65</v>
      </c>
      <c r="C68" s="197"/>
      <c r="D68" s="34" t="s">
        <v>30</v>
      </c>
      <c r="E68" s="41" t="s">
        <v>8</v>
      </c>
      <c r="F68" s="43" t="s">
        <v>28</v>
      </c>
      <c r="G68" s="37" t="s">
        <v>29</v>
      </c>
      <c r="H68" s="37" t="s">
        <v>8</v>
      </c>
      <c r="I68" s="37" t="s">
        <v>9</v>
      </c>
      <c r="J68" s="36">
        <v>100</v>
      </c>
      <c r="K68" s="27">
        <f>0</f>
        <v>0</v>
      </c>
      <c r="L68" s="127">
        <f t="shared" ref="L68:L81" si="7">IF(SUM(U68:AR68)&gt;K68+N68,K68+N68,SUM(U68:AR68))</f>
        <v>0</v>
      </c>
      <c r="M68" s="127">
        <f t="shared" ref="M68:M81" si="8">(SUM(U68:AR68))</f>
        <v>0</v>
      </c>
      <c r="N68" s="128"/>
      <c r="O68" s="129">
        <f t="shared" si="2"/>
        <v>0</v>
      </c>
      <c r="P68" s="128"/>
      <c r="Q68" s="128"/>
      <c r="R68" s="128"/>
      <c r="S68" s="26">
        <f t="shared" si="3"/>
        <v>0</v>
      </c>
      <c r="T68" s="25" t="str">
        <f t="shared" si="4"/>
        <v>OK</v>
      </c>
      <c r="U68" s="138"/>
      <c r="V68" s="138"/>
      <c r="W68" s="138"/>
      <c r="X68" s="139"/>
      <c r="Y68" s="139"/>
      <c r="Z68" s="139"/>
      <c r="AA68" s="138"/>
      <c r="AB68" s="138"/>
      <c r="AC68" s="138"/>
      <c r="AD68" s="138"/>
      <c r="AE68" s="138"/>
      <c r="AF68" s="138"/>
      <c r="AG68" s="138"/>
      <c r="AH68" s="110"/>
      <c r="AI68" s="110"/>
      <c r="AJ68" s="110"/>
      <c r="AK68" s="110"/>
      <c r="AL68" s="110"/>
      <c r="AM68" s="110"/>
      <c r="AN68" s="110"/>
      <c r="AO68" s="110"/>
      <c r="AP68" s="110"/>
    </row>
    <row r="69" spans="1:42" ht="30.25" customHeight="1" x14ac:dyDescent="0.35">
      <c r="A69" s="208" t="s">
        <v>164</v>
      </c>
      <c r="B69" s="44">
        <v>66</v>
      </c>
      <c r="C69" s="205" t="s">
        <v>92</v>
      </c>
      <c r="D69" s="46" t="s">
        <v>27</v>
      </c>
      <c r="E69" s="48" t="s">
        <v>8</v>
      </c>
      <c r="F69" s="50" t="s">
        <v>28</v>
      </c>
      <c r="G69" s="44" t="s">
        <v>29</v>
      </c>
      <c r="H69" s="44" t="s">
        <v>8</v>
      </c>
      <c r="I69" s="44" t="s">
        <v>9</v>
      </c>
      <c r="J69" s="47">
        <v>140</v>
      </c>
      <c r="K69" s="27">
        <f>0</f>
        <v>0</v>
      </c>
      <c r="L69" s="127">
        <f t="shared" si="7"/>
        <v>0</v>
      </c>
      <c r="M69" s="127">
        <f t="shared" si="8"/>
        <v>0</v>
      </c>
      <c r="N69" s="128"/>
      <c r="O69" s="129">
        <f t="shared" ref="O69:O82" si="9">ROUND(IF(K69*0.25-0.5&lt;0,0,K69*0.25-0.5),0)-R69-P69</f>
        <v>0</v>
      </c>
      <c r="P69" s="128"/>
      <c r="Q69" s="128"/>
      <c r="R69" s="128"/>
      <c r="S69" s="26">
        <f t="shared" ref="S69:S81" si="10">K69-SUM(U69:AP69)+N69</f>
        <v>0</v>
      </c>
      <c r="T69" s="25" t="str">
        <f t="shared" ref="T69:T82" si="11">IF(S69&lt;0,"ATENÇÃO","OK")</f>
        <v>OK</v>
      </c>
      <c r="U69" s="138"/>
      <c r="V69" s="138"/>
      <c r="W69" s="138"/>
      <c r="X69" s="139"/>
      <c r="Y69" s="139"/>
      <c r="Z69" s="139"/>
      <c r="AA69" s="138"/>
      <c r="AB69" s="138"/>
      <c r="AC69" s="138"/>
      <c r="AD69" s="138"/>
      <c r="AE69" s="138"/>
      <c r="AF69" s="138"/>
      <c r="AG69" s="138"/>
      <c r="AH69" s="110"/>
      <c r="AI69" s="110"/>
      <c r="AJ69" s="110"/>
      <c r="AK69" s="110"/>
      <c r="AL69" s="110"/>
      <c r="AM69" s="110"/>
      <c r="AN69" s="110"/>
      <c r="AO69" s="110"/>
      <c r="AP69" s="110"/>
    </row>
    <row r="70" spans="1:42" ht="30.25" customHeight="1" x14ac:dyDescent="0.35">
      <c r="A70" s="209"/>
      <c r="B70" s="44">
        <v>67</v>
      </c>
      <c r="C70" s="206"/>
      <c r="D70" s="46" t="s">
        <v>7</v>
      </c>
      <c r="E70" s="48" t="s">
        <v>8</v>
      </c>
      <c r="F70" s="50" t="s">
        <v>28</v>
      </c>
      <c r="G70" s="44" t="s">
        <v>29</v>
      </c>
      <c r="H70" s="44" t="s">
        <v>8</v>
      </c>
      <c r="I70" s="44" t="s">
        <v>9</v>
      </c>
      <c r="J70" s="47">
        <v>530</v>
      </c>
      <c r="K70" s="27">
        <f>0</f>
        <v>0</v>
      </c>
      <c r="L70" s="127">
        <f t="shared" si="7"/>
        <v>0</v>
      </c>
      <c r="M70" s="127">
        <f t="shared" si="8"/>
        <v>0</v>
      </c>
      <c r="N70" s="128"/>
      <c r="O70" s="129">
        <f t="shared" si="9"/>
        <v>0</v>
      </c>
      <c r="P70" s="128"/>
      <c r="Q70" s="128"/>
      <c r="R70" s="128"/>
      <c r="S70" s="26">
        <f t="shared" si="10"/>
        <v>0</v>
      </c>
      <c r="T70" s="25" t="str">
        <f t="shared" si="11"/>
        <v>OK</v>
      </c>
      <c r="U70" s="138"/>
      <c r="V70" s="138"/>
      <c r="W70" s="138"/>
      <c r="X70" s="139"/>
      <c r="Y70" s="139"/>
      <c r="Z70" s="139"/>
      <c r="AA70" s="138"/>
      <c r="AB70" s="138"/>
      <c r="AC70" s="138"/>
      <c r="AD70" s="138"/>
      <c r="AE70" s="138"/>
      <c r="AF70" s="138"/>
      <c r="AG70" s="138"/>
      <c r="AH70" s="110"/>
      <c r="AI70" s="110"/>
      <c r="AJ70" s="110"/>
      <c r="AK70" s="110"/>
      <c r="AL70" s="110"/>
      <c r="AM70" s="110"/>
      <c r="AN70" s="110"/>
      <c r="AO70" s="110"/>
      <c r="AP70" s="110"/>
    </row>
    <row r="71" spans="1:42" ht="30.25" customHeight="1" x14ac:dyDescent="0.35">
      <c r="A71" s="209"/>
      <c r="B71" s="44">
        <v>68</v>
      </c>
      <c r="C71" s="206"/>
      <c r="D71" s="46" t="s">
        <v>10</v>
      </c>
      <c r="E71" s="48" t="s">
        <v>8</v>
      </c>
      <c r="F71" s="50" t="s">
        <v>28</v>
      </c>
      <c r="G71" s="44" t="s">
        <v>29</v>
      </c>
      <c r="H71" s="44" t="s">
        <v>8</v>
      </c>
      <c r="I71" s="44" t="s">
        <v>9</v>
      </c>
      <c r="J71" s="47">
        <v>660</v>
      </c>
      <c r="K71" s="27">
        <f>0</f>
        <v>0</v>
      </c>
      <c r="L71" s="127">
        <f t="shared" si="7"/>
        <v>0</v>
      </c>
      <c r="M71" s="127">
        <f t="shared" si="8"/>
        <v>0</v>
      </c>
      <c r="N71" s="128"/>
      <c r="O71" s="129">
        <f t="shared" si="9"/>
        <v>0</v>
      </c>
      <c r="P71" s="128"/>
      <c r="Q71" s="128"/>
      <c r="R71" s="128"/>
      <c r="S71" s="26">
        <f t="shared" si="10"/>
        <v>0</v>
      </c>
      <c r="T71" s="25" t="str">
        <f t="shared" si="11"/>
        <v>OK</v>
      </c>
      <c r="U71" s="138"/>
      <c r="V71" s="138"/>
      <c r="W71" s="138"/>
      <c r="X71" s="139"/>
      <c r="Y71" s="139"/>
      <c r="Z71" s="139"/>
      <c r="AA71" s="138"/>
      <c r="AB71" s="138"/>
      <c r="AC71" s="138"/>
      <c r="AD71" s="138"/>
      <c r="AE71" s="138"/>
      <c r="AF71" s="138"/>
      <c r="AG71" s="138"/>
      <c r="AH71" s="110"/>
      <c r="AI71" s="110"/>
      <c r="AJ71" s="110"/>
      <c r="AK71" s="110"/>
      <c r="AL71" s="110"/>
      <c r="AM71" s="110"/>
      <c r="AN71" s="110"/>
      <c r="AO71" s="110"/>
      <c r="AP71" s="110"/>
    </row>
    <row r="72" spans="1:42" ht="30.25" customHeight="1" x14ac:dyDescent="0.35">
      <c r="A72" s="209"/>
      <c r="B72" s="44">
        <v>69</v>
      </c>
      <c r="C72" s="206"/>
      <c r="D72" s="46" t="s">
        <v>11</v>
      </c>
      <c r="E72" s="48" t="s">
        <v>8</v>
      </c>
      <c r="F72" s="50" t="s">
        <v>28</v>
      </c>
      <c r="G72" s="44" t="s">
        <v>29</v>
      </c>
      <c r="H72" s="44" t="s">
        <v>8</v>
      </c>
      <c r="I72" s="44" t="s">
        <v>9</v>
      </c>
      <c r="J72" s="47">
        <v>760</v>
      </c>
      <c r="K72" s="27">
        <f>0</f>
        <v>0</v>
      </c>
      <c r="L72" s="127">
        <f t="shared" si="7"/>
        <v>0</v>
      </c>
      <c r="M72" s="127">
        <f t="shared" si="8"/>
        <v>0</v>
      </c>
      <c r="N72" s="128"/>
      <c r="O72" s="129">
        <f t="shared" si="9"/>
        <v>0</v>
      </c>
      <c r="P72" s="128"/>
      <c r="Q72" s="128"/>
      <c r="R72" s="128"/>
      <c r="S72" s="26">
        <f t="shared" si="10"/>
        <v>0</v>
      </c>
      <c r="T72" s="25" t="str">
        <f t="shared" si="11"/>
        <v>OK</v>
      </c>
      <c r="U72" s="138"/>
      <c r="V72" s="138"/>
      <c r="W72" s="138"/>
      <c r="X72" s="139"/>
      <c r="Y72" s="139"/>
      <c r="Z72" s="139"/>
      <c r="AA72" s="138"/>
      <c r="AB72" s="138"/>
      <c r="AC72" s="138"/>
      <c r="AD72" s="138"/>
      <c r="AE72" s="138"/>
      <c r="AF72" s="138"/>
      <c r="AG72" s="138"/>
      <c r="AH72" s="110"/>
      <c r="AI72" s="110"/>
      <c r="AJ72" s="110"/>
      <c r="AK72" s="110"/>
      <c r="AL72" s="110"/>
      <c r="AM72" s="110"/>
      <c r="AN72" s="110"/>
      <c r="AO72" s="110"/>
      <c r="AP72" s="110"/>
    </row>
    <row r="73" spans="1:42" ht="30.25" customHeight="1" x14ac:dyDescent="0.35">
      <c r="A73" s="209"/>
      <c r="B73" s="44">
        <v>70</v>
      </c>
      <c r="C73" s="206"/>
      <c r="D73" s="46" t="s">
        <v>12</v>
      </c>
      <c r="E73" s="48" t="s">
        <v>8</v>
      </c>
      <c r="F73" s="50" t="s">
        <v>28</v>
      </c>
      <c r="G73" s="44" t="s">
        <v>29</v>
      </c>
      <c r="H73" s="44" t="s">
        <v>34</v>
      </c>
      <c r="I73" s="44" t="s">
        <v>9</v>
      </c>
      <c r="J73" s="47">
        <v>70</v>
      </c>
      <c r="K73" s="27">
        <f>0</f>
        <v>0</v>
      </c>
      <c r="L73" s="127">
        <f t="shared" si="7"/>
        <v>0</v>
      </c>
      <c r="M73" s="127">
        <f t="shared" si="8"/>
        <v>0</v>
      </c>
      <c r="N73" s="128"/>
      <c r="O73" s="129">
        <f t="shared" si="9"/>
        <v>0</v>
      </c>
      <c r="P73" s="128"/>
      <c r="Q73" s="128"/>
      <c r="R73" s="128"/>
      <c r="S73" s="26">
        <f t="shared" si="10"/>
        <v>0</v>
      </c>
      <c r="T73" s="25" t="str">
        <f t="shared" si="11"/>
        <v>OK</v>
      </c>
      <c r="U73" s="138"/>
      <c r="V73" s="138"/>
      <c r="W73" s="138"/>
      <c r="X73" s="139"/>
      <c r="Y73" s="139"/>
      <c r="Z73" s="139"/>
      <c r="AA73" s="138"/>
      <c r="AB73" s="138"/>
      <c r="AC73" s="138"/>
      <c r="AD73" s="138"/>
      <c r="AE73" s="138"/>
      <c r="AF73" s="138"/>
      <c r="AG73" s="138"/>
      <c r="AH73" s="110"/>
      <c r="AI73" s="110"/>
      <c r="AJ73" s="110"/>
      <c r="AK73" s="110"/>
      <c r="AL73" s="110"/>
      <c r="AM73" s="110"/>
      <c r="AN73" s="110"/>
      <c r="AO73" s="110"/>
      <c r="AP73" s="110"/>
    </row>
    <row r="74" spans="1:42" ht="30.25" customHeight="1" x14ac:dyDescent="0.35">
      <c r="A74" s="209"/>
      <c r="B74" s="44">
        <v>71</v>
      </c>
      <c r="C74" s="206"/>
      <c r="D74" s="46" t="s">
        <v>156</v>
      </c>
      <c r="E74" s="48" t="s">
        <v>8</v>
      </c>
      <c r="F74" s="50" t="s">
        <v>28</v>
      </c>
      <c r="G74" s="44" t="s">
        <v>29</v>
      </c>
      <c r="H74" s="44" t="s">
        <v>34</v>
      </c>
      <c r="I74" s="44" t="s">
        <v>9</v>
      </c>
      <c r="J74" s="47">
        <v>75</v>
      </c>
      <c r="K74" s="27">
        <f>0</f>
        <v>0</v>
      </c>
      <c r="L74" s="127">
        <f t="shared" si="7"/>
        <v>0</v>
      </c>
      <c r="M74" s="127">
        <f t="shared" si="8"/>
        <v>0</v>
      </c>
      <c r="N74" s="128"/>
      <c r="O74" s="129">
        <f t="shared" si="9"/>
        <v>0</v>
      </c>
      <c r="P74" s="128"/>
      <c r="Q74" s="128"/>
      <c r="R74" s="128"/>
      <c r="S74" s="26">
        <f t="shared" si="10"/>
        <v>0</v>
      </c>
      <c r="T74" s="25" t="str">
        <f t="shared" si="11"/>
        <v>OK</v>
      </c>
      <c r="U74" s="138"/>
      <c r="V74" s="138"/>
      <c r="W74" s="138"/>
      <c r="X74" s="139"/>
      <c r="Y74" s="139"/>
      <c r="Z74" s="139"/>
      <c r="AA74" s="138"/>
      <c r="AB74" s="138"/>
      <c r="AC74" s="138"/>
      <c r="AD74" s="138"/>
      <c r="AE74" s="138"/>
      <c r="AF74" s="138"/>
      <c r="AG74" s="138"/>
      <c r="AH74" s="110"/>
      <c r="AI74" s="110"/>
      <c r="AJ74" s="110"/>
      <c r="AK74" s="110"/>
      <c r="AL74" s="110"/>
      <c r="AM74" s="110"/>
      <c r="AN74" s="110"/>
      <c r="AO74" s="110"/>
      <c r="AP74" s="110"/>
    </row>
    <row r="75" spans="1:42" ht="30.25" customHeight="1" x14ac:dyDescent="0.35">
      <c r="A75" s="209"/>
      <c r="B75" s="44">
        <v>72</v>
      </c>
      <c r="C75" s="206"/>
      <c r="D75" s="46" t="s">
        <v>13</v>
      </c>
      <c r="E75" s="48" t="s">
        <v>8</v>
      </c>
      <c r="F75" s="50" t="s">
        <v>28</v>
      </c>
      <c r="G75" s="44" t="s">
        <v>29</v>
      </c>
      <c r="H75" s="44" t="s">
        <v>34</v>
      </c>
      <c r="I75" s="44" t="s">
        <v>9</v>
      </c>
      <c r="J75" s="47">
        <v>80</v>
      </c>
      <c r="K75" s="27">
        <f>0</f>
        <v>0</v>
      </c>
      <c r="L75" s="127">
        <f t="shared" si="7"/>
        <v>0</v>
      </c>
      <c r="M75" s="127">
        <f t="shared" si="8"/>
        <v>0</v>
      </c>
      <c r="N75" s="128"/>
      <c r="O75" s="129">
        <f t="shared" si="9"/>
        <v>0</v>
      </c>
      <c r="P75" s="128"/>
      <c r="Q75" s="128"/>
      <c r="R75" s="128"/>
      <c r="S75" s="26">
        <f t="shared" si="10"/>
        <v>0</v>
      </c>
      <c r="T75" s="25" t="str">
        <f t="shared" si="11"/>
        <v>OK</v>
      </c>
      <c r="U75" s="138"/>
      <c r="V75" s="138"/>
      <c r="W75" s="138"/>
      <c r="X75" s="139"/>
      <c r="Y75" s="139"/>
      <c r="Z75" s="139"/>
      <c r="AA75" s="138"/>
      <c r="AB75" s="138"/>
      <c r="AC75" s="138"/>
      <c r="AD75" s="138"/>
      <c r="AE75" s="138"/>
      <c r="AF75" s="138"/>
      <c r="AG75" s="138"/>
      <c r="AH75" s="110"/>
      <c r="AI75" s="110"/>
      <c r="AJ75" s="110"/>
      <c r="AK75" s="110"/>
      <c r="AL75" s="110"/>
      <c r="AM75" s="110"/>
      <c r="AN75" s="110"/>
      <c r="AO75" s="110"/>
      <c r="AP75" s="110"/>
    </row>
    <row r="76" spans="1:42" ht="30.25" customHeight="1" x14ac:dyDescent="0.35">
      <c r="A76" s="209"/>
      <c r="B76" s="44">
        <v>73</v>
      </c>
      <c r="C76" s="206"/>
      <c r="D76" s="46" t="s">
        <v>157</v>
      </c>
      <c r="E76" s="48" t="s">
        <v>8</v>
      </c>
      <c r="F76" s="50" t="s">
        <v>28</v>
      </c>
      <c r="G76" s="44" t="s">
        <v>29</v>
      </c>
      <c r="H76" s="44" t="s">
        <v>8</v>
      </c>
      <c r="I76" s="44" t="s">
        <v>9</v>
      </c>
      <c r="J76" s="47">
        <v>150</v>
      </c>
      <c r="K76" s="27">
        <f>0</f>
        <v>0</v>
      </c>
      <c r="L76" s="127">
        <f t="shared" si="7"/>
        <v>0</v>
      </c>
      <c r="M76" s="127">
        <f t="shared" si="8"/>
        <v>0</v>
      </c>
      <c r="N76" s="128"/>
      <c r="O76" s="129">
        <f t="shared" si="9"/>
        <v>0</v>
      </c>
      <c r="P76" s="128"/>
      <c r="Q76" s="128"/>
      <c r="R76" s="128"/>
      <c r="S76" s="26">
        <f t="shared" si="10"/>
        <v>0</v>
      </c>
      <c r="T76" s="25" t="str">
        <f t="shared" si="11"/>
        <v>OK</v>
      </c>
      <c r="U76" s="138"/>
      <c r="V76" s="138"/>
      <c r="W76" s="138"/>
      <c r="X76" s="139"/>
      <c r="Y76" s="139"/>
      <c r="Z76" s="139"/>
      <c r="AA76" s="138"/>
      <c r="AB76" s="138"/>
      <c r="AC76" s="138"/>
      <c r="AD76" s="138"/>
      <c r="AE76" s="138"/>
      <c r="AF76" s="138"/>
      <c r="AG76" s="138"/>
      <c r="AH76" s="110"/>
      <c r="AI76" s="110"/>
      <c r="AJ76" s="110"/>
      <c r="AK76" s="110"/>
      <c r="AL76" s="110"/>
      <c r="AM76" s="110"/>
      <c r="AN76" s="110"/>
      <c r="AO76" s="110"/>
      <c r="AP76" s="110"/>
    </row>
    <row r="77" spans="1:42" ht="30.25" customHeight="1" x14ac:dyDescent="0.35">
      <c r="A77" s="209"/>
      <c r="B77" s="44">
        <v>74</v>
      </c>
      <c r="C77" s="206"/>
      <c r="D77" s="46" t="s">
        <v>30</v>
      </c>
      <c r="E77" s="48" t="s">
        <v>8</v>
      </c>
      <c r="F77" s="50" t="s">
        <v>28</v>
      </c>
      <c r="G77" s="44" t="s">
        <v>29</v>
      </c>
      <c r="H77" s="44" t="s">
        <v>8</v>
      </c>
      <c r="I77" s="44" t="s">
        <v>9</v>
      </c>
      <c r="J77" s="47">
        <v>150</v>
      </c>
      <c r="K77" s="27">
        <f>0</f>
        <v>0</v>
      </c>
      <c r="L77" s="127">
        <f t="shared" si="7"/>
        <v>0</v>
      </c>
      <c r="M77" s="127">
        <f t="shared" si="8"/>
        <v>0</v>
      </c>
      <c r="N77" s="128"/>
      <c r="O77" s="129">
        <f t="shared" si="9"/>
        <v>0</v>
      </c>
      <c r="P77" s="128"/>
      <c r="Q77" s="128"/>
      <c r="R77" s="128"/>
      <c r="S77" s="26">
        <f t="shared" si="10"/>
        <v>0</v>
      </c>
      <c r="T77" s="25" t="str">
        <f t="shared" si="11"/>
        <v>OK</v>
      </c>
      <c r="U77" s="138"/>
      <c r="V77" s="138"/>
      <c r="W77" s="138"/>
      <c r="X77" s="139"/>
      <c r="Y77" s="139"/>
      <c r="Z77" s="139"/>
      <c r="AA77" s="138"/>
      <c r="AB77" s="138"/>
      <c r="AC77" s="138"/>
      <c r="AD77" s="138"/>
      <c r="AE77" s="138"/>
      <c r="AF77" s="138"/>
      <c r="AG77" s="138"/>
      <c r="AH77" s="110"/>
      <c r="AI77" s="110"/>
      <c r="AJ77" s="110"/>
      <c r="AK77" s="110"/>
      <c r="AL77" s="110"/>
      <c r="AM77" s="110"/>
      <c r="AN77" s="110"/>
      <c r="AO77" s="110"/>
      <c r="AP77" s="110"/>
    </row>
    <row r="78" spans="1:42" ht="30.25" customHeight="1" x14ac:dyDescent="0.35">
      <c r="A78" s="210"/>
      <c r="B78" s="44">
        <v>75</v>
      </c>
      <c r="C78" s="207"/>
      <c r="D78" s="46" t="s">
        <v>165</v>
      </c>
      <c r="E78" s="48" t="s">
        <v>8</v>
      </c>
      <c r="F78" s="50" t="s">
        <v>28</v>
      </c>
      <c r="G78" s="44" t="s">
        <v>29</v>
      </c>
      <c r="H78" s="44" t="s">
        <v>8</v>
      </c>
      <c r="I78" s="44" t="s">
        <v>9</v>
      </c>
      <c r="J78" s="47">
        <v>300</v>
      </c>
      <c r="K78" s="27">
        <f>0</f>
        <v>0</v>
      </c>
      <c r="L78" s="127">
        <f t="shared" si="7"/>
        <v>0</v>
      </c>
      <c r="M78" s="127">
        <f t="shared" si="8"/>
        <v>0</v>
      </c>
      <c r="N78" s="128"/>
      <c r="O78" s="129">
        <f t="shared" si="9"/>
        <v>0</v>
      </c>
      <c r="P78" s="128"/>
      <c r="Q78" s="128"/>
      <c r="R78" s="128"/>
      <c r="S78" s="26">
        <f t="shared" si="10"/>
        <v>0</v>
      </c>
      <c r="T78" s="25" t="str">
        <f t="shared" si="11"/>
        <v>OK</v>
      </c>
      <c r="U78" s="138"/>
      <c r="V78" s="138"/>
      <c r="W78" s="138"/>
      <c r="X78" s="139"/>
      <c r="Y78" s="139"/>
      <c r="Z78" s="139"/>
      <c r="AA78" s="138"/>
      <c r="AB78" s="138"/>
      <c r="AC78" s="138"/>
      <c r="AD78" s="138"/>
      <c r="AE78" s="138"/>
      <c r="AF78" s="138"/>
      <c r="AG78" s="138"/>
      <c r="AH78" s="110"/>
      <c r="AI78" s="110"/>
      <c r="AJ78" s="110"/>
      <c r="AK78" s="110"/>
      <c r="AL78" s="110"/>
      <c r="AM78" s="110"/>
      <c r="AN78" s="110"/>
      <c r="AO78" s="110"/>
      <c r="AP78" s="110"/>
    </row>
    <row r="79" spans="1:42" ht="30.25" customHeight="1" x14ac:dyDescent="0.35">
      <c r="A79" s="198" t="s">
        <v>166</v>
      </c>
      <c r="B79" s="37">
        <v>76</v>
      </c>
      <c r="C79" s="195" t="s">
        <v>33</v>
      </c>
      <c r="D79" s="34" t="s">
        <v>7</v>
      </c>
      <c r="E79" s="41" t="s">
        <v>8</v>
      </c>
      <c r="F79" s="43" t="s">
        <v>28</v>
      </c>
      <c r="G79" s="37" t="s">
        <v>29</v>
      </c>
      <c r="H79" s="37" t="s">
        <v>8</v>
      </c>
      <c r="I79" s="37" t="s">
        <v>9</v>
      </c>
      <c r="J79" s="36">
        <v>1001</v>
      </c>
      <c r="K79" s="27">
        <f>0</f>
        <v>0</v>
      </c>
      <c r="L79" s="127">
        <f t="shared" si="7"/>
        <v>0</v>
      </c>
      <c r="M79" s="127">
        <f t="shared" si="8"/>
        <v>0</v>
      </c>
      <c r="N79" s="128"/>
      <c r="O79" s="129">
        <f t="shared" si="9"/>
        <v>0</v>
      </c>
      <c r="P79" s="128"/>
      <c r="Q79" s="128"/>
      <c r="R79" s="128"/>
      <c r="S79" s="26">
        <f t="shared" si="10"/>
        <v>0</v>
      </c>
      <c r="T79" s="25" t="str">
        <f t="shared" si="11"/>
        <v>OK</v>
      </c>
      <c r="U79" s="138"/>
      <c r="V79" s="138"/>
      <c r="W79" s="138"/>
      <c r="X79" s="139"/>
      <c r="Y79" s="139"/>
      <c r="Z79" s="139"/>
      <c r="AA79" s="138"/>
      <c r="AB79" s="138"/>
      <c r="AC79" s="138"/>
      <c r="AD79" s="138"/>
      <c r="AE79" s="138"/>
      <c r="AF79" s="138"/>
      <c r="AG79" s="138"/>
      <c r="AH79" s="110"/>
      <c r="AI79" s="110"/>
      <c r="AJ79" s="110"/>
      <c r="AK79" s="110"/>
      <c r="AL79" s="110"/>
      <c r="AM79" s="110"/>
      <c r="AN79" s="110"/>
      <c r="AO79" s="110"/>
      <c r="AP79" s="110"/>
    </row>
    <row r="80" spans="1:42" ht="30.25" customHeight="1" x14ac:dyDescent="0.35">
      <c r="A80" s="199"/>
      <c r="B80" s="37">
        <v>77</v>
      </c>
      <c r="C80" s="196"/>
      <c r="D80" s="34" t="s">
        <v>12</v>
      </c>
      <c r="E80" s="41" t="s">
        <v>8</v>
      </c>
      <c r="F80" s="43" t="s">
        <v>28</v>
      </c>
      <c r="G80" s="37" t="s">
        <v>29</v>
      </c>
      <c r="H80" s="37" t="s">
        <v>34</v>
      </c>
      <c r="I80" s="37" t="s">
        <v>9</v>
      </c>
      <c r="J80" s="36">
        <v>130</v>
      </c>
      <c r="K80" s="27">
        <f>0</f>
        <v>0</v>
      </c>
      <c r="L80" s="127">
        <f t="shared" si="7"/>
        <v>0</v>
      </c>
      <c r="M80" s="127">
        <f t="shared" si="8"/>
        <v>0</v>
      </c>
      <c r="N80" s="128"/>
      <c r="O80" s="129">
        <f t="shared" si="9"/>
        <v>0</v>
      </c>
      <c r="P80" s="128"/>
      <c r="Q80" s="128"/>
      <c r="R80" s="128"/>
      <c r="S80" s="26">
        <f t="shared" si="10"/>
        <v>0</v>
      </c>
      <c r="T80" s="25" t="str">
        <f t="shared" si="11"/>
        <v>OK</v>
      </c>
      <c r="U80" s="138"/>
      <c r="V80" s="138"/>
      <c r="W80" s="138"/>
      <c r="X80" s="139"/>
      <c r="Y80" s="139"/>
      <c r="Z80" s="139"/>
      <c r="AA80" s="138"/>
      <c r="AB80" s="138"/>
      <c r="AC80" s="138"/>
      <c r="AD80" s="138"/>
      <c r="AE80" s="138"/>
      <c r="AF80" s="138"/>
      <c r="AG80" s="138"/>
      <c r="AH80" s="110"/>
      <c r="AI80" s="110"/>
      <c r="AJ80" s="110"/>
      <c r="AK80" s="110"/>
      <c r="AL80" s="110"/>
      <c r="AM80" s="110"/>
      <c r="AN80" s="110"/>
      <c r="AO80" s="110"/>
      <c r="AP80" s="110"/>
    </row>
    <row r="81" spans="1:42" ht="30.25" customHeight="1" x14ac:dyDescent="0.35">
      <c r="A81" s="200"/>
      <c r="B81" s="37">
        <v>78</v>
      </c>
      <c r="C81" s="197"/>
      <c r="D81" s="34" t="s">
        <v>157</v>
      </c>
      <c r="E81" s="41" t="s">
        <v>8</v>
      </c>
      <c r="F81" s="43" t="s">
        <v>28</v>
      </c>
      <c r="G81" s="37" t="s">
        <v>29</v>
      </c>
      <c r="H81" s="37" t="s">
        <v>8</v>
      </c>
      <c r="I81" s="37" t="s">
        <v>9</v>
      </c>
      <c r="J81" s="36">
        <v>200</v>
      </c>
      <c r="K81" s="27">
        <f>0</f>
        <v>0</v>
      </c>
      <c r="L81" s="127">
        <f t="shared" si="7"/>
        <v>0</v>
      </c>
      <c r="M81" s="127">
        <f t="shared" si="8"/>
        <v>0</v>
      </c>
      <c r="N81" s="128"/>
      <c r="O81" s="129">
        <f t="shared" si="9"/>
        <v>0</v>
      </c>
      <c r="P81" s="128"/>
      <c r="Q81" s="128"/>
      <c r="R81" s="128"/>
      <c r="S81" s="26">
        <f t="shared" si="10"/>
        <v>0</v>
      </c>
      <c r="T81" s="25" t="str">
        <f t="shared" si="11"/>
        <v>OK</v>
      </c>
      <c r="U81" s="138"/>
      <c r="V81" s="138"/>
      <c r="W81" s="138"/>
      <c r="X81" s="139"/>
      <c r="Y81" s="139"/>
      <c r="Z81" s="139"/>
      <c r="AA81" s="138"/>
      <c r="AB81" s="138"/>
      <c r="AC81" s="138"/>
      <c r="AD81" s="138"/>
      <c r="AE81" s="138"/>
      <c r="AF81" s="138"/>
      <c r="AG81" s="138"/>
      <c r="AH81" s="110"/>
      <c r="AI81" s="110"/>
      <c r="AJ81" s="110"/>
      <c r="AK81" s="110"/>
      <c r="AL81" s="110"/>
      <c r="AM81" s="110"/>
      <c r="AN81" s="110"/>
      <c r="AO81" s="110"/>
      <c r="AP81" s="110"/>
    </row>
    <row r="82" spans="1:42" ht="15" thickBot="1" x14ac:dyDescent="0.4">
      <c r="K82" s="4">
        <f>SUM(K4:K81)</f>
        <v>261</v>
      </c>
      <c r="N82" s="132"/>
      <c r="O82" s="132">
        <f t="shared" si="9"/>
        <v>65</v>
      </c>
      <c r="P82" s="132"/>
      <c r="Q82" s="132"/>
      <c r="R82" s="132"/>
      <c r="S82" s="12">
        <f>SUM(S4:S81)</f>
        <v>34</v>
      </c>
      <c r="T82" s="5" t="str">
        <f t="shared" si="11"/>
        <v>OK</v>
      </c>
      <c r="U82" s="30">
        <f t="shared" ref="U82:AP82" si="12">SUMPRODUCT($J$4:$J$81,U4:U81)</f>
        <v>2907</v>
      </c>
      <c r="V82" s="30">
        <f t="shared" si="12"/>
        <v>1453.5</v>
      </c>
      <c r="W82" s="30">
        <f t="shared" si="12"/>
        <v>700</v>
      </c>
      <c r="X82" s="30">
        <f t="shared" si="12"/>
        <v>1651.67</v>
      </c>
      <c r="Y82" s="30">
        <f t="shared" si="12"/>
        <v>1426</v>
      </c>
      <c r="Z82" s="30">
        <f t="shared" si="12"/>
        <v>1426</v>
      </c>
      <c r="AA82" s="30">
        <f t="shared" si="12"/>
        <v>17684</v>
      </c>
      <c r="AB82" s="30">
        <f t="shared" si="12"/>
        <v>45275.340000000004</v>
      </c>
      <c r="AC82" s="30">
        <f t="shared" si="12"/>
        <v>134460</v>
      </c>
      <c r="AD82" s="30">
        <f t="shared" si="12"/>
        <v>11299.55</v>
      </c>
      <c r="AE82" s="30">
        <f t="shared" si="12"/>
        <v>27130.400000000001</v>
      </c>
      <c r="AF82" s="30">
        <f t="shared" si="12"/>
        <v>19923.060000000001</v>
      </c>
      <c r="AG82" s="30">
        <f t="shared" si="12"/>
        <v>1776</v>
      </c>
      <c r="AH82" s="30">
        <f t="shared" si="12"/>
        <v>3150</v>
      </c>
      <c r="AI82" s="30">
        <f t="shared" si="12"/>
        <v>36235</v>
      </c>
      <c r="AJ82" s="30">
        <f t="shared" si="12"/>
        <v>14346.36</v>
      </c>
      <c r="AK82" s="30">
        <f t="shared" si="12"/>
        <v>35068</v>
      </c>
      <c r="AL82" s="30">
        <f t="shared" si="12"/>
        <v>6890.12</v>
      </c>
      <c r="AM82" s="30">
        <f t="shared" si="12"/>
        <v>2640</v>
      </c>
      <c r="AN82" s="30">
        <f t="shared" si="12"/>
        <v>596.70000000000005</v>
      </c>
      <c r="AO82" s="30">
        <f t="shared" si="12"/>
        <v>9961.5300000000007</v>
      </c>
      <c r="AP82" s="30">
        <f t="shared" si="12"/>
        <v>17753.89</v>
      </c>
    </row>
    <row r="83" spans="1:42" ht="14.5" x14ac:dyDescent="0.35">
      <c r="D83" s="31" t="s">
        <v>53</v>
      </c>
      <c r="K83" s="132">
        <f>SUMPRODUCT($J$4:$J$81,K4:K81)</f>
        <v>471984.91000000009</v>
      </c>
      <c r="L83" s="132">
        <f>SUMPRODUCT($J$4:$J$81,L4:L81)</f>
        <v>393754.12000000005</v>
      </c>
      <c r="M83" s="132">
        <f>SUMPRODUCT($J$4:$J$81,M4:M81)</f>
        <v>393754.12000000005</v>
      </c>
      <c r="R83" s="126"/>
      <c r="U83" s="142"/>
      <c r="V83" s="142"/>
      <c r="W83" s="142"/>
      <c r="X83" s="142"/>
      <c r="Y83" s="142"/>
      <c r="Z83" s="142"/>
      <c r="AA83" s="142"/>
      <c r="AB83" s="142"/>
      <c r="AC83" s="142"/>
      <c r="AD83" s="142"/>
      <c r="AE83" s="142"/>
      <c r="AF83" s="142"/>
      <c r="AG83" s="142"/>
      <c r="AH83" s="142"/>
      <c r="AI83" s="142"/>
      <c r="AJ83" s="142"/>
      <c r="AK83" s="142"/>
      <c r="AL83" s="142"/>
      <c r="AM83" s="142"/>
      <c r="AN83" s="142"/>
      <c r="AO83" s="142"/>
    </row>
    <row r="84" spans="1:42" ht="29" x14ac:dyDescent="0.35">
      <c r="D84" s="32" t="s">
        <v>54</v>
      </c>
      <c r="R84" s="125"/>
      <c r="U84" s="142"/>
      <c r="V84" s="142"/>
      <c r="W84" s="142"/>
      <c r="X84" s="142"/>
      <c r="Y84" s="142"/>
      <c r="Z84" s="142"/>
      <c r="AA84" s="142"/>
      <c r="AB84" s="142"/>
      <c r="AC84" s="142"/>
      <c r="AD84" s="142"/>
      <c r="AE84" s="142"/>
      <c r="AF84" s="142"/>
      <c r="AG84" s="142"/>
      <c r="AH84" s="142"/>
      <c r="AI84" s="142"/>
      <c r="AJ84" s="142"/>
      <c r="AK84" s="142"/>
      <c r="AL84" s="142"/>
      <c r="AM84" s="142"/>
      <c r="AN84" s="142"/>
      <c r="AO84" s="142"/>
    </row>
    <row r="85" spans="1:42" ht="15.75" customHeight="1" thickBot="1" x14ac:dyDescent="0.4">
      <c r="D85" s="33" t="s">
        <v>55</v>
      </c>
      <c r="R85" s="125"/>
      <c r="U85" s="142"/>
      <c r="V85" s="142"/>
      <c r="W85" s="142"/>
      <c r="X85" s="142"/>
      <c r="Y85" s="142"/>
      <c r="Z85" s="142"/>
      <c r="AA85" s="142"/>
      <c r="AB85" s="142"/>
      <c r="AC85" s="142"/>
      <c r="AD85" s="142"/>
      <c r="AE85" s="142"/>
      <c r="AF85" s="142"/>
      <c r="AG85" s="142"/>
      <c r="AH85" s="142"/>
      <c r="AI85" s="142"/>
      <c r="AJ85" s="142"/>
      <c r="AK85" s="142"/>
      <c r="AL85" s="142"/>
      <c r="AM85" s="142"/>
      <c r="AN85" s="142"/>
      <c r="AO85" s="142"/>
    </row>
    <row r="86" spans="1:42" ht="14.5" x14ac:dyDescent="0.35">
      <c r="U86" s="142"/>
      <c r="V86" s="142"/>
      <c r="W86" s="142"/>
      <c r="X86" s="142"/>
      <c r="Y86" s="142"/>
      <c r="Z86" s="142"/>
      <c r="AA86" s="142"/>
      <c r="AB86" s="142"/>
      <c r="AC86" s="142"/>
      <c r="AD86" s="142"/>
      <c r="AE86" s="142"/>
      <c r="AF86" s="142"/>
      <c r="AG86" s="142"/>
      <c r="AH86" s="142"/>
      <c r="AI86" s="142"/>
      <c r="AJ86" s="142"/>
      <c r="AK86" s="142"/>
      <c r="AL86" s="142"/>
      <c r="AM86" s="142"/>
      <c r="AN86" s="142"/>
      <c r="AO86" s="142"/>
    </row>
    <row r="87" spans="1:42" ht="14.5" x14ac:dyDescent="0.35">
      <c r="U87" s="142"/>
      <c r="V87" s="142"/>
      <c r="W87" s="142"/>
      <c r="X87" s="142"/>
      <c r="Y87" s="142"/>
      <c r="Z87" s="142"/>
      <c r="AA87" s="142"/>
      <c r="AB87" s="142"/>
      <c r="AC87" s="142"/>
      <c r="AD87" s="142"/>
      <c r="AE87" s="142"/>
      <c r="AF87" s="142"/>
      <c r="AG87" s="142"/>
      <c r="AH87" s="142"/>
      <c r="AI87" s="142"/>
      <c r="AJ87" s="142"/>
      <c r="AK87" s="142"/>
      <c r="AL87" s="142"/>
      <c r="AM87" s="142"/>
      <c r="AN87" s="142"/>
      <c r="AO87" s="142"/>
    </row>
    <row r="88" spans="1:42" ht="14.5" x14ac:dyDescent="0.35">
      <c r="U88" s="142"/>
      <c r="V88" s="142"/>
      <c r="W88" s="142"/>
      <c r="X88" s="142"/>
      <c r="Y88" s="142"/>
      <c r="Z88" s="142"/>
      <c r="AA88" s="142"/>
      <c r="AB88" s="142"/>
      <c r="AC88" s="142"/>
      <c r="AD88" s="142"/>
      <c r="AE88" s="142"/>
      <c r="AF88" s="142"/>
      <c r="AG88" s="142"/>
      <c r="AH88" s="142"/>
      <c r="AI88" s="142"/>
      <c r="AJ88" s="142"/>
      <c r="AK88" s="142"/>
      <c r="AL88" s="142"/>
      <c r="AM88" s="142"/>
      <c r="AN88" s="142"/>
      <c r="AO88" s="142"/>
    </row>
    <row r="89" spans="1:42" ht="14.5" x14ac:dyDescent="0.35">
      <c r="U89" s="142"/>
      <c r="V89" s="142"/>
      <c r="W89" s="142"/>
      <c r="X89" s="142"/>
      <c r="Y89" s="142"/>
      <c r="Z89" s="142"/>
      <c r="AA89" s="142"/>
      <c r="AB89" s="142"/>
      <c r="AC89" s="142"/>
      <c r="AD89" s="142"/>
      <c r="AE89" s="142"/>
      <c r="AF89" s="142"/>
      <c r="AG89" s="142"/>
      <c r="AH89" s="142"/>
      <c r="AI89" s="142"/>
      <c r="AJ89" s="142"/>
      <c r="AK89" s="142"/>
      <c r="AL89" s="142"/>
      <c r="AM89" s="142"/>
      <c r="AN89" s="142"/>
      <c r="AO89" s="142"/>
    </row>
    <row r="90" spans="1:42" ht="14.5" x14ac:dyDescent="0.35">
      <c r="U90" s="142"/>
      <c r="V90" s="142"/>
      <c r="W90" s="142"/>
      <c r="X90" s="142"/>
      <c r="Y90" s="142"/>
      <c r="Z90" s="142"/>
      <c r="AA90" s="142"/>
      <c r="AB90" s="142"/>
      <c r="AC90" s="142"/>
      <c r="AD90" s="142"/>
      <c r="AE90" s="142"/>
      <c r="AF90" s="142"/>
      <c r="AG90" s="142"/>
      <c r="AH90" s="142"/>
      <c r="AI90" s="142"/>
      <c r="AJ90" s="142"/>
      <c r="AK90" s="142"/>
      <c r="AL90" s="142"/>
      <c r="AM90" s="142"/>
      <c r="AN90" s="142"/>
      <c r="AO90" s="142"/>
    </row>
    <row r="91" spans="1:42" ht="14.5" x14ac:dyDescent="0.35">
      <c r="U91" s="142"/>
      <c r="V91" s="142"/>
      <c r="W91" s="142"/>
      <c r="X91" s="142"/>
      <c r="Y91" s="142"/>
      <c r="Z91" s="142"/>
      <c r="AA91" s="142"/>
      <c r="AB91" s="142"/>
      <c r="AC91" s="142"/>
      <c r="AD91" s="142"/>
      <c r="AE91" s="142"/>
      <c r="AF91" s="142"/>
      <c r="AG91" s="142"/>
      <c r="AH91" s="142"/>
      <c r="AI91" s="142"/>
      <c r="AJ91" s="142"/>
      <c r="AK91" s="142"/>
      <c r="AL91" s="142"/>
      <c r="AM91" s="142"/>
      <c r="AN91" s="142"/>
      <c r="AO91" s="142"/>
    </row>
    <row r="92" spans="1:42" ht="14.5" x14ac:dyDescent="0.35">
      <c r="U92" s="142"/>
      <c r="V92" s="142"/>
      <c r="W92" s="142"/>
      <c r="X92" s="142"/>
      <c r="Y92" s="142"/>
      <c r="Z92" s="142"/>
      <c r="AA92" s="142"/>
      <c r="AB92" s="142"/>
      <c r="AC92" s="142"/>
      <c r="AD92" s="142"/>
      <c r="AE92" s="142"/>
      <c r="AF92" s="142"/>
      <c r="AG92" s="142"/>
      <c r="AH92" s="142"/>
      <c r="AI92" s="142"/>
      <c r="AJ92" s="142"/>
      <c r="AK92" s="142"/>
      <c r="AL92" s="142"/>
      <c r="AM92" s="142"/>
      <c r="AN92" s="142"/>
      <c r="AO92" s="142"/>
    </row>
    <row r="93" spans="1:42" ht="30.25" customHeight="1" x14ac:dyDescent="0.35">
      <c r="U93" s="142"/>
      <c r="V93" s="142"/>
      <c r="W93" s="142"/>
      <c r="X93" s="142"/>
      <c r="Y93" s="142"/>
      <c r="Z93" s="142"/>
      <c r="AA93" s="142"/>
      <c r="AB93" s="142"/>
      <c r="AC93" s="142"/>
      <c r="AD93" s="142"/>
      <c r="AE93" s="142"/>
      <c r="AF93" s="142"/>
      <c r="AG93" s="142"/>
      <c r="AH93" s="142"/>
      <c r="AI93" s="142"/>
      <c r="AJ93" s="142"/>
      <c r="AK93" s="142"/>
      <c r="AL93" s="142"/>
      <c r="AM93" s="142"/>
      <c r="AN93" s="142"/>
      <c r="AO93" s="142"/>
    </row>
  </sheetData>
  <mergeCells count="35">
    <mergeCell ref="Z1:Z2"/>
    <mergeCell ref="A79:A81"/>
    <mergeCell ref="C79:C81"/>
    <mergeCell ref="A38:A48"/>
    <mergeCell ref="C38:C48"/>
    <mergeCell ref="A49:A59"/>
    <mergeCell ref="C49:C59"/>
    <mergeCell ref="A60:A68"/>
    <mergeCell ref="C60:C68"/>
    <mergeCell ref="A69:A78"/>
    <mergeCell ref="C69:C78"/>
    <mergeCell ref="W1:W2"/>
    <mergeCell ref="A2:J2"/>
    <mergeCell ref="K2:T2"/>
    <mergeCell ref="X1:X2"/>
    <mergeCell ref="Y1:Y2"/>
    <mergeCell ref="A1:C1"/>
    <mergeCell ref="D1:J1"/>
    <mergeCell ref="K1:T1"/>
    <mergeCell ref="U1:U2"/>
    <mergeCell ref="V1:V2"/>
    <mergeCell ref="AD1:AD2"/>
    <mergeCell ref="AE1:AE2"/>
    <mergeCell ref="AF1:AF2"/>
    <mergeCell ref="AP1:AP2"/>
    <mergeCell ref="AA1:AA2"/>
    <mergeCell ref="AB1:AB2"/>
    <mergeCell ref="AC1:AC2"/>
    <mergeCell ref="AI1:AI2"/>
    <mergeCell ref="AJ1:AJ2"/>
    <mergeCell ref="AK1:AK2"/>
    <mergeCell ref="AL1:AL2"/>
    <mergeCell ref="AM1:AM2"/>
    <mergeCell ref="AN1:AN2"/>
    <mergeCell ref="AO1:AO2"/>
  </mergeCells>
  <conditionalFormatting sqref="T1 T3:T1048576">
    <cfRule type="cellIs" dxfId="30" priority="3" operator="equal">
      <formula>"ATENÇÃO"</formula>
    </cfRule>
  </conditionalFormatting>
  <conditionalFormatting sqref="AH4:AP81">
    <cfRule type="cellIs" dxfId="29" priority="1" operator="greaterThan">
      <formula>0</formula>
    </cfRule>
  </conditionalFormatting>
  <pageMargins left="0.511811024" right="0.511811024" top="0.78740157499999996" bottom="0.78740157499999996" header="0.31496062000000002" footer="0.31496062000000002"/>
  <pageSetup paperSize="9" scale="60" orientation="landscape" r:id="rId1"/>
  <colBreaks count="1" manualBreakCount="1">
    <brk id="24" max="1048575"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F64F2-A10D-4338-910E-6524B496D9D7}">
  <dimension ref="A1:AK92"/>
  <sheetViews>
    <sheetView topLeftCell="A25" zoomScaleNormal="100" workbookViewId="0">
      <selection activeCell="B45" sqref="A45:XFD45"/>
    </sheetView>
  </sheetViews>
  <sheetFormatPr defaultColWidth="9.7265625" defaultRowHeight="16" customHeight="1" x14ac:dyDescent="0.35"/>
  <cols>
    <col min="1" max="1" width="6.1796875" style="1" customWidth="1"/>
    <col min="2" max="2" width="6.453125" style="1" customWidth="1"/>
    <col min="3" max="3" width="16.26953125" style="1" customWidth="1"/>
    <col min="4" max="4" width="18.54296875" style="3" customWidth="1"/>
    <col min="5" max="5" width="16.1796875" style="1" customWidth="1"/>
    <col min="6" max="6" width="8.54296875" style="1" customWidth="1"/>
    <col min="7" max="7" width="8.453125" style="1" customWidth="1"/>
    <col min="8" max="8" width="8.26953125" style="1" customWidth="1"/>
    <col min="9" max="9" width="12.7265625" style="1" customWidth="1"/>
    <col min="10" max="10" width="12.1796875" style="3" customWidth="1"/>
    <col min="11" max="11" width="12.26953125" style="4" customWidth="1"/>
    <col min="12" max="12" width="11.1796875" style="4" customWidth="1"/>
    <col min="13" max="13" width="9.453125" style="4" customWidth="1"/>
    <col min="14" max="14" width="12.453125" style="4" customWidth="1"/>
    <col min="15" max="15" width="13.1796875" style="4" customWidth="1"/>
    <col min="16" max="17" width="12.453125" style="4" customWidth="1"/>
    <col min="18" max="18" width="16.453125" style="4" bestFit="1" customWidth="1"/>
    <col min="19" max="19" width="13.26953125" style="12" customWidth="1"/>
    <col min="20" max="20" width="12.453125" style="5" customWidth="1"/>
    <col min="21" max="21" width="13.453125" style="6" customWidth="1"/>
    <col min="22" max="22" width="14.54296875" style="6" customWidth="1"/>
    <col min="23" max="23" width="15.54296875" style="6" customWidth="1"/>
    <col min="24" max="25" width="14.1796875" style="6" customWidth="1"/>
    <col min="26" max="26" width="15" style="6" customWidth="1"/>
    <col min="27" max="27" width="13.26953125" style="6" customWidth="1"/>
    <col min="28" max="28" width="12.7265625" style="6" customWidth="1"/>
    <col min="29" max="29" width="14" style="6" customWidth="1"/>
    <col min="30" max="30" width="15.1796875" style="6" customWidth="1"/>
    <col min="31" max="31" width="13.453125" style="6" customWidth="1"/>
    <col min="32" max="32" width="16.26953125" style="2" customWidth="1"/>
    <col min="33" max="33" width="13.7265625" style="2" customWidth="1"/>
    <col min="34" max="16384" width="9.7265625" style="2"/>
  </cols>
  <sheetData>
    <row r="1" spans="1:37" ht="31.5" customHeight="1" x14ac:dyDescent="0.35">
      <c r="A1" s="202" t="s">
        <v>52</v>
      </c>
      <c r="B1" s="203"/>
      <c r="C1" s="204"/>
      <c r="D1" s="211" t="s">
        <v>48</v>
      </c>
      <c r="E1" s="212"/>
      <c r="F1" s="212"/>
      <c r="G1" s="212"/>
      <c r="H1" s="212"/>
      <c r="I1" s="212"/>
      <c r="J1" s="213"/>
      <c r="K1" s="201" t="s">
        <v>49</v>
      </c>
      <c r="L1" s="201"/>
      <c r="M1" s="201"/>
      <c r="N1" s="201"/>
      <c r="O1" s="201"/>
      <c r="P1" s="201"/>
      <c r="Q1" s="201"/>
      <c r="R1" s="201"/>
      <c r="S1" s="201"/>
      <c r="T1" s="201"/>
      <c r="U1" s="221" t="s">
        <v>279</v>
      </c>
      <c r="V1" s="221" t="s">
        <v>280</v>
      </c>
      <c r="W1" s="221" t="s">
        <v>281</v>
      </c>
      <c r="X1" s="221" t="s">
        <v>282</v>
      </c>
      <c r="Y1" s="221" t="s">
        <v>283</v>
      </c>
      <c r="Z1" s="221" t="s">
        <v>284</v>
      </c>
      <c r="AA1" s="221" t="s">
        <v>285</v>
      </c>
      <c r="AB1" s="221" t="s">
        <v>286</v>
      </c>
      <c r="AC1" s="221" t="s">
        <v>287</v>
      </c>
      <c r="AD1" s="221" t="s">
        <v>288</v>
      </c>
      <c r="AE1" s="219" t="s">
        <v>341</v>
      </c>
      <c r="AF1" s="219" t="s">
        <v>342</v>
      </c>
      <c r="AG1" s="217" t="s">
        <v>51</v>
      </c>
      <c r="AH1" s="217" t="s">
        <v>51</v>
      </c>
      <c r="AI1" s="217" t="s">
        <v>51</v>
      </c>
      <c r="AJ1" s="217" t="s">
        <v>51</v>
      </c>
      <c r="AK1" s="217" t="s">
        <v>51</v>
      </c>
    </row>
    <row r="2" spans="1:37" ht="23.25" customHeight="1" x14ac:dyDescent="0.35">
      <c r="A2" s="211" t="s">
        <v>41</v>
      </c>
      <c r="B2" s="212"/>
      <c r="C2" s="212"/>
      <c r="D2" s="212"/>
      <c r="E2" s="212"/>
      <c r="F2" s="212"/>
      <c r="G2" s="212"/>
      <c r="H2" s="212"/>
      <c r="I2" s="212"/>
      <c r="J2" s="213"/>
      <c r="K2" s="214" t="s">
        <v>62</v>
      </c>
      <c r="L2" s="215"/>
      <c r="M2" s="215"/>
      <c r="N2" s="215"/>
      <c r="O2" s="215"/>
      <c r="P2" s="215"/>
      <c r="Q2" s="215"/>
      <c r="R2" s="215"/>
      <c r="S2" s="215"/>
      <c r="T2" s="216"/>
      <c r="U2" s="222"/>
      <c r="V2" s="222"/>
      <c r="W2" s="222"/>
      <c r="X2" s="222"/>
      <c r="Y2" s="222"/>
      <c r="Z2" s="222"/>
      <c r="AA2" s="222"/>
      <c r="AB2" s="222"/>
      <c r="AC2" s="222"/>
      <c r="AD2" s="222"/>
      <c r="AE2" s="220"/>
      <c r="AF2" s="220"/>
      <c r="AG2" s="218"/>
      <c r="AH2" s="218"/>
      <c r="AI2" s="218"/>
      <c r="AJ2" s="218"/>
      <c r="AK2" s="218"/>
    </row>
    <row r="3" spans="1:37" s="3" customFormat="1" ht="16" customHeight="1" x14ac:dyDescent="0.25">
      <c r="A3" s="7" t="s">
        <v>3</v>
      </c>
      <c r="B3" s="7" t="s">
        <v>56</v>
      </c>
      <c r="C3" s="7" t="s">
        <v>57</v>
      </c>
      <c r="D3" s="8" t="s">
        <v>58</v>
      </c>
      <c r="E3" s="8" t="s">
        <v>59</v>
      </c>
      <c r="F3" s="8" t="s">
        <v>18</v>
      </c>
      <c r="G3" s="8" t="s">
        <v>19</v>
      </c>
      <c r="H3" s="8" t="s">
        <v>60</v>
      </c>
      <c r="I3" s="8" t="s">
        <v>61</v>
      </c>
      <c r="J3" s="9" t="s">
        <v>50</v>
      </c>
      <c r="K3" s="10" t="s">
        <v>4</v>
      </c>
      <c r="L3" s="52" t="s">
        <v>207</v>
      </c>
      <c r="M3" s="52" t="s">
        <v>208</v>
      </c>
      <c r="N3" s="52" t="s">
        <v>209</v>
      </c>
      <c r="O3" s="52" t="s">
        <v>210</v>
      </c>
      <c r="P3" s="52" t="s">
        <v>211</v>
      </c>
      <c r="Q3" s="52" t="s">
        <v>213</v>
      </c>
      <c r="R3" s="52" t="s">
        <v>214</v>
      </c>
      <c r="S3" s="11" t="s">
        <v>0</v>
      </c>
      <c r="T3" s="7" t="s">
        <v>2</v>
      </c>
      <c r="U3" s="149">
        <v>45497</v>
      </c>
      <c r="V3" s="186" t="s">
        <v>289</v>
      </c>
      <c r="W3" s="186" t="s">
        <v>290</v>
      </c>
      <c r="X3" s="186" t="s">
        <v>291</v>
      </c>
      <c r="Y3" s="186" t="s">
        <v>292</v>
      </c>
      <c r="Z3" s="186" t="s">
        <v>293</v>
      </c>
      <c r="AA3" s="186" t="s">
        <v>294</v>
      </c>
      <c r="AB3" s="186" t="s">
        <v>295</v>
      </c>
      <c r="AC3" s="149">
        <v>45580</v>
      </c>
      <c r="AD3" s="149">
        <v>45580</v>
      </c>
      <c r="AE3" s="58">
        <v>45622</v>
      </c>
      <c r="AF3" s="58">
        <v>45692</v>
      </c>
      <c r="AG3" s="172" t="s">
        <v>1</v>
      </c>
      <c r="AH3" s="172" t="s">
        <v>1</v>
      </c>
      <c r="AI3" s="172" t="s">
        <v>1</v>
      </c>
      <c r="AJ3" s="172" t="s">
        <v>1</v>
      </c>
      <c r="AK3" s="172" t="s">
        <v>1</v>
      </c>
    </row>
    <row r="4" spans="1:37" ht="16" customHeight="1" x14ac:dyDescent="0.35">
      <c r="A4" s="37">
        <v>1</v>
      </c>
      <c r="B4" s="37">
        <v>1</v>
      </c>
      <c r="C4" s="35" t="s">
        <v>63</v>
      </c>
      <c r="D4" s="34" t="s">
        <v>64</v>
      </c>
      <c r="E4" s="35" t="s">
        <v>65</v>
      </c>
      <c r="F4" s="35" t="s">
        <v>20</v>
      </c>
      <c r="G4" s="35" t="s">
        <v>66</v>
      </c>
      <c r="H4" s="35" t="s">
        <v>5</v>
      </c>
      <c r="I4" s="35" t="s">
        <v>6</v>
      </c>
      <c r="J4" s="36">
        <v>1670</v>
      </c>
      <c r="K4" s="27">
        <f>0</f>
        <v>0</v>
      </c>
      <c r="L4" s="127">
        <f t="shared" ref="L4:L35" si="0">IF(SUM(U4:AL4)&gt;K4+N4,K4+N4,SUM(U4:AL4))</f>
        <v>0</v>
      </c>
      <c r="M4" s="127">
        <f t="shared" ref="M4:M35" si="1">(SUM(U4:AK4))</f>
        <v>0</v>
      </c>
      <c r="N4" s="128"/>
      <c r="O4" s="129">
        <f>ROUND(IF(K4*0.25-0.5&lt;0,0,K4*0.25-0.5),0)-R4-P4</f>
        <v>0</v>
      </c>
      <c r="P4" s="128"/>
      <c r="Q4" s="128"/>
      <c r="R4" s="128"/>
      <c r="S4" s="26">
        <f t="shared" ref="S4:S35" si="2">K4-SUM(U4:AK4)+N4</f>
        <v>0</v>
      </c>
      <c r="T4" s="25" t="str">
        <f t="shared" ref="T4:T35" si="3">IF(S4&lt;0,"ATENÇÃO","OK")</f>
        <v>OK</v>
      </c>
      <c r="U4" s="138"/>
      <c r="V4" s="138"/>
      <c r="W4" s="138"/>
      <c r="X4" s="138"/>
      <c r="Y4" s="139"/>
      <c r="Z4" s="139"/>
      <c r="AA4" s="139"/>
      <c r="AB4" s="138"/>
      <c r="AC4" s="138"/>
      <c r="AD4" s="138"/>
      <c r="AE4" s="110"/>
      <c r="AF4" s="110"/>
      <c r="AG4" s="110"/>
      <c r="AH4" s="110"/>
      <c r="AI4" s="110"/>
      <c r="AJ4" s="110"/>
      <c r="AK4" s="110"/>
    </row>
    <row r="5" spans="1:37" ht="16" customHeight="1" x14ac:dyDescent="0.35">
      <c r="A5" s="44">
        <v>2</v>
      </c>
      <c r="B5" s="44">
        <v>2</v>
      </c>
      <c r="C5" s="45" t="s">
        <v>67</v>
      </c>
      <c r="D5" s="46" t="s">
        <v>68</v>
      </c>
      <c r="E5" s="45" t="s">
        <v>69</v>
      </c>
      <c r="F5" s="45" t="s">
        <v>20</v>
      </c>
      <c r="G5" s="45" t="s">
        <v>66</v>
      </c>
      <c r="H5" s="45" t="s">
        <v>5</v>
      </c>
      <c r="I5" s="45" t="s">
        <v>6</v>
      </c>
      <c r="J5" s="47">
        <v>1651.67</v>
      </c>
      <c r="K5" s="27">
        <f>4</f>
        <v>4</v>
      </c>
      <c r="L5" s="127">
        <f t="shared" si="0"/>
        <v>4</v>
      </c>
      <c r="M5" s="127">
        <f t="shared" si="1"/>
        <v>4</v>
      </c>
      <c r="N5" s="128"/>
      <c r="O5" s="129">
        <f t="shared" ref="O5:O68" si="4">ROUND(IF(K5*0.25-0.5&lt;0,0,K5*0.25-0.5),0)-R5-P5</f>
        <v>1</v>
      </c>
      <c r="P5" s="128"/>
      <c r="Q5" s="128"/>
      <c r="R5" s="128"/>
      <c r="S5" s="167">
        <f t="shared" si="2"/>
        <v>0</v>
      </c>
      <c r="T5" s="25" t="str">
        <f t="shared" si="3"/>
        <v>OK</v>
      </c>
      <c r="U5" s="138"/>
      <c r="V5" s="140">
        <v>1</v>
      </c>
      <c r="W5" s="138"/>
      <c r="X5" s="138"/>
      <c r="Y5" s="139"/>
      <c r="Z5" s="139"/>
      <c r="AA5" s="139"/>
      <c r="AB5" s="138"/>
      <c r="AC5" s="140">
        <v>3</v>
      </c>
      <c r="AD5" s="138"/>
      <c r="AE5" s="110"/>
      <c r="AF5" s="110"/>
      <c r="AG5" s="110"/>
      <c r="AH5" s="110"/>
      <c r="AI5" s="110"/>
      <c r="AJ5" s="110"/>
      <c r="AK5" s="110"/>
    </row>
    <row r="6" spans="1:37" ht="16" customHeight="1" x14ac:dyDescent="0.35">
      <c r="A6" s="37">
        <v>3</v>
      </c>
      <c r="B6" s="37">
        <v>3</v>
      </c>
      <c r="C6" s="35" t="s">
        <v>63</v>
      </c>
      <c r="D6" s="34" t="s">
        <v>70</v>
      </c>
      <c r="E6" s="35" t="s">
        <v>71</v>
      </c>
      <c r="F6" s="35" t="s">
        <v>20</v>
      </c>
      <c r="G6" s="35" t="s">
        <v>72</v>
      </c>
      <c r="H6" s="35" t="s">
        <v>5</v>
      </c>
      <c r="I6" s="35" t="s">
        <v>6</v>
      </c>
      <c r="J6" s="36">
        <v>1802</v>
      </c>
      <c r="K6" s="27">
        <f>0</f>
        <v>0</v>
      </c>
      <c r="L6" s="127">
        <f t="shared" si="0"/>
        <v>0</v>
      </c>
      <c r="M6" s="127">
        <f t="shared" si="1"/>
        <v>0</v>
      </c>
      <c r="N6" s="128"/>
      <c r="O6" s="129">
        <f t="shared" si="4"/>
        <v>0</v>
      </c>
      <c r="P6" s="128"/>
      <c r="Q6" s="128"/>
      <c r="R6" s="128"/>
      <c r="S6" s="167">
        <f t="shared" si="2"/>
        <v>0</v>
      </c>
      <c r="T6" s="25" t="str">
        <f t="shared" si="3"/>
        <v>OK</v>
      </c>
      <c r="U6" s="138"/>
      <c r="V6" s="138"/>
      <c r="W6" s="138"/>
      <c r="X6" s="138"/>
      <c r="Y6" s="139"/>
      <c r="Z6" s="139"/>
      <c r="AA6" s="139"/>
      <c r="AB6" s="138"/>
      <c r="AC6" s="138"/>
      <c r="AD6" s="138"/>
      <c r="AE6" s="110"/>
      <c r="AF6" s="110"/>
      <c r="AG6" s="110"/>
      <c r="AH6" s="110"/>
      <c r="AI6" s="110"/>
      <c r="AJ6" s="110"/>
      <c r="AK6" s="110"/>
    </row>
    <row r="7" spans="1:37" ht="16" customHeight="1" x14ac:dyDescent="0.35">
      <c r="A7" s="44">
        <v>4</v>
      </c>
      <c r="B7" s="44">
        <v>4</v>
      </c>
      <c r="C7" s="45" t="s">
        <v>67</v>
      </c>
      <c r="D7" s="46" t="s">
        <v>73</v>
      </c>
      <c r="E7" s="45" t="s">
        <v>74</v>
      </c>
      <c r="F7" s="45" t="s">
        <v>20</v>
      </c>
      <c r="G7" s="45" t="s">
        <v>75</v>
      </c>
      <c r="H7" s="45" t="s">
        <v>5</v>
      </c>
      <c r="I7" s="45" t="s">
        <v>6</v>
      </c>
      <c r="J7" s="47">
        <v>1800</v>
      </c>
      <c r="K7" s="27">
        <f>9</f>
        <v>9</v>
      </c>
      <c r="L7" s="127">
        <f t="shared" si="0"/>
        <v>11</v>
      </c>
      <c r="M7" s="127">
        <f t="shared" si="1"/>
        <v>11</v>
      </c>
      <c r="N7" s="128">
        <f>2+1</f>
        <v>3</v>
      </c>
      <c r="O7" s="129">
        <f t="shared" si="4"/>
        <v>2</v>
      </c>
      <c r="P7" s="128"/>
      <c r="Q7" s="128"/>
      <c r="R7" s="128"/>
      <c r="S7" s="167">
        <f t="shared" si="2"/>
        <v>1</v>
      </c>
      <c r="T7" s="25" t="str">
        <f t="shared" si="3"/>
        <v>OK</v>
      </c>
      <c r="U7" s="138"/>
      <c r="V7" s="140">
        <v>5</v>
      </c>
      <c r="W7" s="138"/>
      <c r="X7" s="138"/>
      <c r="Y7" s="139"/>
      <c r="Z7" s="139"/>
      <c r="AA7" s="139"/>
      <c r="AB7" s="138"/>
      <c r="AC7" s="140">
        <v>6</v>
      </c>
      <c r="AD7" s="138"/>
      <c r="AE7" s="110"/>
      <c r="AF7" s="110"/>
      <c r="AG7" s="110"/>
      <c r="AH7" s="110"/>
      <c r="AI7" s="110"/>
      <c r="AJ7" s="110"/>
      <c r="AK7" s="110"/>
    </row>
    <row r="8" spans="1:37" ht="16" customHeight="1" x14ac:dyDescent="0.35">
      <c r="A8" s="37">
        <v>5</v>
      </c>
      <c r="B8" s="37">
        <v>5</v>
      </c>
      <c r="C8" s="35" t="s">
        <v>63</v>
      </c>
      <c r="D8" s="34" t="s">
        <v>76</v>
      </c>
      <c r="E8" s="35" t="s">
        <v>77</v>
      </c>
      <c r="F8" s="35" t="s">
        <v>20</v>
      </c>
      <c r="G8" s="35" t="s">
        <v>78</v>
      </c>
      <c r="H8" s="35" t="s">
        <v>5</v>
      </c>
      <c r="I8" s="35" t="s">
        <v>6</v>
      </c>
      <c r="J8" s="36">
        <v>2686</v>
      </c>
      <c r="K8" s="27">
        <f>0</f>
        <v>0</v>
      </c>
      <c r="L8" s="127">
        <f t="shared" si="0"/>
        <v>0</v>
      </c>
      <c r="M8" s="127">
        <f t="shared" si="1"/>
        <v>0</v>
      </c>
      <c r="N8" s="128"/>
      <c r="O8" s="129">
        <f t="shared" si="4"/>
        <v>0</v>
      </c>
      <c r="P8" s="128"/>
      <c r="Q8" s="128"/>
      <c r="R8" s="128"/>
      <c r="S8" s="167">
        <f t="shared" si="2"/>
        <v>0</v>
      </c>
      <c r="T8" s="25" t="str">
        <f t="shared" si="3"/>
        <v>OK</v>
      </c>
      <c r="U8" s="138"/>
      <c r="V8" s="138"/>
      <c r="W8" s="138"/>
      <c r="X8" s="138"/>
      <c r="Y8" s="139"/>
      <c r="Z8" s="139"/>
      <c r="AA8" s="139"/>
      <c r="AB8" s="138"/>
      <c r="AC8" s="138"/>
      <c r="AD8" s="138"/>
      <c r="AE8" s="110"/>
      <c r="AF8" s="110"/>
      <c r="AG8" s="110"/>
      <c r="AH8" s="110"/>
      <c r="AI8" s="110"/>
      <c r="AJ8" s="110"/>
      <c r="AK8" s="110"/>
    </row>
    <row r="9" spans="1:37" ht="16" customHeight="1" x14ac:dyDescent="0.35">
      <c r="A9" s="80">
        <v>6</v>
      </c>
      <c r="B9" s="80">
        <v>6</v>
      </c>
      <c r="C9" s="81" t="s">
        <v>67</v>
      </c>
      <c r="D9" s="82" t="s">
        <v>79</v>
      </c>
      <c r="E9" s="87" t="s">
        <v>182</v>
      </c>
      <c r="F9" s="81" t="s">
        <v>20</v>
      </c>
      <c r="G9" s="81" t="s">
        <v>21</v>
      </c>
      <c r="H9" s="81" t="s">
        <v>5</v>
      </c>
      <c r="I9" s="81" t="s">
        <v>6</v>
      </c>
      <c r="J9" s="83">
        <v>2821.51</v>
      </c>
      <c r="K9" s="27">
        <f>8</f>
        <v>8</v>
      </c>
      <c r="L9" s="127">
        <f t="shared" si="0"/>
        <v>8</v>
      </c>
      <c r="M9" s="127">
        <f t="shared" si="1"/>
        <v>8</v>
      </c>
      <c r="N9" s="128"/>
      <c r="O9" s="129">
        <f t="shared" si="4"/>
        <v>2</v>
      </c>
      <c r="P9" s="128"/>
      <c r="Q9" s="128"/>
      <c r="R9" s="128"/>
      <c r="S9" s="167">
        <f t="shared" si="2"/>
        <v>0</v>
      </c>
      <c r="T9" s="25" t="str">
        <f t="shared" si="3"/>
        <v>OK</v>
      </c>
      <c r="U9" s="138"/>
      <c r="V9" s="140">
        <v>5</v>
      </c>
      <c r="W9" s="138"/>
      <c r="X9" s="138"/>
      <c r="Y9" s="139"/>
      <c r="Z9" s="139"/>
      <c r="AA9" s="139"/>
      <c r="AB9" s="138"/>
      <c r="AC9" s="140">
        <v>3</v>
      </c>
      <c r="AD9" s="138"/>
      <c r="AE9" s="110"/>
      <c r="AF9" s="110"/>
      <c r="AG9" s="110"/>
      <c r="AH9" s="110"/>
      <c r="AI9" s="110"/>
      <c r="AJ9" s="110"/>
      <c r="AK9" s="110"/>
    </row>
    <row r="10" spans="1:37" ht="16" customHeight="1" x14ac:dyDescent="0.35">
      <c r="A10" s="37">
        <v>7</v>
      </c>
      <c r="B10" s="37">
        <v>7</v>
      </c>
      <c r="C10" s="35" t="s">
        <v>63</v>
      </c>
      <c r="D10" s="34" t="s">
        <v>80</v>
      </c>
      <c r="E10" s="35" t="s">
        <v>81</v>
      </c>
      <c r="F10" s="35" t="s">
        <v>20</v>
      </c>
      <c r="G10" s="35" t="s">
        <v>21</v>
      </c>
      <c r="H10" s="35" t="s">
        <v>5</v>
      </c>
      <c r="I10" s="35" t="s">
        <v>6</v>
      </c>
      <c r="J10" s="36">
        <v>7446</v>
      </c>
      <c r="K10" s="27">
        <f>0</f>
        <v>0</v>
      </c>
      <c r="L10" s="127">
        <f t="shared" si="0"/>
        <v>0</v>
      </c>
      <c r="M10" s="127">
        <f t="shared" si="1"/>
        <v>0</v>
      </c>
      <c r="N10" s="128"/>
      <c r="O10" s="129">
        <f t="shared" si="4"/>
        <v>0</v>
      </c>
      <c r="P10" s="128"/>
      <c r="Q10" s="128"/>
      <c r="R10" s="128"/>
      <c r="S10" s="167">
        <f t="shared" si="2"/>
        <v>0</v>
      </c>
      <c r="T10" s="25" t="str">
        <f t="shared" si="3"/>
        <v>OK</v>
      </c>
      <c r="U10" s="138"/>
      <c r="V10" s="138"/>
      <c r="W10" s="138"/>
      <c r="X10" s="138"/>
      <c r="Y10" s="139"/>
      <c r="Z10" s="139"/>
      <c r="AA10" s="139"/>
      <c r="AB10" s="138"/>
      <c r="AC10" s="138"/>
      <c r="AD10" s="138"/>
      <c r="AE10" s="110"/>
      <c r="AF10" s="110"/>
      <c r="AG10" s="110"/>
      <c r="AH10" s="110"/>
      <c r="AI10" s="110"/>
      <c r="AJ10" s="110"/>
      <c r="AK10" s="110"/>
    </row>
    <row r="11" spans="1:37" ht="16" customHeight="1" x14ac:dyDescent="0.35">
      <c r="A11" s="44">
        <v>8</v>
      </c>
      <c r="B11" s="44">
        <v>8</v>
      </c>
      <c r="C11" s="45" t="s">
        <v>63</v>
      </c>
      <c r="D11" s="46" t="s">
        <v>82</v>
      </c>
      <c r="E11" s="45" t="s">
        <v>81</v>
      </c>
      <c r="F11" s="45" t="s">
        <v>20</v>
      </c>
      <c r="G11" s="45" t="s">
        <v>21</v>
      </c>
      <c r="H11" s="45" t="s">
        <v>5</v>
      </c>
      <c r="I11" s="45" t="s">
        <v>6</v>
      </c>
      <c r="J11" s="47">
        <v>7375</v>
      </c>
      <c r="K11" s="27">
        <f>1</f>
        <v>1</v>
      </c>
      <c r="L11" s="127">
        <f t="shared" si="0"/>
        <v>0</v>
      </c>
      <c r="M11" s="127">
        <f t="shared" si="1"/>
        <v>0</v>
      </c>
      <c r="N11" s="128"/>
      <c r="O11" s="129">
        <f t="shared" si="4"/>
        <v>0</v>
      </c>
      <c r="P11" s="128"/>
      <c r="Q11" s="128"/>
      <c r="R11" s="128"/>
      <c r="S11" s="167">
        <f t="shared" si="2"/>
        <v>1</v>
      </c>
      <c r="T11" s="25" t="str">
        <f t="shared" si="3"/>
        <v>OK</v>
      </c>
      <c r="U11" s="138"/>
      <c r="V11" s="138"/>
      <c r="W11" s="138"/>
      <c r="X11" s="138"/>
      <c r="Y11" s="139"/>
      <c r="Z11" s="139"/>
      <c r="AA11" s="139"/>
      <c r="AB11" s="138"/>
      <c r="AC11" s="138"/>
      <c r="AD11" s="138"/>
      <c r="AE11" s="110"/>
      <c r="AF11" s="110"/>
      <c r="AG11" s="110"/>
      <c r="AH11" s="110"/>
      <c r="AI11" s="110"/>
      <c r="AJ11" s="110"/>
      <c r="AK11" s="110"/>
    </row>
    <row r="12" spans="1:37" ht="16" customHeight="1" x14ac:dyDescent="0.35">
      <c r="A12" s="37">
        <v>9</v>
      </c>
      <c r="B12" s="37">
        <v>9</v>
      </c>
      <c r="C12" s="35" t="s">
        <v>83</v>
      </c>
      <c r="D12" s="34" t="s">
        <v>84</v>
      </c>
      <c r="E12" s="35" t="s">
        <v>85</v>
      </c>
      <c r="F12" s="35" t="s">
        <v>20</v>
      </c>
      <c r="G12" s="35" t="s">
        <v>22</v>
      </c>
      <c r="H12" s="35" t="s">
        <v>5</v>
      </c>
      <c r="I12" s="35" t="s">
        <v>6</v>
      </c>
      <c r="J12" s="36">
        <v>6213.51</v>
      </c>
      <c r="K12" s="27">
        <f>0</f>
        <v>0</v>
      </c>
      <c r="L12" s="127">
        <f t="shared" si="0"/>
        <v>0</v>
      </c>
      <c r="M12" s="127">
        <f t="shared" si="1"/>
        <v>0</v>
      </c>
      <c r="N12" s="128"/>
      <c r="O12" s="129">
        <f t="shared" si="4"/>
        <v>0</v>
      </c>
      <c r="P12" s="128"/>
      <c r="Q12" s="128"/>
      <c r="R12" s="128"/>
      <c r="S12" s="167">
        <f t="shared" si="2"/>
        <v>0</v>
      </c>
      <c r="T12" s="25" t="str">
        <f t="shared" si="3"/>
        <v>OK</v>
      </c>
      <c r="U12" s="138"/>
      <c r="V12" s="138"/>
      <c r="W12" s="138"/>
      <c r="X12" s="138"/>
      <c r="Y12" s="139"/>
      <c r="Z12" s="139"/>
      <c r="AA12" s="139"/>
      <c r="AB12" s="138"/>
      <c r="AC12" s="138"/>
      <c r="AD12" s="138"/>
      <c r="AE12" s="110"/>
      <c r="AF12" s="110"/>
      <c r="AG12" s="110"/>
      <c r="AH12" s="110"/>
      <c r="AI12" s="110"/>
      <c r="AJ12" s="110"/>
      <c r="AK12" s="110"/>
    </row>
    <row r="13" spans="1:37" ht="16" customHeight="1" x14ac:dyDescent="0.35">
      <c r="A13" s="44">
        <v>10</v>
      </c>
      <c r="B13" s="44">
        <v>10</v>
      </c>
      <c r="C13" s="45" t="s">
        <v>63</v>
      </c>
      <c r="D13" s="46" t="s">
        <v>86</v>
      </c>
      <c r="E13" s="45" t="s">
        <v>87</v>
      </c>
      <c r="F13" s="45" t="s">
        <v>20</v>
      </c>
      <c r="G13" s="45" t="s">
        <v>22</v>
      </c>
      <c r="H13" s="45" t="s">
        <v>5</v>
      </c>
      <c r="I13" s="45" t="s">
        <v>6</v>
      </c>
      <c r="J13" s="47">
        <v>6689.61</v>
      </c>
      <c r="K13" s="27">
        <f>20</f>
        <v>20</v>
      </c>
      <c r="L13" s="127">
        <f t="shared" si="0"/>
        <v>16</v>
      </c>
      <c r="M13" s="127">
        <f t="shared" si="1"/>
        <v>16</v>
      </c>
      <c r="N13" s="128"/>
      <c r="O13" s="129">
        <f t="shared" si="4"/>
        <v>5</v>
      </c>
      <c r="P13" s="128"/>
      <c r="Q13" s="128"/>
      <c r="R13" s="128"/>
      <c r="S13" s="167">
        <f t="shared" si="2"/>
        <v>4</v>
      </c>
      <c r="T13" s="25" t="str">
        <f t="shared" si="3"/>
        <v>OK</v>
      </c>
      <c r="U13" s="138"/>
      <c r="V13" s="138"/>
      <c r="W13" s="140">
        <v>16</v>
      </c>
      <c r="X13" s="138"/>
      <c r="Y13" s="139"/>
      <c r="Z13" s="139"/>
      <c r="AA13" s="139"/>
      <c r="AB13" s="138"/>
      <c r="AC13" s="138"/>
      <c r="AD13" s="138"/>
      <c r="AE13" s="110"/>
      <c r="AF13" s="110"/>
      <c r="AG13" s="110"/>
      <c r="AH13" s="110"/>
      <c r="AI13" s="110"/>
      <c r="AJ13" s="110"/>
      <c r="AK13" s="110"/>
    </row>
    <row r="14" spans="1:37" ht="16" customHeight="1" x14ac:dyDescent="0.35">
      <c r="A14" s="37">
        <v>11</v>
      </c>
      <c r="B14" s="37">
        <v>11</v>
      </c>
      <c r="C14" s="35" t="s">
        <v>83</v>
      </c>
      <c r="D14" s="34" t="s">
        <v>88</v>
      </c>
      <c r="E14" s="35" t="s">
        <v>89</v>
      </c>
      <c r="F14" s="37" t="s">
        <v>20</v>
      </c>
      <c r="G14" s="35" t="s">
        <v>22</v>
      </c>
      <c r="H14" s="37" t="s">
        <v>5</v>
      </c>
      <c r="I14" s="35" t="s">
        <v>6</v>
      </c>
      <c r="J14" s="36">
        <v>3445.06</v>
      </c>
      <c r="K14" s="27">
        <f>0</f>
        <v>0</v>
      </c>
      <c r="L14" s="127">
        <f t="shared" si="0"/>
        <v>0</v>
      </c>
      <c r="M14" s="127">
        <f t="shared" si="1"/>
        <v>0</v>
      </c>
      <c r="N14" s="128"/>
      <c r="O14" s="129">
        <f t="shared" si="4"/>
        <v>0</v>
      </c>
      <c r="P14" s="128"/>
      <c r="Q14" s="128"/>
      <c r="R14" s="128"/>
      <c r="S14" s="167">
        <f t="shared" si="2"/>
        <v>0</v>
      </c>
      <c r="T14" s="25" t="str">
        <f t="shared" si="3"/>
        <v>OK</v>
      </c>
      <c r="U14" s="138"/>
      <c r="V14" s="138"/>
      <c r="W14" s="138"/>
      <c r="X14" s="138"/>
      <c r="Y14" s="139"/>
      <c r="Z14" s="139"/>
      <c r="AA14" s="139"/>
      <c r="AB14" s="138"/>
      <c r="AC14" s="138"/>
      <c r="AD14" s="138"/>
      <c r="AE14" s="110"/>
      <c r="AF14" s="110"/>
      <c r="AG14" s="110"/>
      <c r="AH14" s="110"/>
      <c r="AI14" s="110"/>
      <c r="AJ14" s="110"/>
      <c r="AK14" s="110"/>
    </row>
    <row r="15" spans="1:37" ht="16" customHeight="1" x14ac:dyDescent="0.35">
      <c r="A15" s="44">
        <v>12</v>
      </c>
      <c r="B15" s="44">
        <v>12</v>
      </c>
      <c r="C15" s="45" t="s">
        <v>83</v>
      </c>
      <c r="D15" s="46" t="s">
        <v>90</v>
      </c>
      <c r="E15" s="45" t="s">
        <v>91</v>
      </c>
      <c r="F15" s="44" t="s">
        <v>20</v>
      </c>
      <c r="G15" s="44" t="s">
        <v>22</v>
      </c>
      <c r="H15" s="44" t="s">
        <v>5</v>
      </c>
      <c r="I15" s="45" t="s">
        <v>6</v>
      </c>
      <c r="J15" s="47">
        <v>3617.48</v>
      </c>
      <c r="K15" s="27">
        <f>2</f>
        <v>2</v>
      </c>
      <c r="L15" s="127">
        <f t="shared" si="0"/>
        <v>1</v>
      </c>
      <c r="M15" s="127">
        <f t="shared" si="1"/>
        <v>1</v>
      </c>
      <c r="N15" s="128"/>
      <c r="O15" s="129">
        <f t="shared" si="4"/>
        <v>0</v>
      </c>
      <c r="P15" s="128"/>
      <c r="Q15" s="128"/>
      <c r="R15" s="128"/>
      <c r="S15" s="167">
        <f t="shared" si="2"/>
        <v>1</v>
      </c>
      <c r="T15" s="25" t="str">
        <f t="shared" si="3"/>
        <v>OK</v>
      </c>
      <c r="U15" s="138"/>
      <c r="V15" s="138"/>
      <c r="W15" s="138"/>
      <c r="X15" s="138"/>
      <c r="Y15" s="139"/>
      <c r="Z15" s="139"/>
      <c r="AA15" s="139"/>
      <c r="AB15" s="138"/>
      <c r="AC15" s="138"/>
      <c r="AD15" s="140">
        <v>1</v>
      </c>
      <c r="AE15" s="110"/>
      <c r="AF15" s="110"/>
      <c r="AG15" s="110"/>
      <c r="AH15" s="110"/>
      <c r="AI15" s="110"/>
      <c r="AJ15" s="110"/>
      <c r="AK15" s="110"/>
    </row>
    <row r="16" spans="1:37" ht="16" customHeight="1" x14ac:dyDescent="0.35">
      <c r="A16" s="37">
        <v>13</v>
      </c>
      <c r="B16" s="37">
        <v>13</v>
      </c>
      <c r="C16" s="35" t="s">
        <v>92</v>
      </c>
      <c r="D16" s="34" t="s">
        <v>93</v>
      </c>
      <c r="E16" s="35" t="s">
        <v>94</v>
      </c>
      <c r="F16" s="37" t="s">
        <v>20</v>
      </c>
      <c r="G16" s="37" t="s">
        <v>22</v>
      </c>
      <c r="H16" s="37" t="s">
        <v>5</v>
      </c>
      <c r="I16" s="35" t="s">
        <v>6</v>
      </c>
      <c r="J16" s="36">
        <v>7453.33</v>
      </c>
      <c r="K16" s="27">
        <f>0</f>
        <v>0</v>
      </c>
      <c r="L16" s="127">
        <f t="shared" si="0"/>
        <v>0</v>
      </c>
      <c r="M16" s="127">
        <f t="shared" si="1"/>
        <v>0</v>
      </c>
      <c r="N16" s="128"/>
      <c r="O16" s="129">
        <f t="shared" si="4"/>
        <v>0</v>
      </c>
      <c r="P16" s="128"/>
      <c r="Q16" s="128"/>
      <c r="R16" s="128"/>
      <c r="S16" s="167">
        <f t="shared" si="2"/>
        <v>0</v>
      </c>
      <c r="T16" s="25" t="str">
        <f t="shared" si="3"/>
        <v>OK</v>
      </c>
      <c r="U16" s="138"/>
      <c r="V16" s="138"/>
      <c r="W16" s="138"/>
      <c r="X16" s="138"/>
      <c r="Y16" s="139"/>
      <c r="Z16" s="139"/>
      <c r="AA16" s="139"/>
      <c r="AB16" s="138"/>
      <c r="AC16" s="138"/>
      <c r="AD16" s="138"/>
      <c r="AE16" s="110"/>
      <c r="AF16" s="110"/>
      <c r="AG16" s="110"/>
      <c r="AH16" s="110"/>
      <c r="AI16" s="110"/>
      <c r="AJ16" s="110"/>
      <c r="AK16" s="110"/>
    </row>
    <row r="17" spans="1:37" ht="16" customHeight="1" x14ac:dyDescent="0.35">
      <c r="A17" s="44">
        <v>14</v>
      </c>
      <c r="B17" s="44">
        <v>14</v>
      </c>
      <c r="C17" s="45" t="s">
        <v>92</v>
      </c>
      <c r="D17" s="46" t="s">
        <v>95</v>
      </c>
      <c r="E17" s="45" t="s">
        <v>94</v>
      </c>
      <c r="F17" s="45" t="s">
        <v>20</v>
      </c>
      <c r="G17" s="45" t="s">
        <v>22</v>
      </c>
      <c r="H17" s="45" t="s">
        <v>5</v>
      </c>
      <c r="I17" s="45" t="s">
        <v>6</v>
      </c>
      <c r="J17" s="47">
        <v>9561.2000000000007</v>
      </c>
      <c r="K17" s="27">
        <f>2</f>
        <v>2</v>
      </c>
      <c r="L17" s="127">
        <f t="shared" si="0"/>
        <v>1</v>
      </c>
      <c r="M17" s="127">
        <f t="shared" si="1"/>
        <v>1</v>
      </c>
      <c r="N17" s="128"/>
      <c r="O17" s="129">
        <f t="shared" si="4"/>
        <v>0</v>
      </c>
      <c r="P17" s="128"/>
      <c r="Q17" s="128"/>
      <c r="R17" s="128"/>
      <c r="S17" s="167">
        <f t="shared" si="2"/>
        <v>1</v>
      </c>
      <c r="T17" s="25" t="str">
        <f t="shared" si="3"/>
        <v>OK</v>
      </c>
      <c r="U17" s="138"/>
      <c r="V17" s="138"/>
      <c r="W17" s="138"/>
      <c r="X17" s="140">
        <v>1</v>
      </c>
      <c r="Y17" s="139"/>
      <c r="Z17" s="139"/>
      <c r="AA17" s="139"/>
      <c r="AB17" s="138"/>
      <c r="AC17" s="138"/>
      <c r="AD17" s="138"/>
      <c r="AE17" s="110"/>
      <c r="AF17" s="110"/>
      <c r="AG17" s="110"/>
      <c r="AH17" s="110"/>
      <c r="AI17" s="110"/>
      <c r="AJ17" s="110"/>
      <c r="AK17" s="110"/>
    </row>
    <row r="18" spans="1:37" ht="16" customHeight="1" x14ac:dyDescent="0.35">
      <c r="A18" s="37">
        <v>15</v>
      </c>
      <c r="B18" s="37">
        <v>15</v>
      </c>
      <c r="C18" s="35" t="s">
        <v>63</v>
      </c>
      <c r="D18" s="34" t="s">
        <v>96</v>
      </c>
      <c r="E18" s="35" t="s">
        <v>97</v>
      </c>
      <c r="F18" s="35" t="s">
        <v>20</v>
      </c>
      <c r="G18" s="35" t="s">
        <v>31</v>
      </c>
      <c r="H18" s="35" t="s">
        <v>5</v>
      </c>
      <c r="I18" s="35" t="s">
        <v>6</v>
      </c>
      <c r="J18" s="36">
        <v>7598</v>
      </c>
      <c r="K18" s="27">
        <f>0</f>
        <v>0</v>
      </c>
      <c r="L18" s="127">
        <f t="shared" si="0"/>
        <v>0</v>
      </c>
      <c r="M18" s="127">
        <f t="shared" si="1"/>
        <v>0</v>
      </c>
      <c r="N18" s="128"/>
      <c r="O18" s="129">
        <f t="shared" si="4"/>
        <v>0</v>
      </c>
      <c r="P18" s="128"/>
      <c r="Q18" s="128"/>
      <c r="R18" s="128"/>
      <c r="S18" s="167">
        <f t="shared" si="2"/>
        <v>0</v>
      </c>
      <c r="T18" s="25" t="str">
        <f t="shared" si="3"/>
        <v>OK</v>
      </c>
      <c r="U18" s="138"/>
      <c r="V18" s="138"/>
      <c r="W18" s="138"/>
      <c r="X18" s="138"/>
      <c r="Y18" s="139"/>
      <c r="Z18" s="139"/>
      <c r="AA18" s="139"/>
      <c r="AB18" s="138"/>
      <c r="AC18" s="138"/>
      <c r="AD18" s="138"/>
      <c r="AE18" s="110"/>
      <c r="AF18" s="110"/>
      <c r="AG18" s="110"/>
      <c r="AH18" s="110"/>
      <c r="AI18" s="110"/>
      <c r="AJ18" s="110"/>
      <c r="AK18" s="110"/>
    </row>
    <row r="19" spans="1:37" ht="16" customHeight="1" x14ac:dyDescent="0.35">
      <c r="A19" s="44">
        <v>16</v>
      </c>
      <c r="B19" s="44">
        <v>16</v>
      </c>
      <c r="C19" s="45" t="s">
        <v>83</v>
      </c>
      <c r="D19" s="46" t="s">
        <v>98</v>
      </c>
      <c r="E19" s="45" t="s">
        <v>99</v>
      </c>
      <c r="F19" s="45" t="s">
        <v>20</v>
      </c>
      <c r="G19" s="45" t="s">
        <v>100</v>
      </c>
      <c r="H19" s="45" t="s">
        <v>5</v>
      </c>
      <c r="I19" s="45" t="s">
        <v>6</v>
      </c>
      <c r="J19" s="47">
        <v>4540.34</v>
      </c>
      <c r="K19" s="27">
        <f>5</f>
        <v>5</v>
      </c>
      <c r="L19" s="127">
        <f t="shared" si="0"/>
        <v>3</v>
      </c>
      <c r="M19" s="127">
        <f t="shared" si="1"/>
        <v>3</v>
      </c>
      <c r="N19" s="128"/>
      <c r="O19" s="129">
        <f t="shared" si="4"/>
        <v>1</v>
      </c>
      <c r="P19" s="128"/>
      <c r="Q19" s="128"/>
      <c r="R19" s="128"/>
      <c r="S19" s="167">
        <f t="shared" si="2"/>
        <v>2</v>
      </c>
      <c r="T19" s="25" t="str">
        <f t="shared" si="3"/>
        <v>OK</v>
      </c>
      <c r="U19" s="138"/>
      <c r="V19" s="138"/>
      <c r="W19" s="138"/>
      <c r="X19" s="138"/>
      <c r="Y19" s="141">
        <v>3</v>
      </c>
      <c r="Z19" s="139"/>
      <c r="AA19" s="139"/>
      <c r="AB19" s="138"/>
      <c r="AC19" s="138"/>
      <c r="AD19" s="138"/>
      <c r="AE19" s="110"/>
      <c r="AF19" s="110"/>
      <c r="AG19" s="110"/>
      <c r="AH19" s="110"/>
      <c r="AI19" s="110"/>
      <c r="AJ19" s="110"/>
      <c r="AK19" s="110"/>
    </row>
    <row r="20" spans="1:37" ht="16" customHeight="1" x14ac:dyDescent="0.35">
      <c r="A20" s="37">
        <v>17</v>
      </c>
      <c r="B20" s="37">
        <v>17</v>
      </c>
      <c r="C20" s="35" t="s">
        <v>63</v>
      </c>
      <c r="D20" s="38" t="s">
        <v>101</v>
      </c>
      <c r="E20" s="39" t="s">
        <v>102</v>
      </c>
      <c r="F20" s="40" t="s">
        <v>20</v>
      </c>
      <c r="G20" s="40" t="s">
        <v>103</v>
      </c>
      <c r="H20" s="40" t="s">
        <v>5</v>
      </c>
      <c r="I20" s="40" t="s">
        <v>6</v>
      </c>
      <c r="J20" s="36">
        <v>7499</v>
      </c>
      <c r="K20" s="27">
        <f>0</f>
        <v>0</v>
      </c>
      <c r="L20" s="127">
        <f t="shared" si="0"/>
        <v>0</v>
      </c>
      <c r="M20" s="127">
        <f t="shared" si="1"/>
        <v>0</v>
      </c>
      <c r="N20" s="128"/>
      <c r="O20" s="129">
        <f t="shared" si="4"/>
        <v>0</v>
      </c>
      <c r="P20" s="128"/>
      <c r="Q20" s="128"/>
      <c r="R20" s="128"/>
      <c r="S20" s="167">
        <f t="shared" si="2"/>
        <v>0</v>
      </c>
      <c r="T20" s="25" t="str">
        <f t="shared" si="3"/>
        <v>OK</v>
      </c>
      <c r="U20" s="138"/>
      <c r="V20" s="138"/>
      <c r="W20" s="138"/>
      <c r="X20" s="138"/>
      <c r="Y20" s="139"/>
      <c r="Z20" s="139"/>
      <c r="AA20" s="139"/>
      <c r="AB20" s="138"/>
      <c r="AC20" s="138"/>
      <c r="AD20" s="138"/>
      <c r="AE20" s="110"/>
      <c r="AF20" s="110"/>
      <c r="AG20" s="110"/>
      <c r="AH20" s="110"/>
      <c r="AI20" s="110"/>
      <c r="AJ20" s="110"/>
      <c r="AK20" s="110"/>
    </row>
    <row r="21" spans="1:37" ht="16" customHeight="1" x14ac:dyDescent="0.35">
      <c r="A21" s="44">
        <v>18</v>
      </c>
      <c r="B21" s="44">
        <v>18</v>
      </c>
      <c r="C21" s="45" t="s">
        <v>104</v>
      </c>
      <c r="D21" s="46" t="s">
        <v>105</v>
      </c>
      <c r="E21" s="48" t="s">
        <v>106</v>
      </c>
      <c r="F21" s="49" t="s">
        <v>20</v>
      </c>
      <c r="G21" s="44" t="s">
        <v>107</v>
      </c>
      <c r="H21" s="44" t="s">
        <v>5</v>
      </c>
      <c r="I21" s="44" t="s">
        <v>6</v>
      </c>
      <c r="J21" s="47">
        <v>9553.2000000000007</v>
      </c>
      <c r="K21" s="27">
        <f>4</f>
        <v>4</v>
      </c>
      <c r="L21" s="127">
        <f t="shared" si="0"/>
        <v>3</v>
      </c>
      <c r="M21" s="127">
        <f t="shared" si="1"/>
        <v>3</v>
      </c>
      <c r="N21" s="128"/>
      <c r="O21" s="129">
        <f t="shared" si="4"/>
        <v>1</v>
      </c>
      <c r="P21" s="128"/>
      <c r="Q21" s="128"/>
      <c r="R21" s="128"/>
      <c r="S21" s="167">
        <f t="shared" si="2"/>
        <v>1</v>
      </c>
      <c r="T21" s="25" t="str">
        <f t="shared" si="3"/>
        <v>OK</v>
      </c>
      <c r="U21" s="140">
        <v>1</v>
      </c>
      <c r="V21" s="138"/>
      <c r="W21" s="138"/>
      <c r="X21" s="138"/>
      <c r="Y21" s="141">
        <v>2</v>
      </c>
      <c r="Z21" s="139"/>
      <c r="AA21" s="139"/>
      <c r="AB21" s="138"/>
      <c r="AC21" s="138"/>
      <c r="AD21" s="138"/>
      <c r="AE21" s="110"/>
      <c r="AF21" s="110"/>
      <c r="AG21" s="110"/>
      <c r="AH21" s="110"/>
      <c r="AI21" s="110"/>
      <c r="AJ21" s="110"/>
      <c r="AK21" s="110"/>
    </row>
    <row r="22" spans="1:37" ht="16" customHeight="1" x14ac:dyDescent="0.35">
      <c r="A22" s="37">
        <v>19</v>
      </c>
      <c r="B22" s="37">
        <v>19</v>
      </c>
      <c r="C22" s="35" t="s">
        <v>63</v>
      </c>
      <c r="D22" s="34" t="s">
        <v>108</v>
      </c>
      <c r="E22" s="41" t="s">
        <v>109</v>
      </c>
      <c r="F22" s="43" t="s">
        <v>20</v>
      </c>
      <c r="G22" s="37" t="s">
        <v>107</v>
      </c>
      <c r="H22" s="37" t="s">
        <v>5</v>
      </c>
      <c r="I22" s="37" t="s">
        <v>6</v>
      </c>
      <c r="J22" s="36">
        <v>8608</v>
      </c>
      <c r="K22" s="27">
        <f>0</f>
        <v>0</v>
      </c>
      <c r="L22" s="127">
        <f t="shared" si="0"/>
        <v>0</v>
      </c>
      <c r="M22" s="127">
        <f t="shared" si="1"/>
        <v>0</v>
      </c>
      <c r="N22" s="128"/>
      <c r="O22" s="129">
        <f t="shared" si="4"/>
        <v>0</v>
      </c>
      <c r="P22" s="128"/>
      <c r="Q22" s="128"/>
      <c r="R22" s="128"/>
      <c r="S22" s="167">
        <f t="shared" si="2"/>
        <v>0</v>
      </c>
      <c r="T22" s="25" t="str">
        <f t="shared" si="3"/>
        <v>OK</v>
      </c>
      <c r="U22" s="138"/>
      <c r="V22" s="138"/>
      <c r="W22" s="138"/>
      <c r="X22" s="138"/>
      <c r="Y22" s="139"/>
      <c r="Z22" s="139"/>
      <c r="AA22" s="139"/>
      <c r="AB22" s="138"/>
      <c r="AC22" s="138"/>
      <c r="AD22" s="138"/>
      <c r="AE22" s="110"/>
      <c r="AF22" s="110"/>
      <c r="AG22" s="110"/>
      <c r="AH22" s="110"/>
      <c r="AI22" s="110"/>
      <c r="AJ22" s="110"/>
      <c r="AK22" s="110"/>
    </row>
    <row r="23" spans="1:37" ht="16" customHeight="1" x14ac:dyDescent="0.35">
      <c r="A23" s="44">
        <v>20</v>
      </c>
      <c r="B23" s="44">
        <v>20</v>
      </c>
      <c r="C23" s="45" t="s">
        <v>63</v>
      </c>
      <c r="D23" s="46" t="s">
        <v>110</v>
      </c>
      <c r="E23" s="48" t="s">
        <v>111</v>
      </c>
      <c r="F23" s="50" t="s">
        <v>20</v>
      </c>
      <c r="G23" s="44" t="s">
        <v>112</v>
      </c>
      <c r="H23" s="44" t="s">
        <v>5</v>
      </c>
      <c r="I23" s="44" t="s">
        <v>6</v>
      </c>
      <c r="J23" s="47">
        <v>10488</v>
      </c>
      <c r="K23" s="27">
        <f>0</f>
        <v>0</v>
      </c>
      <c r="L23" s="127">
        <f t="shared" si="0"/>
        <v>0</v>
      </c>
      <c r="M23" s="127">
        <f t="shared" si="1"/>
        <v>0</v>
      </c>
      <c r="N23" s="128"/>
      <c r="O23" s="129">
        <f t="shared" si="4"/>
        <v>0</v>
      </c>
      <c r="P23" s="128"/>
      <c r="Q23" s="128"/>
      <c r="R23" s="128"/>
      <c r="S23" s="167">
        <f t="shared" si="2"/>
        <v>0</v>
      </c>
      <c r="T23" s="25" t="str">
        <f t="shared" si="3"/>
        <v>OK</v>
      </c>
      <c r="U23" s="138"/>
      <c r="V23" s="138"/>
      <c r="W23" s="138"/>
      <c r="X23" s="138"/>
      <c r="Y23" s="139"/>
      <c r="Z23" s="139"/>
      <c r="AA23" s="139"/>
      <c r="AB23" s="138"/>
      <c r="AC23" s="138"/>
      <c r="AD23" s="138"/>
      <c r="AE23" s="110"/>
      <c r="AF23" s="110"/>
      <c r="AG23" s="110"/>
      <c r="AH23" s="110"/>
      <c r="AI23" s="110"/>
      <c r="AJ23" s="110"/>
      <c r="AK23" s="110"/>
    </row>
    <row r="24" spans="1:37" ht="16" customHeight="1" x14ac:dyDescent="0.35">
      <c r="A24" s="37">
        <v>21</v>
      </c>
      <c r="B24" s="37">
        <v>21</v>
      </c>
      <c r="C24" s="35" t="s">
        <v>63</v>
      </c>
      <c r="D24" s="34" t="s">
        <v>113</v>
      </c>
      <c r="E24" s="41" t="s">
        <v>114</v>
      </c>
      <c r="F24" s="43" t="s">
        <v>20</v>
      </c>
      <c r="G24" s="37" t="s">
        <v>115</v>
      </c>
      <c r="H24" s="37" t="s">
        <v>5</v>
      </c>
      <c r="I24" s="37" t="s">
        <v>6</v>
      </c>
      <c r="J24" s="36">
        <v>10968</v>
      </c>
      <c r="K24" s="27">
        <f>0</f>
        <v>0</v>
      </c>
      <c r="L24" s="127">
        <f t="shared" si="0"/>
        <v>0</v>
      </c>
      <c r="M24" s="127">
        <f t="shared" si="1"/>
        <v>0</v>
      </c>
      <c r="N24" s="128"/>
      <c r="O24" s="129">
        <f t="shared" si="4"/>
        <v>0</v>
      </c>
      <c r="P24" s="128"/>
      <c r="Q24" s="128"/>
      <c r="R24" s="128"/>
      <c r="S24" s="167">
        <f t="shared" si="2"/>
        <v>0</v>
      </c>
      <c r="T24" s="25" t="str">
        <f t="shared" si="3"/>
        <v>OK</v>
      </c>
      <c r="U24" s="138"/>
      <c r="V24" s="138"/>
      <c r="W24" s="138"/>
      <c r="X24" s="138"/>
      <c r="Y24" s="139"/>
      <c r="Z24" s="139"/>
      <c r="AA24" s="139"/>
      <c r="AB24" s="138"/>
      <c r="AC24" s="138"/>
      <c r="AD24" s="138"/>
      <c r="AE24" s="110"/>
      <c r="AF24" s="110"/>
      <c r="AG24" s="110"/>
      <c r="AH24" s="110"/>
      <c r="AI24" s="110"/>
      <c r="AJ24" s="110"/>
      <c r="AK24" s="110"/>
    </row>
    <row r="25" spans="1:37" ht="16" customHeight="1" x14ac:dyDescent="0.35">
      <c r="A25" s="44">
        <v>22</v>
      </c>
      <c r="B25" s="44">
        <v>22</v>
      </c>
      <c r="C25" s="45" t="s">
        <v>32</v>
      </c>
      <c r="D25" s="46" t="s">
        <v>116</v>
      </c>
      <c r="E25" s="48" t="s">
        <v>117</v>
      </c>
      <c r="F25" s="50" t="s">
        <v>20</v>
      </c>
      <c r="G25" s="44" t="s">
        <v>118</v>
      </c>
      <c r="H25" s="44" t="s">
        <v>5</v>
      </c>
      <c r="I25" s="44" t="s">
        <v>6</v>
      </c>
      <c r="J25" s="47">
        <v>13446</v>
      </c>
      <c r="K25" s="27">
        <f>5</f>
        <v>5</v>
      </c>
      <c r="L25" s="127">
        <f t="shared" si="0"/>
        <v>3</v>
      </c>
      <c r="M25" s="127">
        <f t="shared" si="1"/>
        <v>3</v>
      </c>
      <c r="N25" s="128"/>
      <c r="O25" s="129">
        <f t="shared" si="4"/>
        <v>1</v>
      </c>
      <c r="P25" s="128"/>
      <c r="Q25" s="128"/>
      <c r="R25" s="128"/>
      <c r="S25" s="167">
        <f t="shared" si="2"/>
        <v>2</v>
      </c>
      <c r="T25" s="25" t="str">
        <f t="shared" si="3"/>
        <v>OK</v>
      </c>
      <c r="U25" s="138"/>
      <c r="V25" s="138"/>
      <c r="W25" s="138"/>
      <c r="X25" s="138"/>
      <c r="Y25" s="139"/>
      <c r="Z25" s="141">
        <v>3</v>
      </c>
      <c r="AA25" s="139"/>
      <c r="AB25" s="138"/>
      <c r="AC25" s="138"/>
      <c r="AD25" s="138"/>
      <c r="AE25" s="110"/>
      <c r="AF25" s="110"/>
      <c r="AG25" s="110"/>
      <c r="AH25" s="110"/>
      <c r="AI25" s="110"/>
      <c r="AJ25" s="110"/>
      <c r="AK25" s="110"/>
    </row>
    <row r="26" spans="1:37" ht="16" customHeight="1" x14ac:dyDescent="0.35">
      <c r="A26" s="37">
        <v>23</v>
      </c>
      <c r="B26" s="37">
        <v>23</v>
      </c>
      <c r="C26" s="35" t="s">
        <v>119</v>
      </c>
      <c r="D26" s="34" t="s">
        <v>120</v>
      </c>
      <c r="E26" s="41" t="s">
        <v>121</v>
      </c>
      <c r="F26" s="43" t="s">
        <v>20</v>
      </c>
      <c r="G26" s="37" t="s">
        <v>115</v>
      </c>
      <c r="H26" s="37" t="s">
        <v>5</v>
      </c>
      <c r="I26" s="37" t="s">
        <v>6</v>
      </c>
      <c r="J26" s="36">
        <v>11764.7</v>
      </c>
      <c r="K26" s="27">
        <f>0</f>
        <v>0</v>
      </c>
      <c r="L26" s="127">
        <f t="shared" si="0"/>
        <v>0</v>
      </c>
      <c r="M26" s="127">
        <f t="shared" si="1"/>
        <v>0</v>
      </c>
      <c r="N26" s="128"/>
      <c r="O26" s="129">
        <f t="shared" si="4"/>
        <v>0</v>
      </c>
      <c r="P26" s="128"/>
      <c r="Q26" s="128"/>
      <c r="R26" s="128"/>
      <c r="S26" s="167">
        <f t="shared" si="2"/>
        <v>0</v>
      </c>
      <c r="T26" s="25" t="str">
        <f t="shared" si="3"/>
        <v>OK</v>
      </c>
      <c r="U26" s="138"/>
      <c r="V26" s="138"/>
      <c r="W26" s="138"/>
      <c r="X26" s="138"/>
      <c r="Y26" s="139"/>
      <c r="Z26" s="139"/>
      <c r="AA26" s="139"/>
      <c r="AB26" s="138"/>
      <c r="AC26" s="138"/>
      <c r="AD26" s="138"/>
      <c r="AE26" s="110"/>
      <c r="AF26" s="110"/>
      <c r="AG26" s="110"/>
      <c r="AH26" s="110"/>
      <c r="AI26" s="110"/>
      <c r="AJ26" s="110"/>
      <c r="AK26" s="110"/>
    </row>
    <row r="27" spans="1:37" ht="16" customHeight="1" x14ac:dyDescent="0.35">
      <c r="A27" s="44">
        <v>24</v>
      </c>
      <c r="B27" s="44">
        <v>24</v>
      </c>
      <c r="C27" s="45" t="s">
        <v>32</v>
      </c>
      <c r="D27" s="46" t="s">
        <v>122</v>
      </c>
      <c r="E27" s="48" t="s">
        <v>123</v>
      </c>
      <c r="F27" s="50" t="s">
        <v>20</v>
      </c>
      <c r="G27" s="44" t="s">
        <v>124</v>
      </c>
      <c r="H27" s="44" t="s">
        <v>60</v>
      </c>
      <c r="I27" s="44" t="s">
        <v>6</v>
      </c>
      <c r="J27" s="47">
        <v>13333.33</v>
      </c>
      <c r="K27" s="27">
        <f>3</f>
        <v>3</v>
      </c>
      <c r="L27" s="127">
        <f t="shared" si="0"/>
        <v>3</v>
      </c>
      <c r="M27" s="127">
        <f t="shared" si="1"/>
        <v>3</v>
      </c>
      <c r="N27" s="128"/>
      <c r="O27" s="129">
        <f t="shared" si="4"/>
        <v>0</v>
      </c>
      <c r="P27" s="128"/>
      <c r="Q27" s="128"/>
      <c r="R27" s="128"/>
      <c r="S27" s="167">
        <f t="shared" si="2"/>
        <v>0</v>
      </c>
      <c r="T27" s="25" t="str">
        <f t="shared" si="3"/>
        <v>OK</v>
      </c>
      <c r="U27" s="138"/>
      <c r="V27" s="138"/>
      <c r="W27" s="138"/>
      <c r="X27" s="138"/>
      <c r="Y27" s="139"/>
      <c r="Z27" s="141">
        <v>3</v>
      </c>
      <c r="AA27" s="139"/>
      <c r="AB27" s="138"/>
      <c r="AC27" s="138"/>
      <c r="AD27" s="138"/>
      <c r="AE27" s="110"/>
      <c r="AF27" s="110"/>
      <c r="AG27" s="110"/>
      <c r="AH27" s="110"/>
      <c r="AI27" s="110"/>
      <c r="AJ27" s="110"/>
      <c r="AK27" s="110"/>
    </row>
    <row r="28" spans="1:37" ht="16" customHeight="1" x14ac:dyDescent="0.35">
      <c r="A28" s="37">
        <v>25</v>
      </c>
      <c r="B28" s="37">
        <v>25</v>
      </c>
      <c r="C28" s="35" t="s">
        <v>125</v>
      </c>
      <c r="D28" s="34" t="s">
        <v>126</v>
      </c>
      <c r="E28" s="41" t="s">
        <v>127</v>
      </c>
      <c r="F28" s="43" t="s">
        <v>24</v>
      </c>
      <c r="G28" s="37" t="s">
        <v>25</v>
      </c>
      <c r="H28" s="37" t="s">
        <v>5</v>
      </c>
      <c r="I28" s="37" t="s">
        <v>26</v>
      </c>
      <c r="J28" s="36">
        <v>1320</v>
      </c>
      <c r="K28" s="27">
        <f>25</f>
        <v>25</v>
      </c>
      <c r="L28" s="127">
        <f t="shared" si="0"/>
        <v>0</v>
      </c>
      <c r="M28" s="127">
        <f t="shared" si="1"/>
        <v>0</v>
      </c>
      <c r="N28" s="128">
        <v>-5</v>
      </c>
      <c r="O28" s="129">
        <f t="shared" si="4"/>
        <v>6</v>
      </c>
      <c r="P28" s="128"/>
      <c r="Q28" s="128"/>
      <c r="R28" s="128"/>
      <c r="S28" s="167">
        <f t="shared" si="2"/>
        <v>20</v>
      </c>
      <c r="T28" s="25" t="str">
        <f t="shared" si="3"/>
        <v>OK</v>
      </c>
      <c r="U28" s="138"/>
      <c r="V28" s="138"/>
      <c r="W28" s="138"/>
      <c r="X28" s="138"/>
      <c r="Y28" s="139"/>
      <c r="Z28" s="139"/>
      <c r="AA28" s="139"/>
      <c r="AB28" s="138"/>
      <c r="AC28" s="138"/>
      <c r="AD28" s="138"/>
      <c r="AE28" s="110"/>
      <c r="AF28" s="110"/>
      <c r="AG28" s="110"/>
      <c r="AH28" s="110"/>
      <c r="AI28" s="110"/>
      <c r="AJ28" s="110"/>
      <c r="AK28" s="110"/>
    </row>
    <row r="29" spans="1:37" ht="16" customHeight="1" x14ac:dyDescent="0.35">
      <c r="A29" s="44">
        <v>26</v>
      </c>
      <c r="B29" s="44">
        <v>26</v>
      </c>
      <c r="C29" s="45" t="s">
        <v>119</v>
      </c>
      <c r="D29" s="46" t="s">
        <v>14</v>
      </c>
      <c r="E29" s="48" t="s">
        <v>128</v>
      </c>
      <c r="F29" s="50" t="s">
        <v>23</v>
      </c>
      <c r="G29" s="44" t="s">
        <v>129</v>
      </c>
      <c r="H29" s="44" t="s">
        <v>5</v>
      </c>
      <c r="I29" s="44" t="s">
        <v>6</v>
      </c>
      <c r="J29" s="47">
        <v>650</v>
      </c>
      <c r="K29" s="27">
        <f>1</f>
        <v>1</v>
      </c>
      <c r="L29" s="127">
        <f t="shared" si="0"/>
        <v>0</v>
      </c>
      <c r="M29" s="127">
        <f t="shared" si="1"/>
        <v>0</v>
      </c>
      <c r="N29" s="128"/>
      <c r="O29" s="129">
        <f t="shared" si="4"/>
        <v>0</v>
      </c>
      <c r="P29" s="128"/>
      <c r="Q29" s="128"/>
      <c r="R29" s="128"/>
      <c r="S29" s="167">
        <f t="shared" si="2"/>
        <v>1</v>
      </c>
      <c r="T29" s="25" t="str">
        <f t="shared" si="3"/>
        <v>OK</v>
      </c>
      <c r="U29" s="138"/>
      <c r="V29" s="138"/>
      <c r="W29" s="138"/>
      <c r="X29" s="138"/>
      <c r="Y29" s="139"/>
      <c r="Z29" s="139"/>
      <c r="AA29" s="139"/>
      <c r="AB29" s="138"/>
      <c r="AC29" s="138"/>
      <c r="AD29" s="138"/>
      <c r="AE29" s="110"/>
      <c r="AF29" s="110"/>
      <c r="AG29" s="110"/>
      <c r="AH29" s="110"/>
      <c r="AI29" s="110"/>
      <c r="AJ29" s="110"/>
      <c r="AK29" s="110"/>
    </row>
    <row r="30" spans="1:37" ht="16" customHeight="1" x14ac:dyDescent="0.35">
      <c r="A30" s="37">
        <v>27</v>
      </c>
      <c r="B30" s="37">
        <v>27</v>
      </c>
      <c r="C30" s="35" t="s">
        <v>130</v>
      </c>
      <c r="D30" s="34" t="s">
        <v>131</v>
      </c>
      <c r="E30" s="41" t="s">
        <v>132</v>
      </c>
      <c r="F30" s="43" t="s">
        <v>28</v>
      </c>
      <c r="G30" s="37" t="s">
        <v>29</v>
      </c>
      <c r="H30" s="37" t="s">
        <v>8</v>
      </c>
      <c r="I30" s="37" t="s">
        <v>26</v>
      </c>
      <c r="J30" s="36">
        <v>39.78</v>
      </c>
      <c r="K30" s="27">
        <f>30</f>
        <v>30</v>
      </c>
      <c r="L30" s="127">
        <f t="shared" si="0"/>
        <v>0</v>
      </c>
      <c r="M30" s="127">
        <f t="shared" si="1"/>
        <v>0</v>
      </c>
      <c r="N30" s="128"/>
      <c r="O30" s="129">
        <f t="shared" si="4"/>
        <v>7</v>
      </c>
      <c r="P30" s="128"/>
      <c r="Q30" s="128"/>
      <c r="R30" s="128"/>
      <c r="S30" s="167">
        <f t="shared" si="2"/>
        <v>30</v>
      </c>
      <c r="T30" s="25" t="str">
        <f t="shared" si="3"/>
        <v>OK</v>
      </c>
      <c r="U30" s="138"/>
      <c r="V30" s="138"/>
      <c r="W30" s="138"/>
      <c r="X30" s="138"/>
      <c r="Y30" s="139"/>
      <c r="Z30" s="139"/>
      <c r="AA30" s="139"/>
      <c r="AB30" s="138"/>
      <c r="AC30" s="138"/>
      <c r="AD30" s="138"/>
      <c r="AE30" s="110"/>
      <c r="AF30" s="110"/>
      <c r="AG30" s="110"/>
      <c r="AH30" s="110"/>
      <c r="AI30" s="110"/>
      <c r="AJ30" s="110"/>
      <c r="AK30" s="110"/>
    </row>
    <row r="31" spans="1:37" ht="16" customHeight="1" x14ac:dyDescent="0.35">
      <c r="A31" s="44">
        <v>28</v>
      </c>
      <c r="B31" s="44">
        <v>28</v>
      </c>
      <c r="C31" s="45" t="s">
        <v>133</v>
      </c>
      <c r="D31" s="46" t="s">
        <v>134</v>
      </c>
      <c r="E31" s="48" t="s">
        <v>135</v>
      </c>
      <c r="F31" s="50" t="s">
        <v>136</v>
      </c>
      <c r="G31" s="44" t="s">
        <v>137</v>
      </c>
      <c r="H31" s="44" t="s">
        <v>5</v>
      </c>
      <c r="I31" s="44" t="s">
        <v>6</v>
      </c>
      <c r="J31" s="47">
        <v>2259.91</v>
      </c>
      <c r="K31" s="27">
        <f>0</f>
        <v>0</v>
      </c>
      <c r="L31" s="127">
        <f t="shared" si="0"/>
        <v>0</v>
      </c>
      <c r="M31" s="127">
        <f t="shared" si="1"/>
        <v>0</v>
      </c>
      <c r="N31" s="128"/>
      <c r="O31" s="129">
        <f t="shared" si="4"/>
        <v>0</v>
      </c>
      <c r="P31" s="128"/>
      <c r="Q31" s="128"/>
      <c r="R31" s="128"/>
      <c r="S31" s="167">
        <f t="shared" si="2"/>
        <v>0</v>
      </c>
      <c r="T31" s="25" t="str">
        <f t="shared" si="3"/>
        <v>OK</v>
      </c>
      <c r="U31" s="138"/>
      <c r="V31" s="138"/>
      <c r="W31" s="138"/>
      <c r="X31" s="138"/>
      <c r="Y31" s="139"/>
      <c r="Z31" s="139"/>
      <c r="AA31" s="139"/>
      <c r="AB31" s="138"/>
      <c r="AC31" s="138"/>
      <c r="AD31" s="138"/>
      <c r="AE31" s="110"/>
      <c r="AF31" s="110"/>
      <c r="AG31" s="110"/>
      <c r="AH31" s="110"/>
      <c r="AI31" s="110"/>
      <c r="AJ31" s="110"/>
      <c r="AK31" s="110"/>
    </row>
    <row r="32" spans="1:37" ht="16" customHeight="1" x14ac:dyDescent="0.35">
      <c r="A32" s="37">
        <v>29</v>
      </c>
      <c r="B32" s="37">
        <v>29</v>
      </c>
      <c r="C32" s="35" t="s">
        <v>138</v>
      </c>
      <c r="D32" s="34" t="s">
        <v>139</v>
      </c>
      <c r="E32" s="41" t="s">
        <v>140</v>
      </c>
      <c r="F32" s="43" t="s">
        <v>136</v>
      </c>
      <c r="G32" s="37" t="s">
        <v>137</v>
      </c>
      <c r="H32" s="37" t="s">
        <v>5</v>
      </c>
      <c r="I32" s="37" t="s">
        <v>6</v>
      </c>
      <c r="J32" s="36">
        <v>3391.3</v>
      </c>
      <c r="K32" s="27">
        <f>0</f>
        <v>0</v>
      </c>
      <c r="L32" s="127">
        <f t="shared" si="0"/>
        <v>0</v>
      </c>
      <c r="M32" s="127">
        <f t="shared" si="1"/>
        <v>0</v>
      </c>
      <c r="N32" s="128"/>
      <c r="O32" s="129">
        <f t="shared" si="4"/>
        <v>0</v>
      </c>
      <c r="P32" s="128"/>
      <c r="Q32" s="128"/>
      <c r="R32" s="128"/>
      <c r="S32" s="167">
        <f t="shared" si="2"/>
        <v>0</v>
      </c>
      <c r="T32" s="25" t="str">
        <f t="shared" si="3"/>
        <v>OK</v>
      </c>
      <c r="U32" s="138"/>
      <c r="V32" s="138"/>
      <c r="W32" s="138"/>
      <c r="X32" s="138"/>
      <c r="Y32" s="139"/>
      <c r="Z32" s="139"/>
      <c r="AA32" s="139"/>
      <c r="AB32" s="138"/>
      <c r="AC32" s="138"/>
      <c r="AD32" s="138"/>
      <c r="AE32" s="110"/>
      <c r="AF32" s="110"/>
      <c r="AG32" s="110"/>
      <c r="AH32" s="110"/>
      <c r="AI32" s="110"/>
      <c r="AJ32" s="110"/>
      <c r="AK32" s="110"/>
    </row>
    <row r="33" spans="1:37" ht="16" customHeight="1" x14ac:dyDescent="0.35">
      <c r="A33" s="44">
        <v>30</v>
      </c>
      <c r="B33" s="44">
        <v>30</v>
      </c>
      <c r="C33" s="45" t="s">
        <v>141</v>
      </c>
      <c r="D33" s="46" t="s">
        <v>142</v>
      </c>
      <c r="E33" s="48" t="s">
        <v>143</v>
      </c>
      <c r="F33" s="50" t="s">
        <v>136</v>
      </c>
      <c r="G33" s="44" t="s">
        <v>137</v>
      </c>
      <c r="H33" s="44" t="s">
        <v>5</v>
      </c>
      <c r="I33" s="44" t="s">
        <v>6</v>
      </c>
      <c r="J33" s="47">
        <v>9961.5300000000007</v>
      </c>
      <c r="K33" s="27">
        <f>0</f>
        <v>0</v>
      </c>
      <c r="L33" s="127">
        <f t="shared" si="0"/>
        <v>0</v>
      </c>
      <c r="M33" s="127">
        <f t="shared" si="1"/>
        <v>0</v>
      </c>
      <c r="N33" s="128"/>
      <c r="O33" s="129">
        <f t="shared" si="4"/>
        <v>0</v>
      </c>
      <c r="P33" s="128"/>
      <c r="Q33" s="128"/>
      <c r="R33" s="128"/>
      <c r="S33" s="167">
        <f t="shared" si="2"/>
        <v>0</v>
      </c>
      <c r="T33" s="25" t="str">
        <f t="shared" si="3"/>
        <v>OK</v>
      </c>
      <c r="U33" s="138"/>
      <c r="V33" s="138"/>
      <c r="W33" s="138"/>
      <c r="X33" s="138"/>
      <c r="Y33" s="139"/>
      <c r="Z33" s="139"/>
      <c r="AA33" s="139"/>
      <c r="AB33" s="138"/>
      <c r="AC33" s="138"/>
      <c r="AD33" s="138"/>
      <c r="AE33" s="110"/>
      <c r="AF33" s="110"/>
      <c r="AG33" s="110"/>
      <c r="AH33" s="110"/>
      <c r="AI33" s="110"/>
      <c r="AJ33" s="110"/>
      <c r="AK33" s="110"/>
    </row>
    <row r="34" spans="1:37" ht="16" customHeight="1" x14ac:dyDescent="0.35">
      <c r="A34" s="37">
        <v>31</v>
      </c>
      <c r="B34" s="37">
        <v>31</v>
      </c>
      <c r="C34" s="35" t="s">
        <v>144</v>
      </c>
      <c r="D34" s="34" t="s">
        <v>145</v>
      </c>
      <c r="E34" s="41" t="s">
        <v>146</v>
      </c>
      <c r="F34" s="43" t="s">
        <v>20</v>
      </c>
      <c r="G34" s="37" t="s">
        <v>147</v>
      </c>
      <c r="H34" s="37" t="s">
        <v>60</v>
      </c>
      <c r="I34" s="37">
        <v>44905212</v>
      </c>
      <c r="J34" s="36">
        <v>630</v>
      </c>
      <c r="K34" s="27">
        <f>2</f>
        <v>2</v>
      </c>
      <c r="L34" s="127">
        <f t="shared" si="0"/>
        <v>2</v>
      </c>
      <c r="M34" s="127">
        <f t="shared" si="1"/>
        <v>2</v>
      </c>
      <c r="N34" s="128"/>
      <c r="O34" s="129">
        <f t="shared" si="4"/>
        <v>0</v>
      </c>
      <c r="P34" s="128"/>
      <c r="Q34" s="128"/>
      <c r="R34" s="128"/>
      <c r="S34" s="167">
        <f t="shared" si="2"/>
        <v>0</v>
      </c>
      <c r="T34" s="25" t="str">
        <f t="shared" si="3"/>
        <v>OK</v>
      </c>
      <c r="U34" s="138"/>
      <c r="V34" s="138"/>
      <c r="W34" s="138"/>
      <c r="X34" s="138"/>
      <c r="Y34" s="139"/>
      <c r="Z34" s="139"/>
      <c r="AA34" s="141">
        <v>2</v>
      </c>
      <c r="AB34" s="138"/>
      <c r="AC34" s="138"/>
      <c r="AD34" s="138"/>
      <c r="AE34" s="110"/>
      <c r="AF34" s="110"/>
      <c r="AG34" s="110"/>
      <c r="AH34" s="110"/>
      <c r="AI34" s="110"/>
      <c r="AJ34" s="110"/>
      <c r="AK34" s="110"/>
    </row>
    <row r="35" spans="1:37" ht="16" customHeight="1" x14ac:dyDescent="0.35">
      <c r="A35" s="44">
        <v>32</v>
      </c>
      <c r="B35" s="44">
        <v>32</v>
      </c>
      <c r="C35" s="45" t="s">
        <v>144</v>
      </c>
      <c r="D35" s="46" t="s">
        <v>148</v>
      </c>
      <c r="E35" s="48" t="s">
        <v>149</v>
      </c>
      <c r="F35" s="50" t="s">
        <v>20</v>
      </c>
      <c r="G35" s="44" t="s">
        <v>147</v>
      </c>
      <c r="H35" s="44" t="s">
        <v>60</v>
      </c>
      <c r="I35" s="44">
        <v>44905212</v>
      </c>
      <c r="J35" s="47">
        <v>1550</v>
      </c>
      <c r="K35" s="27">
        <f>2</f>
        <v>2</v>
      </c>
      <c r="L35" s="127">
        <f t="shared" si="0"/>
        <v>2</v>
      </c>
      <c r="M35" s="127">
        <f t="shared" si="1"/>
        <v>2</v>
      </c>
      <c r="N35" s="128"/>
      <c r="O35" s="129">
        <f t="shared" si="4"/>
        <v>0</v>
      </c>
      <c r="P35" s="128"/>
      <c r="Q35" s="128"/>
      <c r="R35" s="128"/>
      <c r="S35" s="167">
        <f t="shared" si="2"/>
        <v>0</v>
      </c>
      <c r="T35" s="25" t="str">
        <f t="shared" si="3"/>
        <v>OK</v>
      </c>
      <c r="U35" s="138"/>
      <c r="V35" s="138"/>
      <c r="W35" s="138"/>
      <c r="X35" s="138"/>
      <c r="Y35" s="139"/>
      <c r="Z35" s="139"/>
      <c r="AA35" s="141">
        <v>2</v>
      </c>
      <c r="AB35" s="138"/>
      <c r="AC35" s="138"/>
      <c r="AD35" s="138"/>
      <c r="AE35" s="110"/>
      <c r="AF35" s="110"/>
      <c r="AG35" s="110"/>
      <c r="AH35" s="110"/>
      <c r="AI35" s="110"/>
      <c r="AJ35" s="110"/>
      <c r="AK35" s="110"/>
    </row>
    <row r="36" spans="1:37" ht="16" customHeight="1" x14ac:dyDescent="0.35">
      <c r="A36" s="37">
        <v>33</v>
      </c>
      <c r="B36" s="37">
        <v>33</v>
      </c>
      <c r="C36" s="35" t="s">
        <v>150</v>
      </c>
      <c r="D36" s="34" t="s">
        <v>151</v>
      </c>
      <c r="E36" s="41" t="s">
        <v>152</v>
      </c>
      <c r="F36" s="43" t="s">
        <v>20</v>
      </c>
      <c r="G36" s="37" t="s">
        <v>147</v>
      </c>
      <c r="H36" s="37" t="s">
        <v>60</v>
      </c>
      <c r="I36" s="37">
        <v>44905212</v>
      </c>
      <c r="J36" s="36">
        <v>930</v>
      </c>
      <c r="K36" s="27">
        <f>1</f>
        <v>1</v>
      </c>
      <c r="L36" s="127">
        <f t="shared" ref="L36:L67" si="5">IF(SUM(U36:AL36)&gt;K36+N36,K36+N36,SUM(U36:AL36))</f>
        <v>1</v>
      </c>
      <c r="M36" s="127">
        <f t="shared" ref="M36:M67" si="6">(SUM(U36:AK36))</f>
        <v>1</v>
      </c>
      <c r="N36" s="128"/>
      <c r="O36" s="129">
        <f t="shared" si="4"/>
        <v>0</v>
      </c>
      <c r="P36" s="128"/>
      <c r="Q36" s="128"/>
      <c r="R36" s="128"/>
      <c r="S36" s="167">
        <f t="shared" ref="S36:S67" si="7">K36-SUM(U36:AK36)+N36</f>
        <v>0</v>
      </c>
      <c r="T36" s="25" t="str">
        <f t="shared" ref="T36:T67" si="8">IF(S36&lt;0,"ATENÇÃO","OK")</f>
        <v>OK</v>
      </c>
      <c r="U36" s="138"/>
      <c r="V36" s="138"/>
      <c r="W36" s="138"/>
      <c r="X36" s="138"/>
      <c r="Y36" s="139"/>
      <c r="Z36" s="139"/>
      <c r="AA36" s="139"/>
      <c r="AB36" s="140">
        <v>1</v>
      </c>
      <c r="AC36" s="138"/>
      <c r="AD36" s="138"/>
      <c r="AE36" s="110"/>
      <c r="AF36" s="110"/>
      <c r="AG36" s="110"/>
      <c r="AH36" s="110"/>
      <c r="AI36" s="110"/>
      <c r="AJ36" s="110"/>
      <c r="AK36" s="110"/>
    </row>
    <row r="37" spans="1:37" ht="16" customHeight="1" x14ac:dyDescent="0.35">
      <c r="A37" s="44">
        <v>34</v>
      </c>
      <c r="B37" s="44">
        <v>34</v>
      </c>
      <c r="C37" s="45" t="s">
        <v>150</v>
      </c>
      <c r="D37" s="46" t="s">
        <v>153</v>
      </c>
      <c r="E37" s="48" t="s">
        <v>154</v>
      </c>
      <c r="F37" s="50" t="s">
        <v>20</v>
      </c>
      <c r="G37" s="44" t="s">
        <v>147</v>
      </c>
      <c r="H37" s="44" t="s">
        <v>60</v>
      </c>
      <c r="I37" s="44">
        <v>44905212</v>
      </c>
      <c r="J37" s="47">
        <v>2560</v>
      </c>
      <c r="K37" s="27">
        <f>1</f>
        <v>1</v>
      </c>
      <c r="L37" s="127">
        <f t="shared" si="5"/>
        <v>1</v>
      </c>
      <c r="M37" s="127">
        <f t="shared" si="6"/>
        <v>1</v>
      </c>
      <c r="N37" s="128"/>
      <c r="O37" s="129">
        <f t="shared" si="4"/>
        <v>0</v>
      </c>
      <c r="P37" s="128"/>
      <c r="Q37" s="128"/>
      <c r="R37" s="128"/>
      <c r="S37" s="167">
        <f t="shared" si="7"/>
        <v>0</v>
      </c>
      <c r="T37" s="25" t="str">
        <f t="shared" si="8"/>
        <v>OK</v>
      </c>
      <c r="U37" s="138"/>
      <c r="V37" s="138"/>
      <c r="W37" s="138"/>
      <c r="X37" s="138"/>
      <c r="Y37" s="139"/>
      <c r="Z37" s="139"/>
      <c r="AA37" s="139"/>
      <c r="AB37" s="140">
        <v>1</v>
      </c>
      <c r="AC37" s="138"/>
      <c r="AD37" s="138"/>
      <c r="AE37" s="110"/>
      <c r="AF37" s="110"/>
      <c r="AG37" s="110"/>
      <c r="AH37" s="110"/>
      <c r="AI37" s="110"/>
      <c r="AJ37" s="110"/>
      <c r="AK37" s="110"/>
    </row>
    <row r="38" spans="1:37" ht="16" customHeight="1" x14ac:dyDescent="0.35">
      <c r="A38" s="198" t="s">
        <v>155</v>
      </c>
      <c r="B38" s="37">
        <v>35</v>
      </c>
      <c r="C38" s="195" t="s">
        <v>33</v>
      </c>
      <c r="D38" s="34" t="s">
        <v>27</v>
      </c>
      <c r="E38" s="41" t="s">
        <v>8</v>
      </c>
      <c r="F38" s="42" t="s">
        <v>28</v>
      </c>
      <c r="G38" s="37" t="s">
        <v>29</v>
      </c>
      <c r="H38" s="37" t="s">
        <v>8</v>
      </c>
      <c r="I38" s="37" t="s">
        <v>9</v>
      </c>
      <c r="J38" s="36">
        <v>150.13999999999999</v>
      </c>
      <c r="K38" s="27">
        <f>0</f>
        <v>0</v>
      </c>
      <c r="L38" s="127">
        <f t="shared" si="5"/>
        <v>0</v>
      </c>
      <c r="M38" s="127">
        <f t="shared" si="6"/>
        <v>0</v>
      </c>
      <c r="N38" s="128"/>
      <c r="O38" s="129">
        <f t="shared" si="4"/>
        <v>0</v>
      </c>
      <c r="P38" s="128"/>
      <c r="Q38" s="128"/>
      <c r="R38" s="128"/>
      <c r="S38" s="167">
        <f t="shared" si="7"/>
        <v>0</v>
      </c>
      <c r="T38" s="25" t="str">
        <f t="shared" si="8"/>
        <v>OK</v>
      </c>
      <c r="U38" s="138"/>
      <c r="V38" s="138"/>
      <c r="W38" s="138"/>
      <c r="X38" s="138"/>
      <c r="Y38" s="139"/>
      <c r="Z38" s="139"/>
      <c r="AA38" s="139"/>
      <c r="AB38" s="138"/>
      <c r="AC38" s="138"/>
      <c r="AD38" s="138"/>
      <c r="AE38" s="110"/>
      <c r="AF38" s="110"/>
      <c r="AG38" s="110"/>
      <c r="AH38" s="110"/>
      <c r="AI38" s="110"/>
      <c r="AJ38" s="110"/>
      <c r="AK38" s="110"/>
    </row>
    <row r="39" spans="1:37" ht="16" customHeight="1" x14ac:dyDescent="0.35">
      <c r="A39" s="199"/>
      <c r="B39" s="37">
        <v>36</v>
      </c>
      <c r="C39" s="196"/>
      <c r="D39" s="34" t="s">
        <v>7</v>
      </c>
      <c r="E39" s="41" t="s">
        <v>8</v>
      </c>
      <c r="F39" s="43" t="s">
        <v>28</v>
      </c>
      <c r="G39" s="37" t="s">
        <v>29</v>
      </c>
      <c r="H39" s="37" t="s">
        <v>8</v>
      </c>
      <c r="I39" s="37" t="s">
        <v>9</v>
      </c>
      <c r="J39" s="36">
        <v>1076</v>
      </c>
      <c r="K39" s="27">
        <f>0</f>
        <v>0</v>
      </c>
      <c r="L39" s="127">
        <f t="shared" si="5"/>
        <v>0</v>
      </c>
      <c r="M39" s="127">
        <f t="shared" si="6"/>
        <v>0</v>
      </c>
      <c r="N39" s="128"/>
      <c r="O39" s="129">
        <f t="shared" si="4"/>
        <v>0</v>
      </c>
      <c r="P39" s="128"/>
      <c r="Q39" s="128"/>
      <c r="R39" s="128"/>
      <c r="S39" s="167">
        <f t="shared" si="7"/>
        <v>0</v>
      </c>
      <c r="T39" s="25" t="str">
        <f t="shared" si="8"/>
        <v>OK</v>
      </c>
      <c r="U39" s="138"/>
      <c r="V39" s="138"/>
      <c r="W39" s="138"/>
      <c r="X39" s="138"/>
      <c r="Y39" s="139"/>
      <c r="Z39" s="139"/>
      <c r="AA39" s="139"/>
      <c r="AB39" s="138"/>
      <c r="AC39" s="138"/>
      <c r="AD39" s="138"/>
      <c r="AE39" s="110"/>
      <c r="AF39" s="110"/>
      <c r="AG39" s="110"/>
      <c r="AH39" s="110"/>
      <c r="AI39" s="110"/>
      <c r="AJ39" s="110"/>
      <c r="AK39" s="110"/>
    </row>
    <row r="40" spans="1:37" ht="16" customHeight="1" x14ac:dyDescent="0.35">
      <c r="A40" s="199"/>
      <c r="B40" s="37">
        <v>37</v>
      </c>
      <c r="C40" s="196"/>
      <c r="D40" s="34" t="s">
        <v>156</v>
      </c>
      <c r="E40" s="41" t="s">
        <v>8</v>
      </c>
      <c r="F40" s="43" t="s">
        <v>28</v>
      </c>
      <c r="G40" s="37" t="s">
        <v>29</v>
      </c>
      <c r="H40" s="37" t="s">
        <v>34</v>
      </c>
      <c r="I40" s="37" t="s">
        <v>9</v>
      </c>
      <c r="J40" s="36">
        <v>75</v>
      </c>
      <c r="K40" s="27">
        <f>0</f>
        <v>0</v>
      </c>
      <c r="L40" s="127">
        <f t="shared" si="5"/>
        <v>0</v>
      </c>
      <c r="M40" s="127">
        <f t="shared" si="6"/>
        <v>0</v>
      </c>
      <c r="N40" s="128"/>
      <c r="O40" s="129">
        <f t="shared" si="4"/>
        <v>0</v>
      </c>
      <c r="P40" s="128"/>
      <c r="Q40" s="128"/>
      <c r="R40" s="128"/>
      <c r="S40" s="167">
        <f t="shared" si="7"/>
        <v>0</v>
      </c>
      <c r="T40" s="25" t="str">
        <f t="shared" si="8"/>
        <v>OK</v>
      </c>
      <c r="U40" s="138"/>
      <c r="V40" s="138"/>
      <c r="W40" s="138"/>
      <c r="X40" s="138"/>
      <c r="Y40" s="139"/>
      <c r="Z40" s="139"/>
      <c r="AA40" s="139"/>
      <c r="AB40" s="138"/>
      <c r="AC40" s="138"/>
      <c r="AD40" s="138"/>
      <c r="AE40" s="110"/>
      <c r="AF40" s="110"/>
      <c r="AG40" s="110"/>
      <c r="AH40" s="110"/>
      <c r="AI40" s="110"/>
      <c r="AJ40" s="110"/>
      <c r="AK40" s="110"/>
    </row>
    <row r="41" spans="1:37" ht="16" customHeight="1" x14ac:dyDescent="0.35">
      <c r="A41" s="199"/>
      <c r="B41" s="37">
        <v>38</v>
      </c>
      <c r="C41" s="196"/>
      <c r="D41" s="34" t="s">
        <v>11</v>
      </c>
      <c r="E41" s="41" t="s">
        <v>8</v>
      </c>
      <c r="F41" s="43" t="s">
        <v>28</v>
      </c>
      <c r="G41" s="37" t="s">
        <v>29</v>
      </c>
      <c r="H41" s="37" t="s">
        <v>8</v>
      </c>
      <c r="I41" s="37" t="s">
        <v>9</v>
      </c>
      <c r="J41" s="36">
        <v>1400</v>
      </c>
      <c r="K41" s="27">
        <f>0</f>
        <v>0</v>
      </c>
      <c r="L41" s="127">
        <f t="shared" si="5"/>
        <v>0</v>
      </c>
      <c r="M41" s="127">
        <f t="shared" si="6"/>
        <v>0</v>
      </c>
      <c r="N41" s="128"/>
      <c r="O41" s="129">
        <f t="shared" si="4"/>
        <v>0</v>
      </c>
      <c r="P41" s="128"/>
      <c r="Q41" s="128"/>
      <c r="R41" s="128"/>
      <c r="S41" s="167">
        <f t="shared" si="7"/>
        <v>0</v>
      </c>
      <c r="T41" s="25" t="str">
        <f t="shared" si="8"/>
        <v>OK</v>
      </c>
      <c r="U41" s="138"/>
      <c r="V41" s="138"/>
      <c r="W41" s="138"/>
      <c r="X41" s="138"/>
      <c r="Y41" s="139"/>
      <c r="Z41" s="139"/>
      <c r="AA41" s="139"/>
      <c r="AB41" s="138"/>
      <c r="AC41" s="138"/>
      <c r="AD41" s="138"/>
      <c r="AE41" s="110"/>
      <c r="AF41" s="110"/>
      <c r="AG41" s="110"/>
      <c r="AH41" s="110"/>
      <c r="AI41" s="110"/>
      <c r="AJ41" s="110"/>
      <c r="AK41" s="110"/>
    </row>
    <row r="42" spans="1:37" ht="16" customHeight="1" x14ac:dyDescent="0.35">
      <c r="A42" s="199"/>
      <c r="B42" s="37">
        <v>39</v>
      </c>
      <c r="C42" s="196"/>
      <c r="D42" s="34" t="s">
        <v>12</v>
      </c>
      <c r="E42" s="41" t="s">
        <v>8</v>
      </c>
      <c r="F42" s="43" t="s">
        <v>28</v>
      </c>
      <c r="G42" s="37" t="s">
        <v>29</v>
      </c>
      <c r="H42" s="37" t="s">
        <v>34</v>
      </c>
      <c r="I42" s="37" t="s">
        <v>9</v>
      </c>
      <c r="J42" s="36">
        <v>75.5</v>
      </c>
      <c r="K42" s="27">
        <f>0</f>
        <v>0</v>
      </c>
      <c r="L42" s="127">
        <f t="shared" si="5"/>
        <v>0</v>
      </c>
      <c r="M42" s="127">
        <f t="shared" si="6"/>
        <v>0</v>
      </c>
      <c r="N42" s="128"/>
      <c r="O42" s="129">
        <f t="shared" si="4"/>
        <v>0</v>
      </c>
      <c r="P42" s="128"/>
      <c r="Q42" s="128"/>
      <c r="R42" s="128"/>
      <c r="S42" s="167">
        <f t="shared" si="7"/>
        <v>0</v>
      </c>
      <c r="T42" s="25" t="str">
        <f t="shared" si="8"/>
        <v>OK</v>
      </c>
      <c r="U42" s="138"/>
      <c r="V42" s="138"/>
      <c r="W42" s="138"/>
      <c r="X42" s="138"/>
      <c r="Y42" s="139"/>
      <c r="Z42" s="139"/>
      <c r="AA42" s="139"/>
      <c r="AB42" s="138"/>
      <c r="AC42" s="138"/>
      <c r="AD42" s="138"/>
      <c r="AE42" s="110"/>
      <c r="AF42" s="110"/>
      <c r="AG42" s="110"/>
      <c r="AH42" s="110"/>
      <c r="AI42" s="110"/>
      <c r="AJ42" s="110"/>
      <c r="AK42" s="110"/>
    </row>
    <row r="43" spans="1:37" ht="16" customHeight="1" x14ac:dyDescent="0.35">
      <c r="A43" s="199"/>
      <c r="B43" s="37">
        <v>40</v>
      </c>
      <c r="C43" s="196"/>
      <c r="D43" s="34" t="s">
        <v>10</v>
      </c>
      <c r="E43" s="41" t="s">
        <v>8</v>
      </c>
      <c r="F43" s="43" t="s">
        <v>28</v>
      </c>
      <c r="G43" s="37" t="s">
        <v>29</v>
      </c>
      <c r="H43" s="37" t="s">
        <v>8</v>
      </c>
      <c r="I43" s="37" t="s">
        <v>9</v>
      </c>
      <c r="J43" s="36">
        <v>1600</v>
      </c>
      <c r="K43" s="27">
        <f>0</f>
        <v>0</v>
      </c>
      <c r="L43" s="127">
        <f t="shared" si="5"/>
        <v>0</v>
      </c>
      <c r="M43" s="127">
        <f t="shared" si="6"/>
        <v>0</v>
      </c>
      <c r="N43" s="128"/>
      <c r="O43" s="129">
        <f t="shared" si="4"/>
        <v>0</v>
      </c>
      <c r="P43" s="128"/>
      <c r="Q43" s="128"/>
      <c r="R43" s="128"/>
      <c r="S43" s="167">
        <f t="shared" si="7"/>
        <v>0</v>
      </c>
      <c r="T43" s="25" t="str">
        <f t="shared" si="8"/>
        <v>OK</v>
      </c>
      <c r="U43" s="138"/>
      <c r="V43" s="138"/>
      <c r="W43" s="138"/>
      <c r="X43" s="138"/>
      <c r="Y43" s="139"/>
      <c r="Z43" s="139"/>
      <c r="AA43" s="139"/>
      <c r="AB43" s="138"/>
      <c r="AC43" s="138"/>
      <c r="AD43" s="138"/>
      <c r="AE43" s="110"/>
      <c r="AF43" s="110"/>
      <c r="AG43" s="110"/>
      <c r="AH43" s="110"/>
      <c r="AI43" s="110"/>
      <c r="AJ43" s="110"/>
      <c r="AK43" s="110"/>
    </row>
    <row r="44" spans="1:37" ht="16" customHeight="1" x14ac:dyDescent="0.35">
      <c r="A44" s="199"/>
      <c r="B44" s="37">
        <v>41</v>
      </c>
      <c r="C44" s="196"/>
      <c r="D44" s="34" t="s">
        <v>13</v>
      </c>
      <c r="E44" s="41" t="s">
        <v>8</v>
      </c>
      <c r="F44" s="43" t="s">
        <v>28</v>
      </c>
      <c r="G44" s="37" t="s">
        <v>29</v>
      </c>
      <c r="H44" s="37" t="s">
        <v>34</v>
      </c>
      <c r="I44" s="37" t="s">
        <v>9</v>
      </c>
      <c r="J44" s="36">
        <v>75</v>
      </c>
      <c r="K44" s="27">
        <f>0</f>
        <v>0</v>
      </c>
      <c r="L44" s="127">
        <f t="shared" si="5"/>
        <v>0</v>
      </c>
      <c r="M44" s="127">
        <f t="shared" si="6"/>
        <v>0</v>
      </c>
      <c r="N44" s="128"/>
      <c r="O44" s="129">
        <f t="shared" si="4"/>
        <v>0</v>
      </c>
      <c r="P44" s="128"/>
      <c r="Q44" s="128"/>
      <c r="R44" s="128"/>
      <c r="S44" s="167">
        <f t="shared" si="7"/>
        <v>0</v>
      </c>
      <c r="T44" s="25" t="str">
        <f t="shared" si="8"/>
        <v>OK</v>
      </c>
      <c r="U44" s="138"/>
      <c r="V44" s="138"/>
      <c r="W44" s="138"/>
      <c r="X44" s="138"/>
      <c r="Y44" s="139"/>
      <c r="Z44" s="139"/>
      <c r="AA44" s="139"/>
      <c r="AB44" s="138"/>
      <c r="AC44" s="138"/>
      <c r="AD44" s="138"/>
      <c r="AE44" s="110"/>
      <c r="AF44" s="110"/>
      <c r="AG44" s="110"/>
      <c r="AH44" s="110"/>
      <c r="AI44" s="110"/>
      <c r="AJ44" s="110"/>
      <c r="AK44" s="110"/>
    </row>
    <row r="45" spans="1:37" ht="16" customHeight="1" x14ac:dyDescent="0.35">
      <c r="A45" s="199"/>
      <c r="B45" s="37">
        <v>42</v>
      </c>
      <c r="C45" s="196"/>
      <c r="D45" s="34" t="s">
        <v>157</v>
      </c>
      <c r="E45" s="41" t="s">
        <v>8</v>
      </c>
      <c r="F45" s="43" t="s">
        <v>28</v>
      </c>
      <c r="G45" s="37" t="s">
        <v>29</v>
      </c>
      <c r="H45" s="37" t="s">
        <v>8</v>
      </c>
      <c r="I45" s="37" t="s">
        <v>9</v>
      </c>
      <c r="J45" s="36">
        <v>350</v>
      </c>
      <c r="K45" s="27">
        <f>0</f>
        <v>0</v>
      </c>
      <c r="L45" s="127">
        <f t="shared" si="5"/>
        <v>0</v>
      </c>
      <c r="M45" s="127">
        <f t="shared" si="6"/>
        <v>0</v>
      </c>
      <c r="N45" s="128"/>
      <c r="O45" s="129">
        <f t="shared" si="4"/>
        <v>0</v>
      </c>
      <c r="P45" s="128"/>
      <c r="Q45" s="128"/>
      <c r="R45" s="128"/>
      <c r="S45" s="167">
        <f t="shared" si="7"/>
        <v>0</v>
      </c>
      <c r="T45" s="25" t="str">
        <f t="shared" si="8"/>
        <v>OK</v>
      </c>
      <c r="U45" s="138"/>
      <c r="V45" s="138"/>
      <c r="W45" s="138"/>
      <c r="X45" s="138"/>
      <c r="Y45" s="139"/>
      <c r="Z45" s="139"/>
      <c r="AA45" s="139"/>
      <c r="AB45" s="138"/>
      <c r="AC45" s="138"/>
      <c r="AD45" s="138"/>
      <c r="AE45" s="110"/>
      <c r="AF45" s="110"/>
      <c r="AG45" s="110"/>
      <c r="AH45" s="110"/>
      <c r="AI45" s="110"/>
      <c r="AJ45" s="110"/>
      <c r="AK45" s="110"/>
    </row>
    <row r="46" spans="1:37" ht="16" customHeight="1" x14ac:dyDescent="0.35">
      <c r="A46" s="199"/>
      <c r="B46" s="37">
        <v>43</v>
      </c>
      <c r="C46" s="196"/>
      <c r="D46" s="34" t="s">
        <v>30</v>
      </c>
      <c r="E46" s="41" t="s">
        <v>8</v>
      </c>
      <c r="F46" s="43" t="s">
        <v>28</v>
      </c>
      <c r="G46" s="37" t="s">
        <v>29</v>
      </c>
      <c r="H46" s="37" t="s">
        <v>8</v>
      </c>
      <c r="I46" s="37" t="s">
        <v>9</v>
      </c>
      <c r="J46" s="36">
        <v>100.25</v>
      </c>
      <c r="K46" s="27">
        <f>0</f>
        <v>0</v>
      </c>
      <c r="L46" s="127">
        <f t="shared" si="5"/>
        <v>0</v>
      </c>
      <c r="M46" s="127">
        <f t="shared" si="6"/>
        <v>0</v>
      </c>
      <c r="N46" s="128"/>
      <c r="O46" s="129">
        <f t="shared" si="4"/>
        <v>0</v>
      </c>
      <c r="P46" s="128"/>
      <c r="Q46" s="128"/>
      <c r="R46" s="128"/>
      <c r="S46" s="167">
        <f t="shared" si="7"/>
        <v>0</v>
      </c>
      <c r="T46" s="25" t="str">
        <f t="shared" si="8"/>
        <v>OK</v>
      </c>
      <c r="U46" s="138"/>
      <c r="V46" s="138"/>
      <c r="W46" s="138"/>
      <c r="X46" s="138"/>
      <c r="Y46" s="139"/>
      <c r="Z46" s="139"/>
      <c r="AA46" s="139"/>
      <c r="AB46" s="138"/>
      <c r="AC46" s="138"/>
      <c r="AD46" s="138"/>
      <c r="AE46" s="110"/>
      <c r="AF46" s="110"/>
      <c r="AG46" s="110"/>
      <c r="AH46" s="110"/>
      <c r="AI46" s="110"/>
      <c r="AJ46" s="110"/>
      <c r="AK46" s="110"/>
    </row>
    <row r="47" spans="1:37" ht="16" customHeight="1" x14ac:dyDescent="0.35">
      <c r="A47" s="199"/>
      <c r="B47" s="37">
        <v>44</v>
      </c>
      <c r="C47" s="196"/>
      <c r="D47" s="34" t="s">
        <v>158</v>
      </c>
      <c r="E47" s="41" t="s">
        <v>8</v>
      </c>
      <c r="F47" s="42" t="s">
        <v>28</v>
      </c>
      <c r="G47" s="37" t="s">
        <v>159</v>
      </c>
      <c r="H47" s="37" t="s">
        <v>8</v>
      </c>
      <c r="I47" s="37" t="s">
        <v>9</v>
      </c>
      <c r="J47" s="36">
        <v>1424</v>
      </c>
      <c r="K47" s="27">
        <f>0</f>
        <v>0</v>
      </c>
      <c r="L47" s="127">
        <f t="shared" si="5"/>
        <v>0</v>
      </c>
      <c r="M47" s="127">
        <f t="shared" si="6"/>
        <v>0</v>
      </c>
      <c r="N47" s="128"/>
      <c r="O47" s="129">
        <f t="shared" si="4"/>
        <v>0</v>
      </c>
      <c r="P47" s="128"/>
      <c r="Q47" s="128"/>
      <c r="R47" s="128"/>
      <c r="S47" s="167">
        <f t="shared" si="7"/>
        <v>0</v>
      </c>
      <c r="T47" s="25" t="str">
        <f t="shared" si="8"/>
        <v>OK</v>
      </c>
      <c r="U47" s="138"/>
      <c r="V47" s="138"/>
      <c r="W47" s="138"/>
      <c r="X47" s="138"/>
      <c r="Y47" s="139"/>
      <c r="Z47" s="139"/>
      <c r="AA47" s="139"/>
      <c r="AB47" s="138"/>
      <c r="AC47" s="138"/>
      <c r="AD47" s="138"/>
      <c r="AE47" s="110"/>
      <c r="AF47" s="110"/>
      <c r="AG47" s="110"/>
      <c r="AH47" s="110"/>
      <c r="AI47" s="110"/>
      <c r="AJ47" s="110"/>
      <c r="AK47" s="110"/>
    </row>
    <row r="48" spans="1:37" ht="16" customHeight="1" x14ac:dyDescent="0.35">
      <c r="A48" s="200"/>
      <c r="B48" s="37">
        <v>45</v>
      </c>
      <c r="C48" s="197"/>
      <c r="D48" s="34" t="s">
        <v>160</v>
      </c>
      <c r="E48" s="41" t="s">
        <v>8</v>
      </c>
      <c r="F48" s="43" t="s">
        <v>28</v>
      </c>
      <c r="G48" s="37" t="s">
        <v>29</v>
      </c>
      <c r="H48" s="37" t="s">
        <v>8</v>
      </c>
      <c r="I48" s="37" t="s">
        <v>9</v>
      </c>
      <c r="J48" s="36">
        <v>2503.0100000000002</v>
      </c>
      <c r="K48" s="27">
        <f>0</f>
        <v>0</v>
      </c>
      <c r="L48" s="127">
        <f t="shared" si="5"/>
        <v>0</v>
      </c>
      <c r="M48" s="127">
        <f t="shared" si="6"/>
        <v>0</v>
      </c>
      <c r="N48" s="128"/>
      <c r="O48" s="129">
        <f t="shared" si="4"/>
        <v>0</v>
      </c>
      <c r="P48" s="128"/>
      <c r="Q48" s="128"/>
      <c r="R48" s="128"/>
      <c r="S48" s="167">
        <f t="shared" si="7"/>
        <v>0</v>
      </c>
      <c r="T48" s="25" t="str">
        <f t="shared" si="8"/>
        <v>OK</v>
      </c>
      <c r="U48" s="138"/>
      <c r="V48" s="138"/>
      <c r="W48" s="138"/>
      <c r="X48" s="138"/>
      <c r="Y48" s="139"/>
      <c r="Z48" s="139"/>
      <c r="AA48" s="139"/>
      <c r="AB48" s="138"/>
      <c r="AC48" s="138"/>
      <c r="AD48" s="138"/>
      <c r="AE48" s="110"/>
      <c r="AF48" s="110"/>
      <c r="AG48" s="110"/>
      <c r="AH48" s="110"/>
      <c r="AI48" s="110"/>
      <c r="AJ48" s="110"/>
      <c r="AK48" s="110"/>
    </row>
    <row r="49" spans="1:37" ht="16" customHeight="1" x14ac:dyDescent="0.35">
      <c r="A49" s="208" t="s">
        <v>161</v>
      </c>
      <c r="B49" s="44">
        <v>46</v>
      </c>
      <c r="C49" s="205" t="s">
        <v>33</v>
      </c>
      <c r="D49" s="46" t="s">
        <v>27</v>
      </c>
      <c r="E49" s="48" t="s">
        <v>8</v>
      </c>
      <c r="F49" s="50" t="s">
        <v>28</v>
      </c>
      <c r="G49" s="44" t="s">
        <v>29</v>
      </c>
      <c r="H49" s="44" t="s">
        <v>8</v>
      </c>
      <c r="I49" s="44" t="s">
        <v>9</v>
      </c>
      <c r="J49" s="47">
        <v>80</v>
      </c>
      <c r="K49" s="27">
        <f>0</f>
        <v>0</v>
      </c>
      <c r="L49" s="127">
        <f t="shared" si="5"/>
        <v>0</v>
      </c>
      <c r="M49" s="127">
        <f t="shared" si="6"/>
        <v>0</v>
      </c>
      <c r="N49" s="128"/>
      <c r="O49" s="129">
        <f t="shared" si="4"/>
        <v>0</v>
      </c>
      <c r="P49" s="128"/>
      <c r="Q49" s="128"/>
      <c r="R49" s="128"/>
      <c r="S49" s="167">
        <f t="shared" si="7"/>
        <v>0</v>
      </c>
      <c r="T49" s="25" t="str">
        <f t="shared" si="8"/>
        <v>OK</v>
      </c>
      <c r="U49" s="138"/>
      <c r="V49" s="138"/>
      <c r="W49" s="138"/>
      <c r="X49" s="138"/>
      <c r="Y49" s="139"/>
      <c r="Z49" s="139"/>
      <c r="AA49" s="139"/>
      <c r="AB49" s="138"/>
      <c r="AC49" s="138"/>
      <c r="AD49" s="138"/>
      <c r="AE49" s="110"/>
      <c r="AF49" s="110"/>
      <c r="AG49" s="110"/>
      <c r="AH49" s="110"/>
      <c r="AI49" s="110"/>
      <c r="AJ49" s="110"/>
      <c r="AK49" s="110"/>
    </row>
    <row r="50" spans="1:37" ht="16" customHeight="1" x14ac:dyDescent="0.35">
      <c r="A50" s="209"/>
      <c r="B50" s="44">
        <v>47</v>
      </c>
      <c r="C50" s="206"/>
      <c r="D50" s="46" t="s">
        <v>7</v>
      </c>
      <c r="E50" s="48" t="s">
        <v>8</v>
      </c>
      <c r="F50" s="50" t="s">
        <v>28</v>
      </c>
      <c r="G50" s="44" t="s">
        <v>29</v>
      </c>
      <c r="H50" s="44" t="s">
        <v>8</v>
      </c>
      <c r="I50" s="44" t="s">
        <v>9</v>
      </c>
      <c r="J50" s="47">
        <v>550</v>
      </c>
      <c r="K50" s="27">
        <f>0</f>
        <v>0</v>
      </c>
      <c r="L50" s="127">
        <f t="shared" si="5"/>
        <v>0</v>
      </c>
      <c r="M50" s="127">
        <f t="shared" si="6"/>
        <v>0</v>
      </c>
      <c r="N50" s="128"/>
      <c r="O50" s="129">
        <f t="shared" si="4"/>
        <v>0</v>
      </c>
      <c r="P50" s="128"/>
      <c r="Q50" s="128"/>
      <c r="R50" s="128"/>
      <c r="S50" s="167">
        <f t="shared" si="7"/>
        <v>0</v>
      </c>
      <c r="T50" s="25" t="str">
        <f t="shared" si="8"/>
        <v>OK</v>
      </c>
      <c r="U50" s="138"/>
      <c r="V50" s="138"/>
      <c r="W50" s="138"/>
      <c r="X50" s="138"/>
      <c r="Y50" s="139"/>
      <c r="Z50" s="139"/>
      <c r="AA50" s="139"/>
      <c r="AB50" s="138"/>
      <c r="AC50" s="138"/>
      <c r="AD50" s="138"/>
      <c r="AE50" s="110"/>
      <c r="AF50" s="110"/>
      <c r="AG50" s="110"/>
      <c r="AH50" s="110"/>
      <c r="AI50" s="110"/>
      <c r="AJ50" s="110"/>
      <c r="AK50" s="110"/>
    </row>
    <row r="51" spans="1:37" ht="16" customHeight="1" x14ac:dyDescent="0.35">
      <c r="A51" s="209"/>
      <c r="B51" s="44">
        <v>48</v>
      </c>
      <c r="C51" s="206"/>
      <c r="D51" s="46" t="s">
        <v>10</v>
      </c>
      <c r="E51" s="48" t="s">
        <v>8</v>
      </c>
      <c r="F51" s="50" t="s">
        <v>28</v>
      </c>
      <c r="G51" s="44" t="s">
        <v>29</v>
      </c>
      <c r="H51" s="44" t="s">
        <v>8</v>
      </c>
      <c r="I51" s="44" t="s">
        <v>9</v>
      </c>
      <c r="J51" s="47">
        <v>850</v>
      </c>
      <c r="K51" s="27">
        <f>0</f>
        <v>0</v>
      </c>
      <c r="L51" s="127">
        <f t="shared" si="5"/>
        <v>0</v>
      </c>
      <c r="M51" s="127">
        <f t="shared" si="6"/>
        <v>0</v>
      </c>
      <c r="N51" s="128"/>
      <c r="O51" s="129">
        <f t="shared" si="4"/>
        <v>0</v>
      </c>
      <c r="P51" s="128"/>
      <c r="Q51" s="128"/>
      <c r="R51" s="128"/>
      <c r="S51" s="167">
        <f t="shared" si="7"/>
        <v>0</v>
      </c>
      <c r="T51" s="25" t="str">
        <f t="shared" si="8"/>
        <v>OK</v>
      </c>
      <c r="U51" s="138"/>
      <c r="V51" s="138"/>
      <c r="W51" s="138"/>
      <c r="X51" s="138"/>
      <c r="Y51" s="139"/>
      <c r="Z51" s="139"/>
      <c r="AA51" s="139"/>
      <c r="AB51" s="138"/>
      <c r="AC51" s="138"/>
      <c r="AD51" s="138"/>
      <c r="AE51" s="110"/>
      <c r="AF51" s="110"/>
      <c r="AG51" s="110"/>
      <c r="AH51" s="110"/>
      <c r="AI51" s="110"/>
      <c r="AJ51" s="110"/>
      <c r="AK51" s="110"/>
    </row>
    <row r="52" spans="1:37" ht="16" customHeight="1" x14ac:dyDescent="0.35">
      <c r="A52" s="209"/>
      <c r="B52" s="44">
        <v>49</v>
      </c>
      <c r="C52" s="206"/>
      <c r="D52" s="46" t="s">
        <v>11</v>
      </c>
      <c r="E52" s="48" t="s">
        <v>8</v>
      </c>
      <c r="F52" s="50" t="s">
        <v>28</v>
      </c>
      <c r="G52" s="44" t="s">
        <v>29</v>
      </c>
      <c r="H52" s="44" t="s">
        <v>8</v>
      </c>
      <c r="I52" s="44" t="s">
        <v>9</v>
      </c>
      <c r="J52" s="47">
        <v>800</v>
      </c>
      <c r="K52" s="27">
        <f>0</f>
        <v>0</v>
      </c>
      <c r="L52" s="127">
        <f t="shared" si="5"/>
        <v>0</v>
      </c>
      <c r="M52" s="127">
        <f t="shared" si="6"/>
        <v>0</v>
      </c>
      <c r="N52" s="128"/>
      <c r="O52" s="129">
        <f t="shared" si="4"/>
        <v>0</v>
      </c>
      <c r="P52" s="128"/>
      <c r="Q52" s="128"/>
      <c r="R52" s="128"/>
      <c r="S52" s="167">
        <f t="shared" si="7"/>
        <v>0</v>
      </c>
      <c r="T52" s="25" t="str">
        <f t="shared" si="8"/>
        <v>OK</v>
      </c>
      <c r="U52" s="138"/>
      <c r="V52" s="138"/>
      <c r="W52" s="138"/>
      <c r="X52" s="138"/>
      <c r="Y52" s="139"/>
      <c r="Z52" s="139"/>
      <c r="AA52" s="139"/>
      <c r="AB52" s="138"/>
      <c r="AC52" s="138"/>
      <c r="AD52" s="138"/>
      <c r="AE52" s="110"/>
      <c r="AF52" s="110"/>
      <c r="AG52" s="110"/>
      <c r="AH52" s="110"/>
      <c r="AI52" s="110"/>
      <c r="AJ52" s="110"/>
      <c r="AK52" s="110"/>
    </row>
    <row r="53" spans="1:37" ht="16" customHeight="1" x14ac:dyDescent="0.35">
      <c r="A53" s="209"/>
      <c r="B53" s="44">
        <v>50</v>
      </c>
      <c r="C53" s="206"/>
      <c r="D53" s="46" t="s">
        <v>12</v>
      </c>
      <c r="E53" s="48" t="s">
        <v>8</v>
      </c>
      <c r="F53" s="50" t="s">
        <v>28</v>
      </c>
      <c r="G53" s="44" t="s">
        <v>29</v>
      </c>
      <c r="H53" s="44" t="s">
        <v>34</v>
      </c>
      <c r="I53" s="44" t="s">
        <v>9</v>
      </c>
      <c r="J53" s="47">
        <v>50</v>
      </c>
      <c r="K53" s="27">
        <f>0</f>
        <v>0</v>
      </c>
      <c r="L53" s="127">
        <f t="shared" si="5"/>
        <v>0</v>
      </c>
      <c r="M53" s="127">
        <f t="shared" si="6"/>
        <v>0</v>
      </c>
      <c r="N53" s="128"/>
      <c r="O53" s="129">
        <f t="shared" si="4"/>
        <v>0</v>
      </c>
      <c r="P53" s="128"/>
      <c r="Q53" s="128"/>
      <c r="R53" s="128"/>
      <c r="S53" s="167">
        <f t="shared" si="7"/>
        <v>0</v>
      </c>
      <c r="T53" s="25" t="str">
        <f t="shared" si="8"/>
        <v>OK</v>
      </c>
      <c r="U53" s="138"/>
      <c r="V53" s="138"/>
      <c r="W53" s="138"/>
      <c r="X53" s="138"/>
      <c r="Y53" s="139"/>
      <c r="Z53" s="139"/>
      <c r="AA53" s="139"/>
      <c r="AB53" s="138"/>
      <c r="AC53" s="138"/>
      <c r="AD53" s="138"/>
      <c r="AE53" s="110"/>
      <c r="AF53" s="110"/>
      <c r="AG53" s="110"/>
      <c r="AH53" s="110"/>
      <c r="AI53" s="110"/>
      <c r="AJ53" s="110"/>
      <c r="AK53" s="110"/>
    </row>
    <row r="54" spans="1:37" ht="16" customHeight="1" x14ac:dyDescent="0.35">
      <c r="A54" s="209"/>
      <c r="B54" s="44">
        <v>51</v>
      </c>
      <c r="C54" s="206"/>
      <c r="D54" s="46" t="s">
        <v>156</v>
      </c>
      <c r="E54" s="48" t="s">
        <v>8</v>
      </c>
      <c r="F54" s="50" t="s">
        <v>28</v>
      </c>
      <c r="G54" s="44" t="s">
        <v>29</v>
      </c>
      <c r="H54" s="44" t="s">
        <v>34</v>
      </c>
      <c r="I54" s="44" t="s">
        <v>9</v>
      </c>
      <c r="J54" s="47">
        <v>50</v>
      </c>
      <c r="K54" s="27">
        <f>0</f>
        <v>0</v>
      </c>
      <c r="L54" s="127">
        <f t="shared" si="5"/>
        <v>0</v>
      </c>
      <c r="M54" s="127">
        <f t="shared" si="6"/>
        <v>0</v>
      </c>
      <c r="N54" s="128"/>
      <c r="O54" s="129">
        <f t="shared" si="4"/>
        <v>0</v>
      </c>
      <c r="P54" s="128"/>
      <c r="Q54" s="128"/>
      <c r="R54" s="128"/>
      <c r="S54" s="167">
        <f t="shared" si="7"/>
        <v>0</v>
      </c>
      <c r="T54" s="25" t="str">
        <f t="shared" si="8"/>
        <v>OK</v>
      </c>
      <c r="U54" s="138"/>
      <c r="V54" s="138"/>
      <c r="W54" s="138"/>
      <c r="X54" s="138"/>
      <c r="Y54" s="139"/>
      <c r="Z54" s="139"/>
      <c r="AA54" s="139"/>
      <c r="AB54" s="138"/>
      <c r="AC54" s="138"/>
      <c r="AD54" s="138"/>
      <c r="AE54" s="110"/>
      <c r="AF54" s="110"/>
      <c r="AG54" s="110"/>
      <c r="AH54" s="110"/>
      <c r="AI54" s="110"/>
      <c r="AJ54" s="110"/>
      <c r="AK54" s="110"/>
    </row>
    <row r="55" spans="1:37" ht="16" customHeight="1" x14ac:dyDescent="0.35">
      <c r="A55" s="209"/>
      <c r="B55" s="44">
        <v>52</v>
      </c>
      <c r="C55" s="206"/>
      <c r="D55" s="46" t="s">
        <v>13</v>
      </c>
      <c r="E55" s="48" t="s">
        <v>8</v>
      </c>
      <c r="F55" s="50" t="s">
        <v>28</v>
      </c>
      <c r="G55" s="44" t="s">
        <v>29</v>
      </c>
      <c r="H55" s="44" t="s">
        <v>34</v>
      </c>
      <c r="I55" s="44" t="s">
        <v>9</v>
      </c>
      <c r="J55" s="47">
        <v>50</v>
      </c>
      <c r="K55" s="27">
        <f>0</f>
        <v>0</v>
      </c>
      <c r="L55" s="127">
        <f t="shared" si="5"/>
        <v>0</v>
      </c>
      <c r="M55" s="127">
        <f t="shared" si="6"/>
        <v>0</v>
      </c>
      <c r="N55" s="128"/>
      <c r="O55" s="129">
        <f t="shared" si="4"/>
        <v>0</v>
      </c>
      <c r="P55" s="128"/>
      <c r="Q55" s="128"/>
      <c r="R55" s="128"/>
      <c r="S55" s="167">
        <f t="shared" si="7"/>
        <v>0</v>
      </c>
      <c r="T55" s="25" t="str">
        <f t="shared" si="8"/>
        <v>OK</v>
      </c>
      <c r="U55" s="138"/>
      <c r="V55" s="138"/>
      <c r="W55" s="138"/>
      <c r="X55" s="138"/>
      <c r="Y55" s="139"/>
      <c r="Z55" s="139"/>
      <c r="AA55" s="139"/>
      <c r="AB55" s="138"/>
      <c r="AC55" s="138"/>
      <c r="AD55" s="138"/>
      <c r="AE55" s="110"/>
      <c r="AF55" s="110"/>
      <c r="AG55" s="110"/>
      <c r="AH55" s="110"/>
      <c r="AI55" s="110"/>
      <c r="AJ55" s="110"/>
      <c r="AK55" s="110"/>
    </row>
    <row r="56" spans="1:37" ht="16" customHeight="1" x14ac:dyDescent="0.35">
      <c r="A56" s="209"/>
      <c r="B56" s="44">
        <v>53</v>
      </c>
      <c r="C56" s="206"/>
      <c r="D56" s="46" t="s">
        <v>157</v>
      </c>
      <c r="E56" s="48" t="s">
        <v>8</v>
      </c>
      <c r="F56" s="50" t="s">
        <v>28</v>
      </c>
      <c r="G56" s="44" t="s">
        <v>29</v>
      </c>
      <c r="H56" s="44" t="s">
        <v>8</v>
      </c>
      <c r="I56" s="44" t="s">
        <v>9</v>
      </c>
      <c r="J56" s="47">
        <v>50</v>
      </c>
      <c r="K56" s="27">
        <f>0</f>
        <v>0</v>
      </c>
      <c r="L56" s="127">
        <f t="shared" si="5"/>
        <v>0</v>
      </c>
      <c r="M56" s="127">
        <f t="shared" si="6"/>
        <v>0</v>
      </c>
      <c r="N56" s="128"/>
      <c r="O56" s="129">
        <f t="shared" si="4"/>
        <v>0</v>
      </c>
      <c r="P56" s="128"/>
      <c r="Q56" s="128"/>
      <c r="R56" s="128"/>
      <c r="S56" s="167">
        <f t="shared" si="7"/>
        <v>0</v>
      </c>
      <c r="T56" s="25" t="str">
        <f t="shared" si="8"/>
        <v>OK</v>
      </c>
      <c r="U56" s="138"/>
      <c r="V56" s="138"/>
      <c r="W56" s="138"/>
      <c r="X56" s="138"/>
      <c r="Y56" s="139"/>
      <c r="Z56" s="139"/>
      <c r="AA56" s="139"/>
      <c r="AB56" s="138"/>
      <c r="AC56" s="138"/>
      <c r="AD56" s="138"/>
      <c r="AE56" s="110"/>
      <c r="AF56" s="110"/>
      <c r="AG56" s="110"/>
      <c r="AH56" s="110"/>
      <c r="AI56" s="110"/>
      <c r="AJ56" s="110"/>
      <c r="AK56" s="110"/>
    </row>
    <row r="57" spans="1:37" ht="16" customHeight="1" x14ac:dyDescent="0.35">
      <c r="A57" s="209"/>
      <c r="B57" s="44">
        <v>54</v>
      </c>
      <c r="C57" s="206"/>
      <c r="D57" s="46" t="s">
        <v>30</v>
      </c>
      <c r="E57" s="48" t="s">
        <v>8</v>
      </c>
      <c r="F57" s="50" t="s">
        <v>28</v>
      </c>
      <c r="G57" s="44" t="s">
        <v>29</v>
      </c>
      <c r="H57" s="44" t="s">
        <v>8</v>
      </c>
      <c r="I57" s="44" t="s">
        <v>9</v>
      </c>
      <c r="J57" s="47">
        <v>80</v>
      </c>
      <c r="K57" s="27">
        <f>0</f>
        <v>0</v>
      </c>
      <c r="L57" s="127">
        <f t="shared" si="5"/>
        <v>0</v>
      </c>
      <c r="M57" s="127">
        <f t="shared" si="6"/>
        <v>0</v>
      </c>
      <c r="N57" s="128"/>
      <c r="O57" s="129">
        <f t="shared" si="4"/>
        <v>0</v>
      </c>
      <c r="P57" s="128"/>
      <c r="Q57" s="128"/>
      <c r="R57" s="128"/>
      <c r="S57" s="167">
        <f t="shared" si="7"/>
        <v>0</v>
      </c>
      <c r="T57" s="25" t="str">
        <f t="shared" si="8"/>
        <v>OK</v>
      </c>
      <c r="U57" s="138"/>
      <c r="V57" s="138"/>
      <c r="W57" s="138"/>
      <c r="X57" s="138"/>
      <c r="Y57" s="139"/>
      <c r="Z57" s="139"/>
      <c r="AA57" s="139"/>
      <c r="AB57" s="138"/>
      <c r="AC57" s="138"/>
      <c r="AD57" s="138"/>
      <c r="AE57" s="110"/>
      <c r="AF57" s="110"/>
      <c r="AG57" s="110"/>
      <c r="AH57" s="110"/>
      <c r="AI57" s="110"/>
      <c r="AJ57" s="110"/>
      <c r="AK57" s="110"/>
    </row>
    <row r="58" spans="1:37" ht="16" customHeight="1" x14ac:dyDescent="0.35">
      <c r="A58" s="209"/>
      <c r="B58" s="44">
        <v>55</v>
      </c>
      <c r="C58" s="206"/>
      <c r="D58" s="46" t="s">
        <v>162</v>
      </c>
      <c r="E58" s="48" t="s">
        <v>8</v>
      </c>
      <c r="F58" s="50" t="s">
        <v>28</v>
      </c>
      <c r="G58" s="44" t="s">
        <v>159</v>
      </c>
      <c r="H58" s="44" t="s">
        <v>8</v>
      </c>
      <c r="I58" s="44" t="s">
        <v>9</v>
      </c>
      <c r="J58" s="47">
        <v>1114</v>
      </c>
      <c r="K58" s="27">
        <f>0</f>
        <v>0</v>
      </c>
      <c r="L58" s="127">
        <f t="shared" si="5"/>
        <v>0</v>
      </c>
      <c r="M58" s="127">
        <f t="shared" si="6"/>
        <v>0</v>
      </c>
      <c r="N58" s="128"/>
      <c r="O58" s="129">
        <f t="shared" si="4"/>
        <v>0</v>
      </c>
      <c r="P58" s="128"/>
      <c r="Q58" s="128"/>
      <c r="R58" s="128"/>
      <c r="S58" s="167">
        <f t="shared" si="7"/>
        <v>0</v>
      </c>
      <c r="T58" s="25" t="str">
        <f t="shared" si="8"/>
        <v>OK</v>
      </c>
      <c r="U58" s="138"/>
      <c r="V58" s="138"/>
      <c r="W58" s="138"/>
      <c r="X58" s="138"/>
      <c r="Y58" s="139"/>
      <c r="Z58" s="139"/>
      <c r="AA58" s="139"/>
      <c r="AB58" s="138"/>
      <c r="AC58" s="138"/>
      <c r="AD58" s="138"/>
      <c r="AE58" s="110"/>
      <c r="AF58" s="110"/>
      <c r="AG58" s="110"/>
      <c r="AH58" s="110"/>
      <c r="AI58" s="110"/>
      <c r="AJ58" s="110"/>
      <c r="AK58" s="110"/>
    </row>
    <row r="59" spans="1:37" ht="16" customHeight="1" x14ac:dyDescent="0.35">
      <c r="A59" s="210"/>
      <c r="B59" s="44">
        <v>56</v>
      </c>
      <c r="C59" s="207"/>
      <c r="D59" s="46" t="s">
        <v>160</v>
      </c>
      <c r="E59" s="48" t="s">
        <v>8</v>
      </c>
      <c r="F59" s="50" t="s">
        <v>28</v>
      </c>
      <c r="G59" s="44" t="s">
        <v>29</v>
      </c>
      <c r="H59" s="44" t="s">
        <v>8</v>
      </c>
      <c r="I59" s="44" t="s">
        <v>9</v>
      </c>
      <c r="J59" s="47">
        <v>2000</v>
      </c>
      <c r="K59" s="27">
        <f>0</f>
        <v>0</v>
      </c>
      <c r="L59" s="127">
        <f t="shared" si="5"/>
        <v>0</v>
      </c>
      <c r="M59" s="127">
        <f t="shared" si="6"/>
        <v>0</v>
      </c>
      <c r="N59" s="128"/>
      <c r="O59" s="129">
        <f t="shared" si="4"/>
        <v>0</v>
      </c>
      <c r="P59" s="128"/>
      <c r="Q59" s="128"/>
      <c r="R59" s="128"/>
      <c r="S59" s="167">
        <f t="shared" si="7"/>
        <v>0</v>
      </c>
      <c r="T59" s="25" t="str">
        <f t="shared" si="8"/>
        <v>OK</v>
      </c>
      <c r="U59" s="138"/>
      <c r="V59" s="138"/>
      <c r="W59" s="138"/>
      <c r="X59" s="138"/>
      <c r="Y59" s="139"/>
      <c r="Z59" s="139"/>
      <c r="AA59" s="139"/>
      <c r="AB59" s="138"/>
      <c r="AC59" s="138"/>
      <c r="AD59" s="138"/>
      <c r="AE59" s="110"/>
      <c r="AF59" s="110"/>
      <c r="AG59" s="110"/>
      <c r="AH59" s="110"/>
      <c r="AI59" s="110"/>
      <c r="AJ59" s="110"/>
      <c r="AK59" s="110"/>
    </row>
    <row r="60" spans="1:37" ht="16" customHeight="1" x14ac:dyDescent="0.35">
      <c r="A60" s="198" t="s">
        <v>163</v>
      </c>
      <c r="B60" s="37">
        <v>57</v>
      </c>
      <c r="C60" s="195" t="s">
        <v>33</v>
      </c>
      <c r="D60" s="34" t="s">
        <v>27</v>
      </c>
      <c r="E60" s="41" t="s">
        <v>8</v>
      </c>
      <c r="F60" s="43" t="s">
        <v>28</v>
      </c>
      <c r="G60" s="37" t="s">
        <v>29</v>
      </c>
      <c r="H60" s="37" t="s">
        <v>8</v>
      </c>
      <c r="I60" s="37" t="s">
        <v>9</v>
      </c>
      <c r="J60" s="36">
        <v>250.5</v>
      </c>
      <c r="K60" s="27">
        <f>0</f>
        <v>0</v>
      </c>
      <c r="L60" s="127">
        <f t="shared" si="5"/>
        <v>0</v>
      </c>
      <c r="M60" s="127">
        <f t="shared" si="6"/>
        <v>0</v>
      </c>
      <c r="N60" s="128"/>
      <c r="O60" s="129">
        <f t="shared" si="4"/>
        <v>0</v>
      </c>
      <c r="P60" s="128"/>
      <c r="Q60" s="128"/>
      <c r="R60" s="128"/>
      <c r="S60" s="167">
        <f t="shared" si="7"/>
        <v>0</v>
      </c>
      <c r="T60" s="25" t="str">
        <f t="shared" si="8"/>
        <v>OK</v>
      </c>
      <c r="U60" s="138"/>
      <c r="V60" s="138"/>
      <c r="W60" s="138"/>
      <c r="X60" s="138"/>
      <c r="Y60" s="139"/>
      <c r="Z60" s="139"/>
      <c r="AA60" s="139"/>
      <c r="AB60" s="138"/>
      <c r="AC60" s="138"/>
      <c r="AD60" s="138"/>
      <c r="AE60" s="110"/>
      <c r="AF60" s="110"/>
      <c r="AG60" s="110"/>
      <c r="AH60" s="110"/>
      <c r="AI60" s="110"/>
      <c r="AJ60" s="110"/>
      <c r="AK60" s="110"/>
    </row>
    <row r="61" spans="1:37" ht="16" customHeight="1" x14ac:dyDescent="0.35">
      <c r="A61" s="199"/>
      <c r="B61" s="37">
        <v>58</v>
      </c>
      <c r="C61" s="196"/>
      <c r="D61" s="34" t="s">
        <v>7</v>
      </c>
      <c r="E61" s="41" t="s">
        <v>8</v>
      </c>
      <c r="F61" s="43" t="s">
        <v>28</v>
      </c>
      <c r="G61" s="37" t="s">
        <v>29</v>
      </c>
      <c r="H61" s="37" t="s">
        <v>8</v>
      </c>
      <c r="I61" s="37" t="s">
        <v>9</v>
      </c>
      <c r="J61" s="36">
        <v>1000</v>
      </c>
      <c r="K61" s="27">
        <f>0</f>
        <v>0</v>
      </c>
      <c r="L61" s="127">
        <f t="shared" si="5"/>
        <v>0</v>
      </c>
      <c r="M61" s="127">
        <f t="shared" si="6"/>
        <v>0</v>
      </c>
      <c r="N61" s="128"/>
      <c r="O61" s="129">
        <f t="shared" si="4"/>
        <v>0</v>
      </c>
      <c r="P61" s="128"/>
      <c r="Q61" s="128"/>
      <c r="R61" s="128"/>
      <c r="S61" s="167">
        <f t="shared" si="7"/>
        <v>0</v>
      </c>
      <c r="T61" s="25" t="str">
        <f t="shared" si="8"/>
        <v>OK</v>
      </c>
      <c r="U61" s="138"/>
      <c r="V61" s="138"/>
      <c r="W61" s="138"/>
      <c r="X61" s="138"/>
      <c r="Y61" s="139"/>
      <c r="Z61" s="139"/>
      <c r="AA61" s="139"/>
      <c r="AB61" s="138"/>
      <c r="AC61" s="138"/>
      <c r="AD61" s="138"/>
      <c r="AE61" s="110"/>
      <c r="AF61" s="110"/>
      <c r="AG61" s="110"/>
      <c r="AH61" s="110"/>
      <c r="AI61" s="110"/>
      <c r="AJ61" s="110"/>
      <c r="AK61" s="110"/>
    </row>
    <row r="62" spans="1:37" ht="16" customHeight="1" x14ac:dyDescent="0.35">
      <c r="A62" s="199"/>
      <c r="B62" s="37">
        <v>59</v>
      </c>
      <c r="C62" s="196"/>
      <c r="D62" s="34" t="s">
        <v>10</v>
      </c>
      <c r="E62" s="41" t="s">
        <v>8</v>
      </c>
      <c r="F62" s="43" t="s">
        <v>28</v>
      </c>
      <c r="G62" s="37" t="s">
        <v>29</v>
      </c>
      <c r="H62" s="37" t="s">
        <v>8</v>
      </c>
      <c r="I62" s="37" t="s">
        <v>9</v>
      </c>
      <c r="J62" s="36">
        <v>1500</v>
      </c>
      <c r="K62" s="27">
        <f>0</f>
        <v>0</v>
      </c>
      <c r="L62" s="127">
        <f t="shared" si="5"/>
        <v>0</v>
      </c>
      <c r="M62" s="127">
        <f t="shared" si="6"/>
        <v>0</v>
      </c>
      <c r="N62" s="128"/>
      <c r="O62" s="129">
        <f t="shared" si="4"/>
        <v>0</v>
      </c>
      <c r="P62" s="128"/>
      <c r="Q62" s="128"/>
      <c r="R62" s="128"/>
      <c r="S62" s="167">
        <f t="shared" si="7"/>
        <v>0</v>
      </c>
      <c r="T62" s="25" t="str">
        <f t="shared" si="8"/>
        <v>OK</v>
      </c>
      <c r="U62" s="138"/>
      <c r="V62" s="138"/>
      <c r="W62" s="138"/>
      <c r="X62" s="138"/>
      <c r="Y62" s="139"/>
      <c r="Z62" s="139"/>
      <c r="AA62" s="139"/>
      <c r="AB62" s="138"/>
      <c r="AC62" s="138"/>
      <c r="AD62" s="138"/>
      <c r="AE62" s="110"/>
      <c r="AF62" s="110"/>
      <c r="AG62" s="110"/>
      <c r="AH62" s="110"/>
      <c r="AI62" s="110"/>
      <c r="AJ62" s="110"/>
      <c r="AK62" s="110"/>
    </row>
    <row r="63" spans="1:37" ht="16" customHeight="1" x14ac:dyDescent="0.35">
      <c r="A63" s="199"/>
      <c r="B63" s="37">
        <v>60</v>
      </c>
      <c r="C63" s="196"/>
      <c r="D63" s="34" t="s">
        <v>11</v>
      </c>
      <c r="E63" s="41" t="s">
        <v>8</v>
      </c>
      <c r="F63" s="43" t="s">
        <v>28</v>
      </c>
      <c r="G63" s="37" t="s">
        <v>29</v>
      </c>
      <c r="H63" s="37" t="s">
        <v>8</v>
      </c>
      <c r="I63" s="37" t="s">
        <v>9</v>
      </c>
      <c r="J63" s="36">
        <v>1731</v>
      </c>
      <c r="K63" s="27">
        <f>0</f>
        <v>0</v>
      </c>
      <c r="L63" s="127">
        <f t="shared" si="5"/>
        <v>0</v>
      </c>
      <c r="M63" s="127">
        <f t="shared" si="6"/>
        <v>0</v>
      </c>
      <c r="N63" s="128"/>
      <c r="O63" s="129">
        <f t="shared" si="4"/>
        <v>0</v>
      </c>
      <c r="P63" s="128"/>
      <c r="Q63" s="128"/>
      <c r="R63" s="128"/>
      <c r="S63" s="167">
        <f t="shared" si="7"/>
        <v>0</v>
      </c>
      <c r="T63" s="25" t="str">
        <f t="shared" si="8"/>
        <v>OK</v>
      </c>
      <c r="U63" s="138"/>
      <c r="V63" s="138"/>
      <c r="W63" s="138"/>
      <c r="X63" s="138"/>
      <c r="Y63" s="139"/>
      <c r="Z63" s="139"/>
      <c r="AA63" s="139"/>
      <c r="AB63" s="138"/>
      <c r="AC63" s="138"/>
      <c r="AD63" s="138"/>
      <c r="AE63" s="110"/>
      <c r="AF63" s="110"/>
      <c r="AG63" s="110"/>
      <c r="AH63" s="110"/>
      <c r="AI63" s="110"/>
      <c r="AJ63" s="110"/>
      <c r="AK63" s="110"/>
    </row>
    <row r="64" spans="1:37" ht="16" customHeight="1" x14ac:dyDescent="0.35">
      <c r="A64" s="199"/>
      <c r="B64" s="37">
        <v>61</v>
      </c>
      <c r="C64" s="196"/>
      <c r="D64" s="34" t="s">
        <v>12</v>
      </c>
      <c r="E64" s="41" t="s">
        <v>8</v>
      </c>
      <c r="F64" s="43" t="s">
        <v>28</v>
      </c>
      <c r="G64" s="37" t="s">
        <v>29</v>
      </c>
      <c r="H64" s="37" t="s">
        <v>34</v>
      </c>
      <c r="I64" s="37" t="s">
        <v>9</v>
      </c>
      <c r="J64" s="36">
        <v>160</v>
      </c>
      <c r="K64" s="27">
        <f>0</f>
        <v>0</v>
      </c>
      <c r="L64" s="127">
        <f t="shared" si="5"/>
        <v>0</v>
      </c>
      <c r="M64" s="127">
        <f t="shared" si="6"/>
        <v>0</v>
      </c>
      <c r="N64" s="128"/>
      <c r="O64" s="129">
        <f t="shared" si="4"/>
        <v>0</v>
      </c>
      <c r="P64" s="128"/>
      <c r="Q64" s="128"/>
      <c r="R64" s="128"/>
      <c r="S64" s="167">
        <f t="shared" si="7"/>
        <v>0</v>
      </c>
      <c r="T64" s="25" t="str">
        <f t="shared" si="8"/>
        <v>OK</v>
      </c>
      <c r="U64" s="138"/>
      <c r="V64" s="138"/>
      <c r="W64" s="138"/>
      <c r="X64" s="138"/>
      <c r="Y64" s="139"/>
      <c r="Z64" s="139"/>
      <c r="AA64" s="139"/>
      <c r="AB64" s="138"/>
      <c r="AC64" s="138"/>
      <c r="AD64" s="138"/>
      <c r="AE64" s="110"/>
      <c r="AF64" s="110"/>
      <c r="AG64" s="110"/>
      <c r="AH64" s="110"/>
      <c r="AI64" s="110"/>
      <c r="AJ64" s="110"/>
      <c r="AK64" s="110"/>
    </row>
    <row r="65" spans="1:37" ht="16" customHeight="1" x14ac:dyDescent="0.35">
      <c r="A65" s="199"/>
      <c r="B65" s="37">
        <v>62</v>
      </c>
      <c r="C65" s="196"/>
      <c r="D65" s="34" t="s">
        <v>156</v>
      </c>
      <c r="E65" s="41" t="s">
        <v>8</v>
      </c>
      <c r="F65" s="43" t="s">
        <v>28</v>
      </c>
      <c r="G65" s="37" t="s">
        <v>29</v>
      </c>
      <c r="H65" s="37" t="s">
        <v>34</v>
      </c>
      <c r="I65" s="37" t="s">
        <v>9</v>
      </c>
      <c r="J65" s="36">
        <v>135</v>
      </c>
      <c r="K65" s="27">
        <f>0</f>
        <v>0</v>
      </c>
      <c r="L65" s="127">
        <f t="shared" si="5"/>
        <v>0</v>
      </c>
      <c r="M65" s="127">
        <f t="shared" si="6"/>
        <v>0</v>
      </c>
      <c r="N65" s="128"/>
      <c r="O65" s="129">
        <f t="shared" si="4"/>
        <v>0</v>
      </c>
      <c r="P65" s="128"/>
      <c r="Q65" s="128"/>
      <c r="R65" s="128"/>
      <c r="S65" s="167">
        <f t="shared" si="7"/>
        <v>0</v>
      </c>
      <c r="T65" s="25" t="str">
        <f t="shared" si="8"/>
        <v>OK</v>
      </c>
      <c r="U65" s="138"/>
      <c r="V65" s="138"/>
      <c r="W65" s="138"/>
      <c r="X65" s="138"/>
      <c r="Y65" s="139"/>
      <c r="Z65" s="139"/>
      <c r="AA65" s="139"/>
      <c r="AB65" s="138"/>
      <c r="AC65" s="138"/>
      <c r="AD65" s="138"/>
      <c r="AE65" s="110"/>
      <c r="AF65" s="110"/>
      <c r="AG65" s="110"/>
      <c r="AH65" s="110"/>
      <c r="AI65" s="110"/>
      <c r="AJ65" s="110"/>
      <c r="AK65" s="110"/>
    </row>
    <row r="66" spans="1:37" ht="16" customHeight="1" x14ac:dyDescent="0.35">
      <c r="A66" s="199"/>
      <c r="B66" s="37">
        <v>63</v>
      </c>
      <c r="C66" s="196"/>
      <c r="D66" s="34" t="s">
        <v>13</v>
      </c>
      <c r="E66" s="41" t="s">
        <v>8</v>
      </c>
      <c r="F66" s="43" t="s">
        <v>28</v>
      </c>
      <c r="G66" s="37" t="s">
        <v>29</v>
      </c>
      <c r="H66" s="37" t="s">
        <v>34</v>
      </c>
      <c r="I66" s="37" t="s">
        <v>9</v>
      </c>
      <c r="J66" s="36">
        <v>135</v>
      </c>
      <c r="K66" s="27">
        <f>0</f>
        <v>0</v>
      </c>
      <c r="L66" s="127">
        <f t="shared" si="5"/>
        <v>0</v>
      </c>
      <c r="M66" s="127">
        <f t="shared" si="6"/>
        <v>0</v>
      </c>
      <c r="N66" s="128"/>
      <c r="O66" s="129">
        <f t="shared" si="4"/>
        <v>0</v>
      </c>
      <c r="P66" s="128"/>
      <c r="Q66" s="128"/>
      <c r="R66" s="128"/>
      <c r="S66" s="167">
        <f t="shared" si="7"/>
        <v>0</v>
      </c>
      <c r="T66" s="25" t="str">
        <f t="shared" si="8"/>
        <v>OK</v>
      </c>
      <c r="U66" s="138"/>
      <c r="V66" s="138"/>
      <c r="W66" s="138"/>
      <c r="X66" s="138"/>
      <c r="Y66" s="139"/>
      <c r="Z66" s="139"/>
      <c r="AA66" s="139"/>
      <c r="AB66" s="138"/>
      <c r="AC66" s="138"/>
      <c r="AD66" s="138"/>
      <c r="AE66" s="110"/>
      <c r="AF66" s="110"/>
      <c r="AG66" s="110"/>
      <c r="AH66" s="110"/>
      <c r="AI66" s="110"/>
      <c r="AJ66" s="110"/>
      <c r="AK66" s="110"/>
    </row>
    <row r="67" spans="1:37" ht="16" customHeight="1" x14ac:dyDescent="0.35">
      <c r="A67" s="199"/>
      <c r="B67" s="37">
        <v>64</v>
      </c>
      <c r="C67" s="196"/>
      <c r="D67" s="34" t="s">
        <v>157</v>
      </c>
      <c r="E67" s="41" t="s">
        <v>8</v>
      </c>
      <c r="F67" s="43" t="s">
        <v>28</v>
      </c>
      <c r="G67" s="37" t="s">
        <v>29</v>
      </c>
      <c r="H67" s="37" t="s">
        <v>8</v>
      </c>
      <c r="I67" s="37" t="s">
        <v>9</v>
      </c>
      <c r="J67" s="36">
        <v>365</v>
      </c>
      <c r="K67" s="27">
        <f>0</f>
        <v>0</v>
      </c>
      <c r="L67" s="127">
        <f t="shared" si="5"/>
        <v>0</v>
      </c>
      <c r="M67" s="127">
        <f t="shared" si="6"/>
        <v>0</v>
      </c>
      <c r="N67" s="128"/>
      <c r="O67" s="129">
        <f t="shared" si="4"/>
        <v>0</v>
      </c>
      <c r="P67" s="128"/>
      <c r="Q67" s="128"/>
      <c r="R67" s="128"/>
      <c r="S67" s="167">
        <f t="shared" si="7"/>
        <v>0</v>
      </c>
      <c r="T67" s="25" t="str">
        <f t="shared" si="8"/>
        <v>OK</v>
      </c>
      <c r="U67" s="138"/>
      <c r="V67" s="138"/>
      <c r="W67" s="138"/>
      <c r="X67" s="138"/>
      <c r="Y67" s="139"/>
      <c r="Z67" s="139"/>
      <c r="AA67" s="139"/>
      <c r="AB67" s="138"/>
      <c r="AC67" s="138"/>
      <c r="AD67" s="138"/>
      <c r="AE67" s="110"/>
      <c r="AF67" s="110"/>
      <c r="AG67" s="110"/>
      <c r="AH67" s="110"/>
      <c r="AI67" s="110"/>
      <c r="AJ67" s="110"/>
      <c r="AK67" s="110"/>
    </row>
    <row r="68" spans="1:37" ht="16" customHeight="1" x14ac:dyDescent="0.35">
      <c r="A68" s="200"/>
      <c r="B68" s="37">
        <v>65</v>
      </c>
      <c r="C68" s="197"/>
      <c r="D68" s="34" t="s">
        <v>30</v>
      </c>
      <c r="E68" s="41" t="s">
        <v>8</v>
      </c>
      <c r="F68" s="43" t="s">
        <v>28</v>
      </c>
      <c r="G68" s="37" t="s">
        <v>29</v>
      </c>
      <c r="H68" s="37" t="s">
        <v>8</v>
      </c>
      <c r="I68" s="37" t="s">
        <v>9</v>
      </c>
      <c r="J68" s="36">
        <v>100</v>
      </c>
      <c r="K68" s="27">
        <f>0</f>
        <v>0</v>
      </c>
      <c r="L68" s="127">
        <f t="shared" ref="L68:L81" si="9">IF(SUM(U68:AL68)&gt;K68+N68,K68+N68,SUM(U68:AL68))</f>
        <v>0</v>
      </c>
      <c r="M68" s="127">
        <f t="shared" ref="M68:M81" si="10">(SUM(U68:AK68))</f>
        <v>0</v>
      </c>
      <c r="N68" s="128"/>
      <c r="O68" s="129">
        <f t="shared" si="4"/>
        <v>0</v>
      </c>
      <c r="P68" s="128"/>
      <c r="Q68" s="128"/>
      <c r="R68" s="128"/>
      <c r="S68" s="167">
        <f t="shared" ref="S68:S81" si="11">K68-SUM(U68:AK68)+N68</f>
        <v>0</v>
      </c>
      <c r="T68" s="25" t="str">
        <f t="shared" ref="T68:T81" si="12">IF(S68&lt;0,"ATENÇÃO","OK")</f>
        <v>OK</v>
      </c>
      <c r="U68" s="138"/>
      <c r="V68" s="138"/>
      <c r="W68" s="138"/>
      <c r="X68" s="138"/>
      <c r="Y68" s="139"/>
      <c r="Z68" s="139"/>
      <c r="AA68" s="139"/>
      <c r="AB68" s="138"/>
      <c r="AC68" s="138"/>
      <c r="AD68" s="138"/>
      <c r="AE68" s="110"/>
      <c r="AF68" s="110"/>
      <c r="AG68" s="110"/>
      <c r="AH68" s="110"/>
      <c r="AI68" s="110"/>
      <c r="AJ68" s="110"/>
      <c r="AK68" s="110"/>
    </row>
    <row r="69" spans="1:37" ht="16" customHeight="1" x14ac:dyDescent="0.35">
      <c r="A69" s="208" t="s">
        <v>164</v>
      </c>
      <c r="B69" s="44">
        <v>66</v>
      </c>
      <c r="C69" s="205" t="s">
        <v>92</v>
      </c>
      <c r="D69" s="46" t="s">
        <v>27</v>
      </c>
      <c r="E69" s="48" t="s">
        <v>8</v>
      </c>
      <c r="F69" s="50" t="s">
        <v>28</v>
      </c>
      <c r="G69" s="44" t="s">
        <v>29</v>
      </c>
      <c r="H69" s="44" t="s">
        <v>8</v>
      </c>
      <c r="I69" s="44" t="s">
        <v>9</v>
      </c>
      <c r="J69" s="47">
        <v>140</v>
      </c>
      <c r="K69" s="27">
        <f>1</f>
        <v>1</v>
      </c>
      <c r="L69" s="127">
        <f t="shared" si="9"/>
        <v>0</v>
      </c>
      <c r="M69" s="127">
        <f t="shared" si="10"/>
        <v>0</v>
      </c>
      <c r="N69" s="128"/>
      <c r="O69" s="129">
        <f t="shared" ref="O69:O81" si="13">ROUND(IF(K69*0.25-0.5&lt;0,0,K69*0.25-0.5),0)-R69-P69</f>
        <v>0</v>
      </c>
      <c r="P69" s="128"/>
      <c r="Q69" s="128"/>
      <c r="R69" s="128"/>
      <c r="S69" s="167">
        <f t="shared" si="11"/>
        <v>1</v>
      </c>
      <c r="T69" s="25" t="str">
        <f t="shared" si="12"/>
        <v>OK</v>
      </c>
      <c r="U69" s="138"/>
      <c r="V69" s="138"/>
      <c r="W69" s="138"/>
      <c r="X69" s="138"/>
      <c r="Y69" s="139"/>
      <c r="Z69" s="139"/>
      <c r="AA69" s="139"/>
      <c r="AB69" s="138"/>
      <c r="AC69" s="138"/>
      <c r="AD69" s="138"/>
      <c r="AE69" s="110"/>
      <c r="AF69" s="110"/>
      <c r="AG69" s="110"/>
      <c r="AH69" s="110"/>
      <c r="AI69" s="110"/>
      <c r="AJ69" s="110"/>
      <c r="AK69" s="110"/>
    </row>
    <row r="70" spans="1:37" ht="16" customHeight="1" x14ac:dyDescent="0.35">
      <c r="A70" s="209"/>
      <c r="B70" s="44">
        <v>67</v>
      </c>
      <c r="C70" s="206"/>
      <c r="D70" s="46" t="s">
        <v>7</v>
      </c>
      <c r="E70" s="48" t="s">
        <v>8</v>
      </c>
      <c r="F70" s="50" t="s">
        <v>28</v>
      </c>
      <c r="G70" s="44" t="s">
        <v>29</v>
      </c>
      <c r="H70" s="44" t="s">
        <v>8</v>
      </c>
      <c r="I70" s="44" t="s">
        <v>9</v>
      </c>
      <c r="J70" s="47">
        <v>530</v>
      </c>
      <c r="K70" s="27">
        <f>40</f>
        <v>40</v>
      </c>
      <c r="L70" s="127">
        <f t="shared" si="9"/>
        <v>27</v>
      </c>
      <c r="M70" s="127">
        <f t="shared" si="10"/>
        <v>27</v>
      </c>
      <c r="N70" s="128"/>
      <c r="O70" s="129">
        <f t="shared" si="13"/>
        <v>10</v>
      </c>
      <c r="P70" s="128"/>
      <c r="Q70" s="128"/>
      <c r="R70" s="128"/>
      <c r="S70" s="167">
        <f t="shared" si="11"/>
        <v>13</v>
      </c>
      <c r="T70" s="25" t="str">
        <f t="shared" si="12"/>
        <v>OK</v>
      </c>
      <c r="U70" s="138"/>
      <c r="V70" s="138"/>
      <c r="W70" s="138"/>
      <c r="X70" s="138"/>
      <c r="Y70" s="139"/>
      <c r="Z70" s="139"/>
      <c r="AA70" s="139"/>
      <c r="AB70" s="138"/>
      <c r="AC70" s="138"/>
      <c r="AD70" s="138"/>
      <c r="AE70" s="110">
        <v>15</v>
      </c>
      <c r="AF70" s="110">
        <v>12</v>
      </c>
      <c r="AG70" s="110"/>
      <c r="AH70" s="110"/>
      <c r="AI70" s="110"/>
      <c r="AJ70" s="110"/>
      <c r="AK70" s="110"/>
    </row>
    <row r="71" spans="1:37" ht="16" customHeight="1" x14ac:dyDescent="0.35">
      <c r="A71" s="209"/>
      <c r="B71" s="44">
        <v>68</v>
      </c>
      <c r="C71" s="206"/>
      <c r="D71" s="46" t="s">
        <v>10</v>
      </c>
      <c r="E71" s="48" t="s">
        <v>8</v>
      </c>
      <c r="F71" s="50" t="s">
        <v>28</v>
      </c>
      <c r="G71" s="44" t="s">
        <v>29</v>
      </c>
      <c r="H71" s="44" t="s">
        <v>8</v>
      </c>
      <c r="I71" s="44" t="s">
        <v>9</v>
      </c>
      <c r="J71" s="47">
        <v>660</v>
      </c>
      <c r="K71" s="27">
        <f>18</f>
        <v>18</v>
      </c>
      <c r="L71" s="127">
        <f t="shared" si="9"/>
        <v>11</v>
      </c>
      <c r="M71" s="127">
        <f t="shared" si="10"/>
        <v>11</v>
      </c>
      <c r="N71" s="128"/>
      <c r="O71" s="129">
        <f t="shared" si="13"/>
        <v>4</v>
      </c>
      <c r="P71" s="128"/>
      <c r="Q71" s="128"/>
      <c r="R71" s="128"/>
      <c r="S71" s="167">
        <f t="shared" si="11"/>
        <v>7</v>
      </c>
      <c r="T71" s="25" t="str">
        <f t="shared" si="12"/>
        <v>OK</v>
      </c>
      <c r="U71" s="138"/>
      <c r="V71" s="138"/>
      <c r="W71" s="138"/>
      <c r="X71" s="138"/>
      <c r="Y71" s="139"/>
      <c r="Z71" s="139"/>
      <c r="AA71" s="139"/>
      <c r="AB71" s="138"/>
      <c r="AC71" s="138"/>
      <c r="AD71" s="138"/>
      <c r="AE71" s="110"/>
      <c r="AF71" s="110">
        <v>11</v>
      </c>
      <c r="AG71" s="110"/>
      <c r="AH71" s="110"/>
      <c r="AI71" s="110"/>
      <c r="AJ71" s="110"/>
      <c r="AK71" s="110"/>
    </row>
    <row r="72" spans="1:37" ht="16" customHeight="1" x14ac:dyDescent="0.35">
      <c r="A72" s="209"/>
      <c r="B72" s="44">
        <v>69</v>
      </c>
      <c r="C72" s="206"/>
      <c r="D72" s="46" t="s">
        <v>11</v>
      </c>
      <c r="E72" s="48" t="s">
        <v>8</v>
      </c>
      <c r="F72" s="50" t="s">
        <v>28</v>
      </c>
      <c r="G72" s="44" t="s">
        <v>29</v>
      </c>
      <c r="H72" s="44" t="s">
        <v>8</v>
      </c>
      <c r="I72" s="44" t="s">
        <v>9</v>
      </c>
      <c r="J72" s="47">
        <v>760</v>
      </c>
      <c r="K72" s="27">
        <f>3</f>
        <v>3</v>
      </c>
      <c r="L72" s="127">
        <f t="shared" si="9"/>
        <v>3</v>
      </c>
      <c r="M72" s="127">
        <f t="shared" si="10"/>
        <v>3</v>
      </c>
      <c r="N72" s="128"/>
      <c r="O72" s="129">
        <f t="shared" si="13"/>
        <v>0</v>
      </c>
      <c r="P72" s="128"/>
      <c r="Q72" s="128"/>
      <c r="R72" s="128"/>
      <c r="S72" s="167">
        <f t="shared" si="11"/>
        <v>0</v>
      </c>
      <c r="T72" s="25" t="str">
        <f t="shared" si="12"/>
        <v>OK</v>
      </c>
      <c r="U72" s="138"/>
      <c r="V72" s="138"/>
      <c r="W72" s="138"/>
      <c r="X72" s="138"/>
      <c r="Y72" s="139"/>
      <c r="Z72" s="139"/>
      <c r="AA72" s="139"/>
      <c r="AB72" s="138"/>
      <c r="AC72" s="138"/>
      <c r="AD72" s="138"/>
      <c r="AE72" s="110"/>
      <c r="AF72" s="110">
        <v>3</v>
      </c>
      <c r="AG72" s="110"/>
      <c r="AH72" s="110"/>
      <c r="AI72" s="110"/>
      <c r="AJ72" s="110"/>
      <c r="AK72" s="110"/>
    </row>
    <row r="73" spans="1:37" ht="16" customHeight="1" x14ac:dyDescent="0.35">
      <c r="A73" s="209"/>
      <c r="B73" s="44">
        <v>70</v>
      </c>
      <c r="C73" s="206"/>
      <c r="D73" s="46" t="s">
        <v>12</v>
      </c>
      <c r="E73" s="48" t="s">
        <v>8</v>
      </c>
      <c r="F73" s="50" t="s">
        <v>28</v>
      </c>
      <c r="G73" s="44" t="s">
        <v>29</v>
      </c>
      <c r="H73" s="44" t="s">
        <v>34</v>
      </c>
      <c r="I73" s="44" t="s">
        <v>9</v>
      </c>
      <c r="J73" s="47">
        <v>70</v>
      </c>
      <c r="K73" s="27">
        <f>130</f>
        <v>130</v>
      </c>
      <c r="L73" s="127">
        <f t="shared" si="9"/>
        <v>20</v>
      </c>
      <c r="M73" s="127">
        <f t="shared" si="10"/>
        <v>20</v>
      </c>
      <c r="N73" s="128"/>
      <c r="O73" s="129">
        <f t="shared" si="13"/>
        <v>32</v>
      </c>
      <c r="P73" s="128"/>
      <c r="Q73" s="128"/>
      <c r="R73" s="128"/>
      <c r="S73" s="167">
        <f t="shared" si="11"/>
        <v>110</v>
      </c>
      <c r="T73" s="25" t="str">
        <f t="shared" si="12"/>
        <v>OK</v>
      </c>
      <c r="U73" s="138"/>
      <c r="V73" s="138"/>
      <c r="W73" s="138"/>
      <c r="X73" s="138"/>
      <c r="Y73" s="139"/>
      <c r="Z73" s="139"/>
      <c r="AA73" s="139"/>
      <c r="AB73" s="138"/>
      <c r="AC73" s="138"/>
      <c r="AD73" s="138"/>
      <c r="AE73" s="110"/>
      <c r="AF73" s="110">
        <v>20</v>
      </c>
      <c r="AG73" s="110"/>
      <c r="AH73" s="110"/>
      <c r="AI73" s="110"/>
      <c r="AJ73" s="110"/>
      <c r="AK73" s="110"/>
    </row>
    <row r="74" spans="1:37" ht="16" customHeight="1" x14ac:dyDescent="0.35">
      <c r="A74" s="209"/>
      <c r="B74" s="44">
        <v>71</v>
      </c>
      <c r="C74" s="206"/>
      <c r="D74" s="46" t="s">
        <v>156</v>
      </c>
      <c r="E74" s="48" t="s">
        <v>8</v>
      </c>
      <c r="F74" s="50" t="s">
        <v>28</v>
      </c>
      <c r="G74" s="44" t="s">
        <v>29</v>
      </c>
      <c r="H74" s="44" t="s">
        <v>34</v>
      </c>
      <c r="I74" s="44" t="s">
        <v>9</v>
      </c>
      <c r="J74" s="47">
        <v>75</v>
      </c>
      <c r="K74" s="27">
        <f>40</f>
        <v>40</v>
      </c>
      <c r="L74" s="127">
        <f t="shared" si="9"/>
        <v>0</v>
      </c>
      <c r="M74" s="127">
        <f t="shared" si="10"/>
        <v>0</v>
      </c>
      <c r="N74" s="128"/>
      <c r="O74" s="129">
        <f t="shared" si="13"/>
        <v>10</v>
      </c>
      <c r="P74" s="128"/>
      <c r="Q74" s="128"/>
      <c r="R74" s="128"/>
      <c r="S74" s="167">
        <f t="shared" si="11"/>
        <v>40</v>
      </c>
      <c r="T74" s="25" t="str">
        <f t="shared" si="12"/>
        <v>OK</v>
      </c>
      <c r="U74" s="138"/>
      <c r="V74" s="138"/>
      <c r="W74" s="138"/>
      <c r="X74" s="138"/>
      <c r="Y74" s="139"/>
      <c r="Z74" s="139"/>
      <c r="AA74" s="139"/>
      <c r="AB74" s="138"/>
      <c r="AC74" s="138"/>
      <c r="AD74" s="138"/>
      <c r="AE74" s="110"/>
      <c r="AF74" s="110"/>
      <c r="AG74" s="110"/>
      <c r="AH74" s="110"/>
      <c r="AI74" s="110"/>
      <c r="AJ74" s="110"/>
      <c r="AK74" s="110"/>
    </row>
    <row r="75" spans="1:37" ht="16" customHeight="1" x14ac:dyDescent="0.35">
      <c r="A75" s="209"/>
      <c r="B75" s="44">
        <v>72</v>
      </c>
      <c r="C75" s="206"/>
      <c r="D75" s="46" t="s">
        <v>13</v>
      </c>
      <c r="E75" s="48" t="s">
        <v>8</v>
      </c>
      <c r="F75" s="50" t="s">
        <v>28</v>
      </c>
      <c r="G75" s="44" t="s">
        <v>29</v>
      </c>
      <c r="H75" s="44" t="s">
        <v>34</v>
      </c>
      <c r="I75" s="44" t="s">
        <v>9</v>
      </c>
      <c r="J75" s="47">
        <v>80</v>
      </c>
      <c r="K75" s="27">
        <f>5</f>
        <v>5</v>
      </c>
      <c r="L75" s="127">
        <f t="shared" si="9"/>
        <v>0</v>
      </c>
      <c r="M75" s="127">
        <f t="shared" si="10"/>
        <v>0</v>
      </c>
      <c r="N75" s="128"/>
      <c r="O75" s="129">
        <f t="shared" si="13"/>
        <v>1</v>
      </c>
      <c r="P75" s="128"/>
      <c r="Q75" s="128"/>
      <c r="R75" s="128"/>
      <c r="S75" s="167">
        <f t="shared" si="11"/>
        <v>5</v>
      </c>
      <c r="T75" s="25" t="str">
        <f t="shared" si="12"/>
        <v>OK</v>
      </c>
      <c r="U75" s="138"/>
      <c r="V75" s="138"/>
      <c r="W75" s="138"/>
      <c r="X75" s="138"/>
      <c r="Y75" s="139"/>
      <c r="Z75" s="139"/>
      <c r="AA75" s="139"/>
      <c r="AB75" s="138"/>
      <c r="AC75" s="138"/>
      <c r="AD75" s="138"/>
      <c r="AE75" s="110"/>
      <c r="AF75" s="110"/>
      <c r="AG75" s="110"/>
      <c r="AH75" s="110"/>
      <c r="AI75" s="110"/>
      <c r="AJ75" s="110"/>
      <c r="AK75" s="110"/>
    </row>
    <row r="76" spans="1:37" ht="16" customHeight="1" x14ac:dyDescent="0.35">
      <c r="A76" s="209"/>
      <c r="B76" s="44">
        <v>73</v>
      </c>
      <c r="C76" s="206"/>
      <c r="D76" s="46" t="s">
        <v>157</v>
      </c>
      <c r="E76" s="48" t="s">
        <v>8</v>
      </c>
      <c r="F76" s="50" t="s">
        <v>28</v>
      </c>
      <c r="G76" s="44" t="s">
        <v>29</v>
      </c>
      <c r="H76" s="44" t="s">
        <v>8</v>
      </c>
      <c r="I76" s="44" t="s">
        <v>9</v>
      </c>
      <c r="J76" s="47">
        <v>150</v>
      </c>
      <c r="K76" s="27">
        <f>5</f>
        <v>5</v>
      </c>
      <c r="L76" s="127">
        <f t="shared" si="9"/>
        <v>3</v>
      </c>
      <c r="M76" s="127">
        <f t="shared" si="10"/>
        <v>3</v>
      </c>
      <c r="N76" s="128"/>
      <c r="O76" s="129">
        <f t="shared" si="13"/>
        <v>1</v>
      </c>
      <c r="P76" s="128"/>
      <c r="Q76" s="128"/>
      <c r="R76" s="128"/>
      <c r="S76" s="167">
        <f t="shared" si="11"/>
        <v>2</v>
      </c>
      <c r="T76" s="25" t="str">
        <f t="shared" si="12"/>
        <v>OK</v>
      </c>
      <c r="U76" s="138"/>
      <c r="V76" s="138"/>
      <c r="W76" s="138"/>
      <c r="X76" s="138"/>
      <c r="Y76" s="139"/>
      <c r="Z76" s="139"/>
      <c r="AA76" s="139"/>
      <c r="AB76" s="138"/>
      <c r="AC76" s="138"/>
      <c r="AD76" s="138"/>
      <c r="AE76" s="110">
        <v>1</v>
      </c>
      <c r="AF76" s="110">
        <v>2</v>
      </c>
      <c r="AG76" s="110"/>
      <c r="AH76" s="110"/>
      <c r="AI76" s="110"/>
      <c r="AJ76" s="110"/>
      <c r="AK76" s="110"/>
    </row>
    <row r="77" spans="1:37" ht="16" customHeight="1" x14ac:dyDescent="0.35">
      <c r="A77" s="209"/>
      <c r="B77" s="44">
        <v>74</v>
      </c>
      <c r="C77" s="206"/>
      <c r="D77" s="46" t="s">
        <v>30</v>
      </c>
      <c r="E77" s="48" t="s">
        <v>8</v>
      </c>
      <c r="F77" s="50" t="s">
        <v>28</v>
      </c>
      <c r="G77" s="44" t="s">
        <v>29</v>
      </c>
      <c r="H77" s="44" t="s">
        <v>8</v>
      </c>
      <c r="I77" s="44" t="s">
        <v>9</v>
      </c>
      <c r="J77" s="47">
        <v>150</v>
      </c>
      <c r="K77" s="27">
        <f>25</f>
        <v>25</v>
      </c>
      <c r="L77" s="127">
        <f t="shared" si="9"/>
        <v>0</v>
      </c>
      <c r="M77" s="127">
        <f t="shared" si="10"/>
        <v>0</v>
      </c>
      <c r="N77" s="128"/>
      <c r="O77" s="129">
        <f t="shared" si="13"/>
        <v>6</v>
      </c>
      <c r="P77" s="128"/>
      <c r="Q77" s="128"/>
      <c r="R77" s="128"/>
      <c r="S77" s="167">
        <f t="shared" si="11"/>
        <v>25</v>
      </c>
      <c r="T77" s="25" t="str">
        <f t="shared" si="12"/>
        <v>OK</v>
      </c>
      <c r="U77" s="138"/>
      <c r="V77" s="138"/>
      <c r="W77" s="138"/>
      <c r="X77" s="138"/>
      <c r="Y77" s="139"/>
      <c r="Z77" s="139"/>
      <c r="AA77" s="139"/>
      <c r="AB77" s="138"/>
      <c r="AC77" s="138"/>
      <c r="AD77" s="138"/>
      <c r="AE77" s="110"/>
      <c r="AF77" s="110"/>
      <c r="AG77" s="110"/>
      <c r="AH77" s="110"/>
      <c r="AI77" s="110"/>
      <c r="AJ77" s="110"/>
      <c r="AK77" s="110"/>
    </row>
    <row r="78" spans="1:37" ht="16" customHeight="1" x14ac:dyDescent="0.35">
      <c r="A78" s="210"/>
      <c r="B78" s="44">
        <v>75</v>
      </c>
      <c r="C78" s="207"/>
      <c r="D78" s="46" t="s">
        <v>165</v>
      </c>
      <c r="E78" s="48" t="s">
        <v>8</v>
      </c>
      <c r="F78" s="50" t="s">
        <v>28</v>
      </c>
      <c r="G78" s="44" t="s">
        <v>29</v>
      </c>
      <c r="H78" s="44" t="s">
        <v>8</v>
      </c>
      <c r="I78" s="44" t="s">
        <v>9</v>
      </c>
      <c r="J78" s="47">
        <v>300</v>
      </c>
      <c r="K78" s="27">
        <f>6</f>
        <v>6</v>
      </c>
      <c r="L78" s="127">
        <f t="shared" si="9"/>
        <v>6</v>
      </c>
      <c r="M78" s="127">
        <f t="shared" si="10"/>
        <v>6</v>
      </c>
      <c r="N78" s="128"/>
      <c r="O78" s="129">
        <f t="shared" si="13"/>
        <v>1</v>
      </c>
      <c r="P78" s="128"/>
      <c r="Q78" s="128"/>
      <c r="R78" s="128"/>
      <c r="S78" s="167">
        <f t="shared" si="11"/>
        <v>0</v>
      </c>
      <c r="T78" s="25" t="str">
        <f t="shared" si="12"/>
        <v>OK</v>
      </c>
      <c r="U78" s="138"/>
      <c r="V78" s="138"/>
      <c r="W78" s="138"/>
      <c r="X78" s="138"/>
      <c r="Y78" s="139"/>
      <c r="Z78" s="139"/>
      <c r="AA78" s="139"/>
      <c r="AB78" s="138"/>
      <c r="AC78" s="138"/>
      <c r="AD78" s="138"/>
      <c r="AE78" s="110">
        <v>5</v>
      </c>
      <c r="AF78" s="110">
        <v>1</v>
      </c>
      <c r="AG78" s="110"/>
      <c r="AH78" s="110"/>
      <c r="AI78" s="110"/>
      <c r="AJ78" s="110"/>
      <c r="AK78" s="110"/>
    </row>
    <row r="79" spans="1:37" ht="16" customHeight="1" x14ac:dyDescent="0.35">
      <c r="A79" s="198" t="s">
        <v>166</v>
      </c>
      <c r="B79" s="37">
        <v>76</v>
      </c>
      <c r="C79" s="195" t="s">
        <v>33</v>
      </c>
      <c r="D79" s="34" t="s">
        <v>7</v>
      </c>
      <c r="E79" s="41" t="s">
        <v>8</v>
      </c>
      <c r="F79" s="43" t="s">
        <v>28</v>
      </c>
      <c r="G79" s="37" t="s">
        <v>29</v>
      </c>
      <c r="H79" s="37" t="s">
        <v>8</v>
      </c>
      <c r="I79" s="37" t="s">
        <v>9</v>
      </c>
      <c r="J79" s="36">
        <v>1001</v>
      </c>
      <c r="K79" s="27">
        <f>0</f>
        <v>0</v>
      </c>
      <c r="L79" s="127">
        <f t="shared" si="9"/>
        <v>0</v>
      </c>
      <c r="M79" s="127">
        <f t="shared" si="10"/>
        <v>0</v>
      </c>
      <c r="N79" s="128"/>
      <c r="O79" s="129">
        <f t="shared" si="13"/>
        <v>0</v>
      </c>
      <c r="P79" s="128"/>
      <c r="Q79" s="128"/>
      <c r="R79" s="128"/>
      <c r="S79" s="167">
        <f t="shared" si="11"/>
        <v>0</v>
      </c>
      <c r="T79" s="25" t="str">
        <f t="shared" si="12"/>
        <v>OK</v>
      </c>
      <c r="U79" s="138"/>
      <c r="V79" s="138"/>
      <c r="W79" s="138"/>
      <c r="X79" s="138"/>
      <c r="Y79" s="139"/>
      <c r="Z79" s="139"/>
      <c r="AA79" s="139"/>
      <c r="AB79" s="138"/>
      <c r="AC79" s="138"/>
      <c r="AD79" s="138"/>
      <c r="AE79" s="110"/>
      <c r="AF79" s="110"/>
      <c r="AG79" s="110"/>
      <c r="AH79" s="110"/>
      <c r="AI79" s="110"/>
      <c r="AJ79" s="110"/>
      <c r="AK79" s="110"/>
    </row>
    <row r="80" spans="1:37" ht="16" customHeight="1" x14ac:dyDescent="0.35">
      <c r="A80" s="199"/>
      <c r="B80" s="37">
        <v>77</v>
      </c>
      <c r="C80" s="196"/>
      <c r="D80" s="34" t="s">
        <v>12</v>
      </c>
      <c r="E80" s="41" t="s">
        <v>8</v>
      </c>
      <c r="F80" s="43" t="s">
        <v>28</v>
      </c>
      <c r="G80" s="37" t="s">
        <v>29</v>
      </c>
      <c r="H80" s="37" t="s">
        <v>34</v>
      </c>
      <c r="I80" s="37" t="s">
        <v>9</v>
      </c>
      <c r="J80" s="36">
        <v>130</v>
      </c>
      <c r="K80" s="27">
        <f>0</f>
        <v>0</v>
      </c>
      <c r="L80" s="127">
        <f t="shared" si="9"/>
        <v>0</v>
      </c>
      <c r="M80" s="127">
        <f t="shared" si="10"/>
        <v>0</v>
      </c>
      <c r="N80" s="128"/>
      <c r="O80" s="129">
        <f t="shared" si="13"/>
        <v>0</v>
      </c>
      <c r="P80" s="128"/>
      <c r="Q80" s="128"/>
      <c r="R80" s="128"/>
      <c r="S80" s="167">
        <f t="shared" si="11"/>
        <v>0</v>
      </c>
      <c r="T80" s="25" t="str">
        <f t="shared" si="12"/>
        <v>OK</v>
      </c>
      <c r="U80" s="138"/>
      <c r="V80" s="138"/>
      <c r="W80" s="138"/>
      <c r="X80" s="138"/>
      <c r="Y80" s="139"/>
      <c r="Z80" s="139"/>
      <c r="AA80" s="139"/>
      <c r="AB80" s="138"/>
      <c r="AC80" s="138"/>
      <c r="AD80" s="138"/>
      <c r="AE80" s="110"/>
      <c r="AF80" s="110"/>
      <c r="AG80" s="110"/>
      <c r="AH80" s="110"/>
      <c r="AI80" s="110"/>
      <c r="AJ80" s="110"/>
      <c r="AK80" s="110"/>
    </row>
    <row r="81" spans="1:37" ht="16" customHeight="1" x14ac:dyDescent="0.35">
      <c r="A81" s="200"/>
      <c r="B81" s="37">
        <v>78</v>
      </c>
      <c r="C81" s="197"/>
      <c r="D81" s="34" t="s">
        <v>157</v>
      </c>
      <c r="E81" s="41" t="s">
        <v>8</v>
      </c>
      <c r="F81" s="43" t="s">
        <v>28</v>
      </c>
      <c r="G81" s="37" t="s">
        <v>29</v>
      </c>
      <c r="H81" s="37" t="s">
        <v>8</v>
      </c>
      <c r="I81" s="37" t="s">
        <v>9</v>
      </c>
      <c r="J81" s="36">
        <v>200</v>
      </c>
      <c r="K81" s="27">
        <f>0</f>
        <v>0</v>
      </c>
      <c r="L81" s="127">
        <f t="shared" si="9"/>
        <v>0</v>
      </c>
      <c r="M81" s="127">
        <f t="shared" si="10"/>
        <v>0</v>
      </c>
      <c r="N81" s="128"/>
      <c r="O81" s="129">
        <f t="shared" si="13"/>
        <v>0</v>
      </c>
      <c r="P81" s="128"/>
      <c r="Q81" s="128"/>
      <c r="R81" s="128"/>
      <c r="S81" s="167">
        <f t="shared" si="11"/>
        <v>0</v>
      </c>
      <c r="T81" s="25" t="str">
        <f t="shared" si="12"/>
        <v>OK</v>
      </c>
      <c r="U81" s="138"/>
      <c r="V81" s="138"/>
      <c r="W81" s="138"/>
      <c r="X81" s="138"/>
      <c r="Y81" s="139"/>
      <c r="Z81" s="139"/>
      <c r="AA81" s="139"/>
      <c r="AB81" s="138"/>
      <c r="AC81" s="138"/>
      <c r="AD81" s="138"/>
      <c r="AE81" s="110"/>
      <c r="AF81" s="110"/>
      <c r="AG81" s="110"/>
      <c r="AH81" s="110"/>
      <c r="AI81" s="110"/>
      <c r="AJ81" s="110"/>
      <c r="AK81" s="110"/>
    </row>
    <row r="82" spans="1:37" ht="16" customHeight="1" thickBot="1" x14ac:dyDescent="0.4">
      <c r="K82" s="4">
        <f>SUM(K4:K81)</f>
        <v>398</v>
      </c>
      <c r="N82" s="132"/>
      <c r="O82" s="132"/>
      <c r="P82" s="132"/>
      <c r="Q82" s="132"/>
      <c r="R82" s="132"/>
      <c r="S82" s="164">
        <f>SUM(S4:S81)</f>
        <v>267</v>
      </c>
      <c r="U82" s="30">
        <f t="shared" ref="U82:AK82" si="14">SUMPRODUCT($J$4:$J$81,U4:U81)</f>
        <v>9553.2000000000007</v>
      </c>
      <c r="V82" s="30">
        <f t="shared" si="14"/>
        <v>24759.22</v>
      </c>
      <c r="W82" s="30">
        <f t="shared" si="14"/>
        <v>107033.76</v>
      </c>
      <c r="X82" s="30">
        <f t="shared" si="14"/>
        <v>9561.2000000000007</v>
      </c>
      <c r="Y82" s="30">
        <f t="shared" si="14"/>
        <v>32727.420000000002</v>
      </c>
      <c r="Z82" s="30">
        <f t="shared" si="14"/>
        <v>80337.989999999991</v>
      </c>
      <c r="AA82" s="30">
        <f t="shared" si="14"/>
        <v>4360</v>
      </c>
      <c r="AB82" s="30">
        <f t="shared" si="14"/>
        <v>3490</v>
      </c>
      <c r="AC82" s="30">
        <f t="shared" si="14"/>
        <v>24219.54</v>
      </c>
      <c r="AD82" s="30">
        <f t="shared" si="14"/>
        <v>3617.48</v>
      </c>
      <c r="AE82" s="30">
        <f t="shared" si="14"/>
        <v>9600</v>
      </c>
      <c r="AF82" s="30">
        <f t="shared" si="14"/>
        <v>17900</v>
      </c>
      <c r="AG82" s="111">
        <f t="shared" si="14"/>
        <v>0</v>
      </c>
      <c r="AH82" s="111">
        <f t="shared" si="14"/>
        <v>0</v>
      </c>
      <c r="AI82" s="111">
        <f t="shared" si="14"/>
        <v>0</v>
      </c>
      <c r="AJ82" s="111">
        <f t="shared" si="14"/>
        <v>0</v>
      </c>
      <c r="AK82" s="111">
        <f t="shared" si="14"/>
        <v>0</v>
      </c>
    </row>
    <row r="83" spans="1:37" ht="16" customHeight="1" x14ac:dyDescent="0.35">
      <c r="D83" s="31" t="s">
        <v>53</v>
      </c>
      <c r="K83" s="132">
        <f>SUMPRODUCT($J$4:$J$81,K4:K81)</f>
        <v>478041.21</v>
      </c>
      <c r="L83" s="132">
        <f>SUMPRODUCT($J$4:$J$81,L4:L81)</f>
        <v>327159.81</v>
      </c>
      <c r="M83" s="132">
        <f>SUMPRODUCT($J$4:$J$81,M4:M81)</f>
        <v>327159.81</v>
      </c>
      <c r="R83" s="126"/>
      <c r="U83" s="142"/>
      <c r="V83" s="142"/>
      <c r="W83" s="142"/>
      <c r="X83" s="142"/>
      <c r="Y83" s="142"/>
      <c r="Z83" s="142"/>
      <c r="AA83" s="142"/>
      <c r="AB83" s="142"/>
      <c r="AC83" s="142"/>
      <c r="AD83" s="142"/>
    </row>
    <row r="84" spans="1:37" ht="16" customHeight="1" x14ac:dyDescent="0.35">
      <c r="D84" s="32" t="s">
        <v>54</v>
      </c>
      <c r="R84" s="125"/>
      <c r="U84" s="142"/>
      <c r="V84" s="142"/>
      <c r="W84" s="142"/>
      <c r="X84" s="142"/>
      <c r="Y84" s="142"/>
      <c r="Z84" s="142"/>
      <c r="AA84" s="142"/>
      <c r="AB84" s="142"/>
      <c r="AC84" s="142"/>
      <c r="AD84" s="142"/>
    </row>
    <row r="85" spans="1:37" ht="16" customHeight="1" thickBot="1" x14ac:dyDescent="0.4">
      <c r="D85" s="33" t="s">
        <v>55</v>
      </c>
      <c r="R85" s="125"/>
      <c r="U85" s="142"/>
      <c r="V85" s="142"/>
      <c r="W85" s="142"/>
      <c r="X85" s="142"/>
      <c r="Y85" s="142"/>
      <c r="Z85" s="142"/>
      <c r="AA85" s="142"/>
      <c r="AB85" s="142"/>
      <c r="AC85" s="142"/>
      <c r="AD85" s="142"/>
    </row>
    <row r="86" spans="1:37" ht="16" customHeight="1" x14ac:dyDescent="0.35">
      <c r="U86" s="142"/>
      <c r="V86" s="142"/>
      <c r="W86" s="142"/>
      <c r="X86" s="142"/>
      <c r="Y86" s="142"/>
      <c r="Z86" s="142"/>
      <c r="AA86" s="142"/>
      <c r="AB86" s="142"/>
      <c r="AC86" s="142"/>
      <c r="AD86" s="142"/>
    </row>
    <row r="87" spans="1:37" ht="16" customHeight="1" x14ac:dyDescent="0.35">
      <c r="U87" s="142"/>
      <c r="V87" s="142"/>
      <c r="W87" s="142"/>
      <c r="X87" s="142"/>
      <c r="Y87" s="142"/>
      <c r="Z87" s="142"/>
      <c r="AA87" s="142"/>
      <c r="AB87" s="142"/>
      <c r="AC87" s="142"/>
      <c r="AD87" s="142"/>
    </row>
    <row r="88" spans="1:37" ht="16" customHeight="1" x14ac:dyDescent="0.35">
      <c r="U88" s="142"/>
      <c r="V88" s="142"/>
      <c r="W88" s="142"/>
      <c r="X88" s="142"/>
      <c r="Y88" s="142"/>
      <c r="Z88" s="142"/>
      <c r="AA88" s="142"/>
      <c r="AB88" s="142"/>
      <c r="AC88" s="142"/>
      <c r="AD88" s="142"/>
    </row>
    <row r="89" spans="1:37" ht="16" customHeight="1" x14ac:dyDescent="0.35">
      <c r="U89" s="142"/>
      <c r="V89" s="142"/>
      <c r="W89" s="142"/>
      <c r="X89" s="142"/>
      <c r="Y89" s="142"/>
      <c r="Z89" s="142"/>
      <c r="AA89" s="142"/>
      <c r="AB89" s="142"/>
      <c r="AC89" s="142"/>
      <c r="AD89" s="142"/>
    </row>
    <row r="90" spans="1:37" ht="16" customHeight="1" x14ac:dyDescent="0.35">
      <c r="U90" s="142"/>
      <c r="V90" s="142"/>
      <c r="W90" s="142"/>
      <c r="X90" s="142"/>
      <c r="Y90" s="142"/>
      <c r="Z90" s="142"/>
      <c r="AA90" s="142"/>
      <c r="AB90" s="142"/>
      <c r="AC90" s="142"/>
      <c r="AD90" s="142"/>
    </row>
    <row r="91" spans="1:37" ht="16" customHeight="1" x14ac:dyDescent="0.35">
      <c r="U91" s="142"/>
      <c r="V91" s="142"/>
      <c r="W91" s="142"/>
      <c r="X91" s="142"/>
      <c r="Y91" s="142"/>
      <c r="Z91" s="142"/>
      <c r="AA91" s="142"/>
      <c r="AB91" s="142"/>
      <c r="AC91" s="142"/>
      <c r="AD91" s="142"/>
    </row>
    <row r="92" spans="1:37" ht="16" customHeight="1" x14ac:dyDescent="0.35">
      <c r="U92" s="142"/>
      <c r="V92" s="142"/>
      <c r="W92" s="142"/>
      <c r="X92" s="142"/>
      <c r="Y92" s="142"/>
      <c r="Z92" s="142"/>
      <c r="AA92" s="142"/>
      <c r="AB92" s="142"/>
      <c r="AC92" s="142"/>
      <c r="AD92" s="142"/>
    </row>
  </sheetData>
  <mergeCells count="32">
    <mergeCell ref="AH1:AH2"/>
    <mergeCell ref="AI1:AI2"/>
    <mergeCell ref="AJ1:AJ2"/>
    <mergeCell ref="AK1:AK2"/>
    <mergeCell ref="A69:A78"/>
    <mergeCell ref="C69:C78"/>
    <mergeCell ref="AC1:AC2"/>
    <mergeCell ref="AD1:AD2"/>
    <mergeCell ref="AE1:AE2"/>
    <mergeCell ref="AF1:AF2"/>
    <mergeCell ref="AG1:AG2"/>
    <mergeCell ref="AA1:AA2"/>
    <mergeCell ref="AB1:AB2"/>
    <mergeCell ref="A1:C1"/>
    <mergeCell ref="D1:J1"/>
    <mergeCell ref="K1:T1"/>
    <mergeCell ref="A2:J2"/>
    <mergeCell ref="K2:T2"/>
    <mergeCell ref="A79:A81"/>
    <mergeCell ref="C79:C81"/>
    <mergeCell ref="A38:A48"/>
    <mergeCell ref="C38:C48"/>
    <mergeCell ref="A49:A59"/>
    <mergeCell ref="C49:C59"/>
    <mergeCell ref="A60:A68"/>
    <mergeCell ref="C60:C68"/>
    <mergeCell ref="X1:X2"/>
    <mergeCell ref="Y1:Y2"/>
    <mergeCell ref="Z1:Z2"/>
    <mergeCell ref="U1:U2"/>
    <mergeCell ref="V1:V2"/>
    <mergeCell ref="W1:W2"/>
  </mergeCells>
  <conditionalFormatting sqref="T1 T3:T1048576">
    <cfRule type="cellIs" dxfId="28" priority="3" operator="equal">
      <formula>"ATENÇÃO"</formula>
    </cfRule>
  </conditionalFormatting>
  <conditionalFormatting sqref="AE4:AK81">
    <cfRule type="cellIs" dxfId="27" priority="1" operator="greaterThan">
      <formula>0</formula>
    </cfRule>
  </conditionalFormatting>
  <pageMargins left="0.511811024" right="0.511811024" top="0.78740157499999996" bottom="0.78740157499999996" header="0.31496062000000002" footer="0.31496062000000002"/>
  <pageSetup paperSize="9" scale="60" orientation="landscape" r:id="rId1"/>
  <colBreaks count="1" manualBreakCount="1">
    <brk id="24"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17</vt:i4>
      </vt:variant>
    </vt:vector>
  </HeadingPairs>
  <TitlesOfParts>
    <vt:vector size="17" baseType="lpstr">
      <vt:lpstr>REITORIA_SEMS(+BU)</vt:lpstr>
      <vt:lpstr>REITORIA_MUSEU</vt:lpstr>
      <vt:lpstr>CAV</vt:lpstr>
      <vt:lpstr>CCT</vt:lpstr>
      <vt:lpstr>CEAD</vt:lpstr>
      <vt:lpstr>CEART</vt:lpstr>
      <vt:lpstr>CEAVI</vt:lpstr>
      <vt:lpstr>CEFID</vt:lpstr>
      <vt:lpstr>CEO</vt:lpstr>
      <vt:lpstr>CEPLAN</vt:lpstr>
      <vt:lpstr>CERES</vt:lpstr>
      <vt:lpstr>CESFI</vt:lpstr>
      <vt:lpstr>CESMO</vt:lpstr>
      <vt:lpstr>ESAG</vt:lpstr>
      <vt:lpstr>FAED</vt:lpstr>
      <vt:lpstr>GESTOR</vt:lpstr>
      <vt:lpstr>(CARONA)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dc:creator>
  <cp:lastModifiedBy>LETÍCIA-SEGECON/FPOLIS</cp:lastModifiedBy>
  <cp:lastPrinted>2017-02-14T17:35:15Z</cp:lastPrinted>
  <dcterms:created xsi:type="dcterms:W3CDTF">2010-06-19T20:43:11Z</dcterms:created>
  <dcterms:modified xsi:type="dcterms:W3CDTF">2025-07-02T17:55:00Z</dcterms:modified>
</cp:coreProperties>
</file>