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EstaPasta_de_trabalho" defaultThemeVersion="124226"/>
  <mc:AlternateContent xmlns:mc="http://schemas.openxmlformats.org/markup-compatibility/2006">
    <mc:Choice Requires="x15">
      <x15ac:absPath xmlns:x15ac="http://schemas.microsoft.com/office/spreadsheetml/2010/11/ac" url="I:\SEGECON\2. Atas SRP\1. Atas UDESC\PE 0626.2025 SRP SGPE 6961.2025  - Medalhas, Troféus, Placas - VIG. 16.04.2026\"/>
    </mc:Choice>
  </mc:AlternateContent>
  <xr:revisionPtr revIDLastSave="0" documentId="13_ncr:1_{73B1C01F-5589-4F2C-B2EE-35753BE2F0E3}" xr6:coauthVersionLast="47" xr6:coauthVersionMax="47" xr10:uidLastSave="{00000000-0000-0000-0000-000000000000}"/>
  <bookViews>
    <workbookView xWindow="-110" yWindow="-110" windowWidth="19420" windowHeight="10420" tabRatio="859" activeTab="14" xr2:uid="{00000000-000D-0000-FFFF-FFFF00000000}"/>
  </bookViews>
  <sheets>
    <sheet name="REITORIA-PROEX" sheetId="161" r:id="rId1"/>
    <sheet name="ESAG" sheetId="195" r:id="rId2"/>
    <sheet name="CCT" sheetId="196" r:id="rId3"/>
    <sheet name="CAV" sheetId="197" r:id="rId4"/>
    <sheet name="CEO" sheetId="198" r:id="rId5"/>
    <sheet name="CESMO" sheetId="199" r:id="rId6"/>
    <sheet name="CEAD" sheetId="200" r:id="rId7"/>
    <sheet name="CEPLAN" sheetId="201" r:id="rId8"/>
    <sheet name="CEART" sheetId="202" r:id="rId9"/>
    <sheet name="CEAVI" sheetId="203" r:id="rId10"/>
    <sheet name="CERES" sheetId="204" r:id="rId11"/>
    <sheet name="CESFI" sheetId="205" r:id="rId12"/>
    <sheet name="FAED" sheetId="206" r:id="rId13"/>
    <sheet name="CEFID" sheetId="207" r:id="rId14"/>
    <sheet name="GESTOR" sheetId="162" r:id="rId15"/>
    <sheet name="(CARONA)" sheetId="208" r:id="rId16"/>
  </sheets>
  <definedNames>
    <definedName name="_xlnm._FilterDatabase" localSheetId="15" hidden="1">'(CARONA)'!$A$3:$AQ$22</definedName>
    <definedName name="_xlnm._FilterDatabase" localSheetId="0" hidden="1">'REITORIA-PROEX'!$A$3:$AN$22</definedName>
    <definedName name="diasuteis" localSheetId="3">#REF!</definedName>
    <definedName name="diasuteis" localSheetId="2">#REF!</definedName>
    <definedName name="diasuteis" localSheetId="6">#REF!</definedName>
    <definedName name="diasuteis" localSheetId="8">#REF!</definedName>
    <definedName name="diasuteis" localSheetId="9">#REF!</definedName>
    <definedName name="diasuteis" localSheetId="13">#REF!</definedName>
    <definedName name="diasuteis" localSheetId="4">#REF!</definedName>
    <definedName name="diasuteis" localSheetId="7">#REF!</definedName>
    <definedName name="diasuteis" localSheetId="10">#REF!</definedName>
    <definedName name="diasuteis" localSheetId="11">#REF!</definedName>
    <definedName name="diasuteis" localSheetId="5">#REF!</definedName>
    <definedName name="diasuteis" localSheetId="1">#REF!</definedName>
    <definedName name="diasuteis" localSheetId="12">#REF!</definedName>
    <definedName name="diasuteis" localSheetId="14">#REF!</definedName>
    <definedName name="diasuteis" localSheetId="0">#REF!</definedName>
    <definedName name="diasuteis">#REF!</definedName>
    <definedName name="Ferias" localSheetId="3">#REF!</definedName>
    <definedName name="Ferias" localSheetId="2">#REF!</definedName>
    <definedName name="Ferias" localSheetId="6">#REF!</definedName>
    <definedName name="Ferias" localSheetId="8">#REF!</definedName>
    <definedName name="Ferias" localSheetId="9">#REF!</definedName>
    <definedName name="Ferias" localSheetId="13">#REF!</definedName>
    <definedName name="Ferias" localSheetId="4">#REF!</definedName>
    <definedName name="Ferias" localSheetId="7">#REF!</definedName>
    <definedName name="Ferias" localSheetId="10">#REF!</definedName>
    <definedName name="Ferias" localSheetId="11">#REF!</definedName>
    <definedName name="Ferias" localSheetId="5">#REF!</definedName>
    <definedName name="Ferias" localSheetId="1">#REF!</definedName>
    <definedName name="Ferias" localSheetId="12">#REF!</definedName>
    <definedName name="Ferias" localSheetId="14">#REF!</definedName>
    <definedName name="Ferias" localSheetId="0">#REF!</definedName>
    <definedName name="Ferias">#REF!</definedName>
    <definedName name="RD" localSheetId="3">OFFSET(#REF!,(MATCH(SMALL(#REF!,ROW()-10),#REF!,0)-1),0)</definedName>
    <definedName name="RD" localSheetId="2">OFFSET(#REF!,(MATCH(SMALL(#REF!,ROW()-10),#REF!,0)-1),0)</definedName>
    <definedName name="RD" localSheetId="6">OFFSET(#REF!,(MATCH(SMALL(#REF!,ROW()-10),#REF!,0)-1),0)</definedName>
    <definedName name="RD" localSheetId="8">OFFSET(#REF!,(MATCH(SMALL(#REF!,ROW()-10),#REF!,0)-1),0)</definedName>
    <definedName name="RD" localSheetId="9">OFFSET(#REF!,(MATCH(SMALL(#REF!,ROW()-10),#REF!,0)-1),0)</definedName>
    <definedName name="RD" localSheetId="13">OFFSET(#REF!,(MATCH(SMALL(#REF!,ROW()-10),#REF!,0)-1),0)</definedName>
    <definedName name="RD" localSheetId="4">OFFSET(#REF!,(MATCH(SMALL(#REF!,ROW()-10),#REF!,0)-1),0)</definedName>
    <definedName name="RD" localSheetId="7">OFFSET(#REF!,(MATCH(SMALL(#REF!,ROW()-10),#REF!,0)-1),0)</definedName>
    <definedName name="RD" localSheetId="10">OFFSET(#REF!,(MATCH(SMALL(#REF!,ROW()-10),#REF!,0)-1),0)</definedName>
    <definedName name="RD" localSheetId="11">OFFSET(#REF!,(MATCH(SMALL(#REF!,ROW()-10),#REF!,0)-1),0)</definedName>
    <definedName name="RD" localSheetId="5">OFFSET(#REF!,(MATCH(SMALL(#REF!,ROW()-10),#REF!,0)-1),0)</definedName>
    <definedName name="RD" localSheetId="1">OFFSET(#REF!,(MATCH(SMALL(#REF!,ROW()-10),#REF!,0)-1),0)</definedName>
    <definedName name="RD" localSheetId="12">OFFSET(#REF!,(MATCH(SMALL(#REF!,ROW()-10),#REF!,0)-1),0)</definedName>
    <definedName name="RD" localSheetId="14">OFFSET(#REF!,(MATCH(SMALL(#REF!,ROW()-10),#REF!,0)-1),0)</definedName>
    <definedName name="RD" localSheetId="0">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1" i="202" l="1"/>
  <c r="X21" i="208"/>
  <c r="C24" i="208"/>
  <c r="C26" i="208" l="1"/>
  <c r="C25" i="208"/>
  <c r="AQ22" i="208"/>
  <c r="AP22" i="208"/>
  <c r="AO22" i="208"/>
  <c r="AN22" i="208"/>
  <c r="AM22" i="208"/>
  <c r="AL22" i="208"/>
  <c r="AK22" i="208"/>
  <c r="AJ22" i="208"/>
  <c r="AI22" i="208"/>
  <c r="AH22" i="208"/>
  <c r="AG22" i="208"/>
  <c r="AF22" i="208"/>
  <c r="AE22" i="208"/>
  <c r="AD22" i="208"/>
  <c r="AC22" i="208"/>
  <c r="AB22" i="208"/>
  <c r="AA22" i="208"/>
  <c r="Z22" i="208"/>
  <c r="Y22" i="208"/>
  <c r="T21" i="208"/>
  <c r="P21" i="208"/>
  <c r="M21" i="208"/>
  <c r="J21" i="208"/>
  <c r="G21" i="208"/>
  <c r="T20" i="208"/>
  <c r="P20" i="208"/>
  <c r="M20" i="208"/>
  <c r="J20" i="208"/>
  <c r="G20" i="208"/>
  <c r="T19" i="208"/>
  <c r="P19" i="208"/>
  <c r="M19" i="208"/>
  <c r="J19" i="208"/>
  <c r="G19" i="208"/>
  <c r="T18" i="208"/>
  <c r="P18" i="208"/>
  <c r="M18" i="208"/>
  <c r="J18" i="208"/>
  <c r="G18" i="208"/>
  <c r="T17" i="208"/>
  <c r="P17" i="208"/>
  <c r="M17" i="208"/>
  <c r="J17" i="208"/>
  <c r="G17" i="208"/>
  <c r="T16" i="208"/>
  <c r="P16" i="208"/>
  <c r="M16" i="208"/>
  <c r="J16" i="208"/>
  <c r="G16" i="208"/>
  <c r="T15" i="208"/>
  <c r="P15" i="208"/>
  <c r="M15" i="208"/>
  <c r="J15" i="208"/>
  <c r="G15" i="208"/>
  <c r="T14" i="208"/>
  <c r="P14" i="208"/>
  <c r="M14" i="208"/>
  <c r="J14" i="208"/>
  <c r="G14" i="208"/>
  <c r="T13" i="208"/>
  <c r="P13" i="208"/>
  <c r="M13" i="208"/>
  <c r="J13" i="208"/>
  <c r="G13" i="208"/>
  <c r="T12" i="208"/>
  <c r="P12" i="208"/>
  <c r="M12" i="208"/>
  <c r="J12" i="208"/>
  <c r="G12" i="208"/>
  <c r="T11" i="208"/>
  <c r="P11" i="208"/>
  <c r="M11" i="208"/>
  <c r="J11" i="208"/>
  <c r="G11" i="208"/>
  <c r="T10" i="208"/>
  <c r="P10" i="208"/>
  <c r="M10" i="208"/>
  <c r="J10" i="208"/>
  <c r="G10" i="208"/>
  <c r="T9" i="208"/>
  <c r="P9" i="208"/>
  <c r="M9" i="208"/>
  <c r="J9" i="208"/>
  <c r="G9" i="208"/>
  <c r="T8" i="208"/>
  <c r="P8" i="208"/>
  <c r="M8" i="208"/>
  <c r="J8" i="208"/>
  <c r="G8" i="208"/>
  <c r="T7" i="208"/>
  <c r="P7" i="208"/>
  <c r="M7" i="208"/>
  <c r="J7" i="208"/>
  <c r="G7" i="208"/>
  <c r="T6" i="208"/>
  <c r="P6" i="208"/>
  <c r="M6" i="208"/>
  <c r="J6" i="208"/>
  <c r="G6" i="208"/>
  <c r="T5" i="208"/>
  <c r="P5" i="208"/>
  <c r="M5" i="208"/>
  <c r="J5" i="208"/>
  <c r="G5" i="208"/>
  <c r="T4" i="208"/>
  <c r="P4" i="208"/>
  <c r="M4" i="208"/>
  <c r="J4" i="208"/>
  <c r="G4" i="208"/>
  <c r="X22" i="208" l="1"/>
  <c r="D28" i="208" s="1"/>
  <c r="K5" i="162" l="1"/>
  <c r="K6" i="162"/>
  <c r="K7" i="162"/>
  <c r="K8" i="162"/>
  <c r="K9" i="162"/>
  <c r="K10" i="162"/>
  <c r="K11" i="162"/>
  <c r="K12" i="162"/>
  <c r="K13" i="162"/>
  <c r="K14" i="162"/>
  <c r="K15" i="162"/>
  <c r="K16" i="162"/>
  <c r="K17" i="162"/>
  <c r="K18" i="162"/>
  <c r="K19" i="162"/>
  <c r="K20" i="162"/>
  <c r="K21" i="162"/>
  <c r="K4" i="162"/>
  <c r="K27" i="162" l="1"/>
  <c r="G5" i="162"/>
  <c r="G6" i="162"/>
  <c r="G7" i="162"/>
  <c r="G8" i="162"/>
  <c r="G9" i="162"/>
  <c r="G10" i="162"/>
  <c r="G11" i="162"/>
  <c r="G12" i="162"/>
  <c r="G13" i="162"/>
  <c r="G14" i="162"/>
  <c r="G15" i="162"/>
  <c r="G16" i="162"/>
  <c r="G17" i="162"/>
  <c r="G18" i="162"/>
  <c r="G19" i="162"/>
  <c r="G20" i="162"/>
  <c r="G21" i="162"/>
  <c r="G4" i="162"/>
  <c r="E4" i="208" s="1"/>
  <c r="H24" i="207"/>
  <c r="AN22" i="207"/>
  <c r="AM22" i="207"/>
  <c r="AL22" i="207"/>
  <c r="AK22" i="207"/>
  <c r="AJ22" i="207"/>
  <c r="AI22" i="207"/>
  <c r="AH22" i="207"/>
  <c r="AG22" i="207"/>
  <c r="AF22" i="207"/>
  <c r="AE22" i="207"/>
  <c r="AD22" i="207"/>
  <c r="AC22" i="207"/>
  <c r="AB22" i="207"/>
  <c r="AA22" i="207"/>
  <c r="Z22" i="207"/>
  <c r="Y22" i="207"/>
  <c r="X22" i="207"/>
  <c r="W22" i="207"/>
  <c r="V22" i="207"/>
  <c r="U22" i="207"/>
  <c r="T22" i="207"/>
  <c r="S22" i="207"/>
  <c r="H22" i="207"/>
  <c r="P21" i="207"/>
  <c r="Q21" i="207" s="1"/>
  <c r="L21" i="207"/>
  <c r="J21" i="207"/>
  <c r="I21" i="207"/>
  <c r="Q20" i="207"/>
  <c r="P20" i="207"/>
  <c r="L20" i="207"/>
  <c r="J20" i="207"/>
  <c r="I20" i="207"/>
  <c r="P19" i="207"/>
  <c r="Q19" i="207" s="1"/>
  <c r="L19" i="207"/>
  <c r="J19" i="207"/>
  <c r="I19" i="207"/>
  <c r="P18" i="207"/>
  <c r="Q18" i="207" s="1"/>
  <c r="L18" i="207"/>
  <c r="J18" i="207"/>
  <c r="I18" i="207"/>
  <c r="P17" i="207"/>
  <c r="Q17" i="207" s="1"/>
  <c r="L17" i="207"/>
  <c r="J17" i="207"/>
  <c r="I17" i="207"/>
  <c r="P16" i="207"/>
  <c r="Q16" i="207" s="1"/>
  <c r="L16" i="207"/>
  <c r="J16" i="207"/>
  <c r="I16" i="207"/>
  <c r="P15" i="207"/>
  <c r="Q15" i="207" s="1"/>
  <c r="L15" i="207"/>
  <c r="J15" i="207"/>
  <c r="I15" i="207"/>
  <c r="P14" i="207"/>
  <c r="Q14" i="207" s="1"/>
  <c r="L14" i="207"/>
  <c r="J14" i="207"/>
  <c r="I14" i="207"/>
  <c r="P13" i="207"/>
  <c r="Q13" i="207" s="1"/>
  <c r="L13" i="207"/>
  <c r="J13" i="207"/>
  <c r="I13" i="207"/>
  <c r="P12" i="207"/>
  <c r="Q12" i="207" s="1"/>
  <c r="L12" i="207"/>
  <c r="J12" i="207"/>
  <c r="I12" i="207"/>
  <c r="P11" i="207"/>
  <c r="Q11" i="207" s="1"/>
  <c r="L11" i="207"/>
  <c r="J11" i="207"/>
  <c r="I11" i="207"/>
  <c r="P10" i="207"/>
  <c r="Q10" i="207" s="1"/>
  <c r="L10" i="207"/>
  <c r="J10" i="207"/>
  <c r="I10" i="207"/>
  <c r="P9" i="207"/>
  <c r="Q9" i="207" s="1"/>
  <c r="L9" i="207"/>
  <c r="J9" i="207"/>
  <c r="I9" i="207"/>
  <c r="P8" i="207"/>
  <c r="Q8" i="207" s="1"/>
  <c r="L8" i="207"/>
  <c r="J8" i="207"/>
  <c r="I8" i="207"/>
  <c r="P7" i="207"/>
  <c r="Q7" i="207" s="1"/>
  <c r="L7" i="207"/>
  <c r="J7" i="207"/>
  <c r="I7" i="207"/>
  <c r="P6" i="207"/>
  <c r="Q6" i="207" s="1"/>
  <c r="L6" i="207"/>
  <c r="J6" i="207"/>
  <c r="I6" i="207"/>
  <c r="P5" i="207"/>
  <c r="Q5" i="207" s="1"/>
  <c r="L5" i="207"/>
  <c r="J5" i="207"/>
  <c r="I5" i="207"/>
  <c r="P4" i="207"/>
  <c r="Q4" i="207" s="1"/>
  <c r="L4" i="207"/>
  <c r="J4" i="207"/>
  <c r="I4" i="207"/>
  <c r="H24" i="206"/>
  <c r="AN22" i="206"/>
  <c r="AM22" i="206"/>
  <c r="AL22" i="206"/>
  <c r="AK22" i="206"/>
  <c r="AJ22" i="206"/>
  <c r="AI22" i="206"/>
  <c r="AH22" i="206"/>
  <c r="AG22" i="206"/>
  <c r="AF22" i="206"/>
  <c r="AE22" i="206"/>
  <c r="AD22" i="206"/>
  <c r="AC22" i="206"/>
  <c r="AB22" i="206"/>
  <c r="AA22" i="206"/>
  <c r="Z22" i="206"/>
  <c r="Y22" i="206"/>
  <c r="X22" i="206"/>
  <c r="W22" i="206"/>
  <c r="V22" i="206"/>
  <c r="U22" i="206"/>
  <c r="T22" i="206"/>
  <c r="S22" i="206"/>
  <c r="R22" i="206"/>
  <c r="H22" i="206"/>
  <c r="P21" i="206"/>
  <c r="Q21" i="206" s="1"/>
  <c r="L21" i="206"/>
  <c r="J21" i="206"/>
  <c r="I21" i="206"/>
  <c r="P20" i="206"/>
  <c r="Q20" i="206" s="1"/>
  <c r="L20" i="206"/>
  <c r="J20" i="206"/>
  <c r="I20" i="206"/>
  <c r="P19" i="206"/>
  <c r="Q19" i="206" s="1"/>
  <c r="L19" i="206"/>
  <c r="J19" i="206"/>
  <c r="I19" i="206"/>
  <c r="P18" i="206"/>
  <c r="Q18" i="206" s="1"/>
  <c r="L18" i="206"/>
  <c r="J18" i="206"/>
  <c r="I18" i="206"/>
  <c r="P17" i="206"/>
  <c r="Q17" i="206" s="1"/>
  <c r="L17" i="206"/>
  <c r="J17" i="206"/>
  <c r="I17" i="206"/>
  <c r="P16" i="206"/>
  <c r="Q16" i="206" s="1"/>
  <c r="L16" i="206"/>
  <c r="J16" i="206"/>
  <c r="I16" i="206"/>
  <c r="P15" i="206"/>
  <c r="Q15" i="206" s="1"/>
  <c r="L15" i="206"/>
  <c r="J15" i="206"/>
  <c r="I15" i="206"/>
  <c r="P14" i="206"/>
  <c r="Q14" i="206" s="1"/>
  <c r="L14" i="206"/>
  <c r="J14" i="206"/>
  <c r="I14" i="206"/>
  <c r="P13" i="206"/>
  <c r="Q13" i="206" s="1"/>
  <c r="L13" i="206"/>
  <c r="J13" i="206"/>
  <c r="I13" i="206"/>
  <c r="P12" i="206"/>
  <c r="Q12" i="206" s="1"/>
  <c r="L12" i="206"/>
  <c r="J12" i="206"/>
  <c r="I12" i="206"/>
  <c r="P11" i="206"/>
  <c r="Q11" i="206" s="1"/>
  <c r="L11" i="206"/>
  <c r="J11" i="206"/>
  <c r="I11" i="206"/>
  <c r="P10" i="206"/>
  <c r="Q10" i="206" s="1"/>
  <c r="L10" i="206"/>
  <c r="J10" i="206"/>
  <c r="I10" i="206"/>
  <c r="P9" i="206"/>
  <c r="Q9" i="206" s="1"/>
  <c r="L9" i="206"/>
  <c r="J9" i="206"/>
  <c r="I9" i="206"/>
  <c r="P8" i="206"/>
  <c r="Q8" i="206" s="1"/>
  <c r="L8" i="206"/>
  <c r="J8" i="206"/>
  <c r="I8" i="206"/>
  <c r="P7" i="206"/>
  <c r="Q7" i="206" s="1"/>
  <c r="L7" i="206"/>
  <c r="J7" i="206"/>
  <c r="I7" i="206"/>
  <c r="P6" i="206"/>
  <c r="Q6" i="206" s="1"/>
  <c r="L6" i="206"/>
  <c r="J6" i="206"/>
  <c r="I6" i="206"/>
  <c r="P5" i="206"/>
  <c r="Q5" i="206" s="1"/>
  <c r="L5" i="206"/>
  <c r="J5" i="206"/>
  <c r="I5" i="206"/>
  <c r="P4" i="206"/>
  <c r="L4" i="206"/>
  <c r="J4" i="206"/>
  <c r="J24" i="206" s="1"/>
  <c r="I4" i="206"/>
  <c r="H24" i="205"/>
  <c r="AN22" i="205"/>
  <c r="AM22" i="205"/>
  <c r="AL22" i="205"/>
  <c r="AK22" i="205"/>
  <c r="AJ22" i="205"/>
  <c r="AI22" i="205"/>
  <c r="AH22" i="205"/>
  <c r="AG22" i="205"/>
  <c r="AF22" i="205"/>
  <c r="AE22" i="205"/>
  <c r="AD22" i="205"/>
  <c r="AC22" i="205"/>
  <c r="AB22" i="205"/>
  <c r="AA22" i="205"/>
  <c r="Z22" i="205"/>
  <c r="Y22" i="205"/>
  <c r="X22" i="205"/>
  <c r="W22" i="205"/>
  <c r="V22" i="205"/>
  <c r="U22" i="205"/>
  <c r="T22" i="205"/>
  <c r="S22" i="205"/>
  <c r="R22" i="205"/>
  <c r="H22" i="205"/>
  <c r="P21" i="205"/>
  <c r="Q21" i="205" s="1"/>
  <c r="L21" i="205"/>
  <c r="J21" i="205"/>
  <c r="I21" i="205"/>
  <c r="P20" i="205"/>
  <c r="Q20" i="205" s="1"/>
  <c r="L20" i="205"/>
  <c r="J20" i="205"/>
  <c r="I20" i="205"/>
  <c r="P19" i="205"/>
  <c r="Q19" i="205" s="1"/>
  <c r="L19" i="205"/>
  <c r="J19" i="205"/>
  <c r="I19" i="205"/>
  <c r="P18" i="205"/>
  <c r="Q18" i="205" s="1"/>
  <c r="L18" i="205"/>
  <c r="J18" i="205"/>
  <c r="I18" i="205"/>
  <c r="P17" i="205"/>
  <c r="Q17" i="205" s="1"/>
  <c r="L17" i="205"/>
  <c r="J17" i="205"/>
  <c r="I17" i="205"/>
  <c r="P16" i="205"/>
  <c r="Q16" i="205" s="1"/>
  <c r="L16" i="205"/>
  <c r="J16" i="205"/>
  <c r="I16" i="205"/>
  <c r="P15" i="205"/>
  <c r="Q15" i="205" s="1"/>
  <c r="L15" i="205"/>
  <c r="J15" i="205"/>
  <c r="I15" i="205"/>
  <c r="Q14" i="205"/>
  <c r="P14" i="205"/>
  <c r="L14" i="205"/>
  <c r="J14" i="205"/>
  <c r="I14" i="205"/>
  <c r="P13" i="205"/>
  <c r="Q13" i="205" s="1"/>
  <c r="L13" i="205"/>
  <c r="J13" i="205"/>
  <c r="I13" i="205"/>
  <c r="P12" i="205"/>
  <c r="Q12" i="205" s="1"/>
  <c r="L12" i="205"/>
  <c r="J12" i="205"/>
  <c r="I12" i="205"/>
  <c r="P11" i="205"/>
  <c r="Q11" i="205" s="1"/>
  <c r="L11" i="205"/>
  <c r="J11" i="205"/>
  <c r="I11" i="205"/>
  <c r="P10" i="205"/>
  <c r="Q10" i="205" s="1"/>
  <c r="L10" i="205"/>
  <c r="J10" i="205"/>
  <c r="I10" i="205"/>
  <c r="P9" i="205"/>
  <c r="Q9" i="205" s="1"/>
  <c r="L9" i="205"/>
  <c r="J9" i="205"/>
  <c r="I9" i="205"/>
  <c r="P8" i="205"/>
  <c r="Q8" i="205" s="1"/>
  <c r="L8" i="205"/>
  <c r="J8" i="205"/>
  <c r="I8" i="205"/>
  <c r="P7" i="205"/>
  <c r="Q7" i="205" s="1"/>
  <c r="L7" i="205"/>
  <c r="J7" i="205"/>
  <c r="I7" i="205"/>
  <c r="P6" i="205"/>
  <c r="Q6" i="205" s="1"/>
  <c r="L6" i="205"/>
  <c r="J6" i="205"/>
  <c r="I6" i="205"/>
  <c r="P5" i="205"/>
  <c r="Q5" i="205" s="1"/>
  <c r="L5" i="205"/>
  <c r="J5" i="205"/>
  <c r="I5" i="205"/>
  <c r="P4" i="205"/>
  <c r="L4" i="205"/>
  <c r="J4" i="205"/>
  <c r="J24" i="205" s="1"/>
  <c r="I4" i="205"/>
  <c r="H24" i="204"/>
  <c r="AN22" i="204"/>
  <c r="AM22" i="204"/>
  <c r="AL22" i="204"/>
  <c r="AK22" i="204"/>
  <c r="AJ22" i="204"/>
  <c r="AI22" i="204"/>
  <c r="AH22" i="204"/>
  <c r="AG22" i="204"/>
  <c r="AF22" i="204"/>
  <c r="AE22" i="204"/>
  <c r="AD22" i="204"/>
  <c r="AC22" i="204"/>
  <c r="AB22" i="204"/>
  <c r="AA22" i="204"/>
  <c r="Z22" i="204"/>
  <c r="Y22" i="204"/>
  <c r="X22" i="204"/>
  <c r="W22" i="204"/>
  <c r="V22" i="204"/>
  <c r="U22" i="204"/>
  <c r="T22" i="204"/>
  <c r="S22" i="204"/>
  <c r="R22" i="204"/>
  <c r="H22" i="204"/>
  <c r="P21" i="204"/>
  <c r="Q21" i="204" s="1"/>
  <c r="L21" i="204"/>
  <c r="J21" i="204"/>
  <c r="I21" i="204"/>
  <c r="Q20" i="204"/>
  <c r="P20" i="204"/>
  <c r="L20" i="204"/>
  <c r="J20" i="204"/>
  <c r="I20" i="204"/>
  <c r="P19" i="204"/>
  <c r="Q19" i="204" s="1"/>
  <c r="L19" i="204"/>
  <c r="J19" i="204"/>
  <c r="I19" i="204"/>
  <c r="P18" i="204"/>
  <c r="Q18" i="204" s="1"/>
  <c r="L18" i="204"/>
  <c r="J18" i="204"/>
  <c r="I18" i="204"/>
  <c r="P17" i="204"/>
  <c r="Q17" i="204" s="1"/>
  <c r="L17" i="204"/>
  <c r="J17" i="204"/>
  <c r="I17" i="204"/>
  <c r="P16" i="204"/>
  <c r="Q16" i="204" s="1"/>
  <c r="L16" i="204"/>
  <c r="J16" i="204"/>
  <c r="I16" i="204"/>
  <c r="P15" i="204"/>
  <c r="Q15" i="204" s="1"/>
  <c r="L15" i="204"/>
  <c r="J15" i="204"/>
  <c r="I15" i="204"/>
  <c r="P14" i="204"/>
  <c r="Q14" i="204" s="1"/>
  <c r="L14" i="204"/>
  <c r="J14" i="204"/>
  <c r="I14" i="204"/>
  <c r="P13" i="204"/>
  <c r="Q13" i="204" s="1"/>
  <c r="L13" i="204"/>
  <c r="J13" i="204"/>
  <c r="I13" i="204"/>
  <c r="P12" i="204"/>
  <c r="Q12" i="204" s="1"/>
  <c r="L12" i="204"/>
  <c r="J12" i="204"/>
  <c r="I12" i="204"/>
  <c r="P11" i="204"/>
  <c r="Q11" i="204" s="1"/>
  <c r="L11" i="204"/>
  <c r="J11" i="204"/>
  <c r="I11" i="204"/>
  <c r="P10" i="204"/>
  <c r="Q10" i="204" s="1"/>
  <c r="L10" i="204"/>
  <c r="J10" i="204"/>
  <c r="I10" i="204"/>
  <c r="P9" i="204"/>
  <c r="Q9" i="204" s="1"/>
  <c r="L9" i="204"/>
  <c r="J9" i="204"/>
  <c r="I9" i="204"/>
  <c r="P8" i="204"/>
  <c r="Q8" i="204" s="1"/>
  <c r="L8" i="204"/>
  <c r="J8" i="204"/>
  <c r="I8" i="204"/>
  <c r="P7" i="204"/>
  <c r="Q7" i="204" s="1"/>
  <c r="L7" i="204"/>
  <c r="J7" i="204"/>
  <c r="I7" i="204"/>
  <c r="P6" i="204"/>
  <c r="Q6" i="204" s="1"/>
  <c r="L6" i="204"/>
  <c r="J6" i="204"/>
  <c r="I6" i="204"/>
  <c r="P5" i="204"/>
  <c r="Q5" i="204" s="1"/>
  <c r="L5" i="204"/>
  <c r="J5" i="204"/>
  <c r="I5" i="204"/>
  <c r="Q4" i="204"/>
  <c r="P4" i="204"/>
  <c r="L4" i="204"/>
  <c r="J4" i="204"/>
  <c r="J24" i="204" s="1"/>
  <c r="I4" i="204"/>
  <c r="H24" i="203"/>
  <c r="AN22" i="203"/>
  <c r="AM22" i="203"/>
  <c r="AL22" i="203"/>
  <c r="AK22" i="203"/>
  <c r="AJ22" i="203"/>
  <c r="AI22" i="203"/>
  <c r="AH22" i="203"/>
  <c r="AG22" i="203"/>
  <c r="AF22" i="203"/>
  <c r="AE22" i="203"/>
  <c r="AD22" i="203"/>
  <c r="AC22" i="203"/>
  <c r="AB22" i="203"/>
  <c r="AA22" i="203"/>
  <c r="Z22" i="203"/>
  <c r="Y22" i="203"/>
  <c r="X22" i="203"/>
  <c r="W22" i="203"/>
  <c r="V22" i="203"/>
  <c r="U22" i="203"/>
  <c r="T22" i="203"/>
  <c r="S22" i="203"/>
  <c r="H22" i="203"/>
  <c r="P21" i="203"/>
  <c r="Q21" i="203" s="1"/>
  <c r="L21" i="203"/>
  <c r="J21" i="203"/>
  <c r="I21" i="203"/>
  <c r="P20" i="203"/>
  <c r="Q20" i="203" s="1"/>
  <c r="L20" i="203"/>
  <c r="J20" i="203"/>
  <c r="I20" i="203"/>
  <c r="P19" i="203"/>
  <c r="Q19" i="203" s="1"/>
  <c r="L19" i="203"/>
  <c r="J19" i="203"/>
  <c r="I19" i="203"/>
  <c r="P18" i="203"/>
  <c r="Q18" i="203" s="1"/>
  <c r="L18" i="203"/>
  <c r="J18" i="203"/>
  <c r="I18" i="203"/>
  <c r="P17" i="203"/>
  <c r="Q17" i="203" s="1"/>
  <c r="L17" i="203"/>
  <c r="J17" i="203"/>
  <c r="I17" i="203"/>
  <c r="P16" i="203"/>
  <c r="Q16" i="203" s="1"/>
  <c r="L16" i="203"/>
  <c r="J16" i="203"/>
  <c r="I16" i="203"/>
  <c r="P15" i="203"/>
  <c r="Q15" i="203" s="1"/>
  <c r="L15" i="203"/>
  <c r="J15" i="203"/>
  <c r="I15" i="203"/>
  <c r="P14" i="203"/>
  <c r="Q14" i="203" s="1"/>
  <c r="L14" i="203"/>
  <c r="J14" i="203"/>
  <c r="I14" i="203"/>
  <c r="P13" i="203"/>
  <c r="Q13" i="203" s="1"/>
  <c r="L13" i="203"/>
  <c r="J13" i="203"/>
  <c r="I13" i="203"/>
  <c r="P12" i="203"/>
  <c r="Q12" i="203" s="1"/>
  <c r="L12" i="203"/>
  <c r="J12" i="203"/>
  <c r="I12" i="203"/>
  <c r="P11" i="203"/>
  <c r="Q11" i="203" s="1"/>
  <c r="L11" i="203"/>
  <c r="J11" i="203"/>
  <c r="I11" i="203"/>
  <c r="P10" i="203"/>
  <c r="Q10" i="203" s="1"/>
  <c r="L10" i="203"/>
  <c r="J10" i="203"/>
  <c r="I10" i="203"/>
  <c r="P9" i="203"/>
  <c r="Q9" i="203" s="1"/>
  <c r="L9" i="203"/>
  <c r="J9" i="203"/>
  <c r="I9" i="203"/>
  <c r="P8" i="203"/>
  <c r="Q8" i="203" s="1"/>
  <c r="L8" i="203"/>
  <c r="J8" i="203"/>
  <c r="I8" i="203"/>
  <c r="P7" i="203"/>
  <c r="Q7" i="203" s="1"/>
  <c r="L7" i="203"/>
  <c r="J7" i="203"/>
  <c r="I7" i="203"/>
  <c r="P6" i="203"/>
  <c r="Q6" i="203" s="1"/>
  <c r="L6" i="203"/>
  <c r="J6" i="203"/>
  <c r="I6" i="203"/>
  <c r="P5" i="203"/>
  <c r="Q5" i="203" s="1"/>
  <c r="L5" i="203"/>
  <c r="J5" i="203"/>
  <c r="I5" i="203"/>
  <c r="P4" i="203"/>
  <c r="Q4" i="203" s="1"/>
  <c r="L4" i="203"/>
  <c r="J4" i="203"/>
  <c r="J24" i="203" s="1"/>
  <c r="I4" i="203"/>
  <c r="H24" i="202"/>
  <c r="AN22" i="202"/>
  <c r="AM22" i="202"/>
  <c r="AL22" i="202"/>
  <c r="AK22" i="202"/>
  <c r="AJ22" i="202"/>
  <c r="AI22" i="202"/>
  <c r="AH22" i="202"/>
  <c r="AG22" i="202"/>
  <c r="AF22" i="202"/>
  <c r="AE22" i="202"/>
  <c r="AD22" i="202"/>
  <c r="AC22" i="202"/>
  <c r="AB22" i="202"/>
  <c r="AA22" i="202"/>
  <c r="Z22" i="202"/>
  <c r="Y22" i="202"/>
  <c r="X22" i="202"/>
  <c r="W22" i="202"/>
  <c r="V22" i="202"/>
  <c r="U22" i="202"/>
  <c r="T22" i="202"/>
  <c r="S22" i="202"/>
  <c r="H22" i="202"/>
  <c r="P21" i="202"/>
  <c r="Q21" i="202" s="1"/>
  <c r="L21" i="202"/>
  <c r="J21" i="202"/>
  <c r="I21" i="202"/>
  <c r="P20" i="202"/>
  <c r="Q20" i="202" s="1"/>
  <c r="L20" i="202"/>
  <c r="J20" i="202"/>
  <c r="I20" i="202"/>
  <c r="P19" i="202"/>
  <c r="Q19" i="202" s="1"/>
  <c r="L19" i="202"/>
  <c r="J19" i="202"/>
  <c r="I19" i="202"/>
  <c r="P18" i="202"/>
  <c r="Q18" i="202" s="1"/>
  <c r="L18" i="202"/>
  <c r="J18" i="202"/>
  <c r="I18" i="202"/>
  <c r="P17" i="202"/>
  <c r="Q17" i="202" s="1"/>
  <c r="L17" i="202"/>
  <c r="J17" i="202"/>
  <c r="I17" i="202"/>
  <c r="P16" i="202"/>
  <c r="Q16" i="202" s="1"/>
  <c r="L16" i="202"/>
  <c r="J16" i="202"/>
  <c r="I16" i="202"/>
  <c r="P15" i="202"/>
  <c r="Q15" i="202" s="1"/>
  <c r="L15" i="202"/>
  <c r="J15" i="202"/>
  <c r="I15" i="202"/>
  <c r="P14" i="202"/>
  <c r="Q14" i="202" s="1"/>
  <c r="L14" i="202"/>
  <c r="J14" i="202"/>
  <c r="I14" i="202"/>
  <c r="P13" i="202"/>
  <c r="Q13" i="202" s="1"/>
  <c r="L13" i="202"/>
  <c r="J13" i="202"/>
  <c r="I13" i="202"/>
  <c r="P12" i="202"/>
  <c r="Q12" i="202" s="1"/>
  <c r="L12" i="202"/>
  <c r="J12" i="202"/>
  <c r="I12" i="202"/>
  <c r="P11" i="202"/>
  <c r="Q11" i="202" s="1"/>
  <c r="L11" i="202"/>
  <c r="J11" i="202"/>
  <c r="I11" i="202"/>
  <c r="P10" i="202"/>
  <c r="Q10" i="202" s="1"/>
  <c r="L10" i="202"/>
  <c r="J10" i="202"/>
  <c r="I10" i="202"/>
  <c r="P9" i="202"/>
  <c r="Q9" i="202" s="1"/>
  <c r="L9" i="202"/>
  <c r="J9" i="202"/>
  <c r="I9" i="202"/>
  <c r="P8" i="202"/>
  <c r="Q8" i="202" s="1"/>
  <c r="L8" i="202"/>
  <c r="J8" i="202"/>
  <c r="I8" i="202"/>
  <c r="P7" i="202"/>
  <c r="Q7" i="202" s="1"/>
  <c r="L7" i="202"/>
  <c r="J7" i="202"/>
  <c r="I7" i="202"/>
  <c r="P6" i="202"/>
  <c r="Q6" i="202" s="1"/>
  <c r="L6" i="202"/>
  <c r="J6" i="202"/>
  <c r="I6" i="202"/>
  <c r="P5" i="202"/>
  <c r="Q5" i="202" s="1"/>
  <c r="L5" i="202"/>
  <c r="J5" i="202"/>
  <c r="I5" i="202"/>
  <c r="P4" i="202"/>
  <c r="Q4" i="202" s="1"/>
  <c r="L4" i="202"/>
  <c r="J4" i="202"/>
  <c r="J24" i="202" s="1"/>
  <c r="I4" i="202"/>
  <c r="H24" i="201"/>
  <c r="AN22" i="201"/>
  <c r="AM22" i="201"/>
  <c r="AL22" i="201"/>
  <c r="AK22" i="201"/>
  <c r="AJ22" i="201"/>
  <c r="AI22" i="201"/>
  <c r="AH22" i="201"/>
  <c r="AG22" i="201"/>
  <c r="AF22" i="201"/>
  <c r="AE22" i="201"/>
  <c r="AD22" i="201"/>
  <c r="AC22" i="201"/>
  <c r="AB22" i="201"/>
  <c r="AA22" i="201"/>
  <c r="Z22" i="201"/>
  <c r="Y22" i="201"/>
  <c r="X22" i="201"/>
  <c r="W22" i="201"/>
  <c r="V22" i="201"/>
  <c r="U22" i="201"/>
  <c r="H22" i="201"/>
  <c r="P21" i="201"/>
  <c r="Q21" i="201" s="1"/>
  <c r="L21" i="201"/>
  <c r="J21" i="201"/>
  <c r="I21" i="201"/>
  <c r="P20" i="201"/>
  <c r="Q20" i="201" s="1"/>
  <c r="L20" i="201"/>
  <c r="J20" i="201"/>
  <c r="I20" i="201"/>
  <c r="P19" i="201"/>
  <c r="Q19" i="201" s="1"/>
  <c r="L19" i="201"/>
  <c r="J19" i="201"/>
  <c r="I19" i="201"/>
  <c r="P18" i="201"/>
  <c r="Q18" i="201" s="1"/>
  <c r="L18" i="201"/>
  <c r="J18" i="201"/>
  <c r="I18" i="201"/>
  <c r="P17" i="201"/>
  <c r="Q17" i="201" s="1"/>
  <c r="L17" i="201"/>
  <c r="J17" i="201"/>
  <c r="I17" i="201"/>
  <c r="P16" i="201"/>
  <c r="Q16" i="201" s="1"/>
  <c r="L16" i="201"/>
  <c r="J16" i="201"/>
  <c r="I16" i="201"/>
  <c r="P15" i="201"/>
  <c r="Q15" i="201" s="1"/>
  <c r="L15" i="201"/>
  <c r="J15" i="201"/>
  <c r="I15" i="201"/>
  <c r="P14" i="201"/>
  <c r="Q14" i="201" s="1"/>
  <c r="L14" i="201"/>
  <c r="J14" i="201"/>
  <c r="I14" i="201"/>
  <c r="P13" i="201"/>
  <c r="Q13" i="201" s="1"/>
  <c r="L13" i="201"/>
  <c r="J13" i="201"/>
  <c r="I13" i="201"/>
  <c r="P12" i="201"/>
  <c r="Q12" i="201" s="1"/>
  <c r="L12" i="201"/>
  <c r="J12" i="201"/>
  <c r="I12" i="201"/>
  <c r="P11" i="201"/>
  <c r="Q11" i="201" s="1"/>
  <c r="L11" i="201"/>
  <c r="J11" i="201"/>
  <c r="I11" i="201"/>
  <c r="P10" i="201"/>
  <c r="Q10" i="201" s="1"/>
  <c r="L10" i="201"/>
  <c r="J10" i="201"/>
  <c r="I10" i="201"/>
  <c r="P9" i="201"/>
  <c r="Q9" i="201" s="1"/>
  <c r="L9" i="201"/>
  <c r="J9" i="201"/>
  <c r="I9" i="201"/>
  <c r="Q8" i="201"/>
  <c r="P8" i="201"/>
  <c r="L8" i="201"/>
  <c r="J8" i="201"/>
  <c r="I8" i="201"/>
  <c r="P7" i="201"/>
  <c r="Q7" i="201" s="1"/>
  <c r="L7" i="201"/>
  <c r="J7" i="201"/>
  <c r="I7" i="201"/>
  <c r="P6" i="201"/>
  <c r="Q6" i="201" s="1"/>
  <c r="L6" i="201"/>
  <c r="J6" i="201"/>
  <c r="I6" i="201"/>
  <c r="P5" i="201"/>
  <c r="Q5" i="201" s="1"/>
  <c r="L5" i="201"/>
  <c r="J5" i="201"/>
  <c r="I5" i="201"/>
  <c r="P4" i="201"/>
  <c r="L4" i="201"/>
  <c r="J4" i="201"/>
  <c r="I4" i="201"/>
  <c r="H24" i="200"/>
  <c r="AN22" i="200"/>
  <c r="AM22" i="200"/>
  <c r="AL22" i="200"/>
  <c r="AK22" i="200"/>
  <c r="AJ22" i="200"/>
  <c r="AI22" i="200"/>
  <c r="AH22" i="200"/>
  <c r="AG22" i="200"/>
  <c r="AF22" i="200"/>
  <c r="AE22" i="200"/>
  <c r="AD22" i="200"/>
  <c r="AC22" i="200"/>
  <c r="AB22" i="200"/>
  <c r="AA22" i="200"/>
  <c r="Z22" i="200"/>
  <c r="Y22" i="200"/>
  <c r="X22" i="200"/>
  <c r="W22" i="200"/>
  <c r="V22" i="200"/>
  <c r="U22" i="200"/>
  <c r="T22" i="200"/>
  <c r="S22" i="200"/>
  <c r="R22" i="200"/>
  <c r="H22" i="200"/>
  <c r="P21" i="200"/>
  <c r="Q21" i="200" s="1"/>
  <c r="L21" i="200"/>
  <c r="J21" i="200"/>
  <c r="I21" i="200"/>
  <c r="P20" i="200"/>
  <c r="Q20" i="200" s="1"/>
  <c r="L20" i="200"/>
  <c r="J20" i="200"/>
  <c r="I20" i="200"/>
  <c r="P19" i="200"/>
  <c r="Q19" i="200" s="1"/>
  <c r="L19" i="200"/>
  <c r="J19" i="200"/>
  <c r="I19" i="200"/>
  <c r="P18" i="200"/>
  <c r="Q18" i="200" s="1"/>
  <c r="L18" i="200"/>
  <c r="J18" i="200"/>
  <c r="I18" i="200"/>
  <c r="P17" i="200"/>
  <c r="Q17" i="200" s="1"/>
  <c r="L17" i="200"/>
  <c r="J17" i="200"/>
  <c r="I17" i="200"/>
  <c r="P16" i="200"/>
  <c r="Q16" i="200" s="1"/>
  <c r="L16" i="200"/>
  <c r="J16" i="200"/>
  <c r="I16" i="200"/>
  <c r="P15" i="200"/>
  <c r="Q15" i="200" s="1"/>
  <c r="L15" i="200"/>
  <c r="J15" i="200"/>
  <c r="I15" i="200"/>
  <c r="P14" i="200"/>
  <c r="Q14" i="200" s="1"/>
  <c r="L14" i="200"/>
  <c r="J14" i="200"/>
  <c r="I14" i="200"/>
  <c r="P13" i="200"/>
  <c r="Q13" i="200" s="1"/>
  <c r="L13" i="200"/>
  <c r="J13" i="200"/>
  <c r="I13" i="200"/>
  <c r="P12" i="200"/>
  <c r="Q12" i="200" s="1"/>
  <c r="L12" i="200"/>
  <c r="J12" i="200"/>
  <c r="I12" i="200"/>
  <c r="P11" i="200"/>
  <c r="Q11" i="200" s="1"/>
  <c r="L11" i="200"/>
  <c r="J11" i="200"/>
  <c r="I11" i="200"/>
  <c r="P10" i="200"/>
  <c r="Q10" i="200" s="1"/>
  <c r="L10" i="200"/>
  <c r="J10" i="200"/>
  <c r="I10" i="200"/>
  <c r="P9" i="200"/>
  <c r="Q9" i="200" s="1"/>
  <c r="L9" i="200"/>
  <c r="J9" i="200"/>
  <c r="I9" i="200"/>
  <c r="P8" i="200"/>
  <c r="Q8" i="200" s="1"/>
  <c r="L8" i="200"/>
  <c r="J8" i="200"/>
  <c r="I8" i="200"/>
  <c r="P7" i="200"/>
  <c r="Q7" i="200" s="1"/>
  <c r="L7" i="200"/>
  <c r="J7" i="200"/>
  <c r="I7" i="200"/>
  <c r="P6" i="200"/>
  <c r="Q6" i="200" s="1"/>
  <c r="L6" i="200"/>
  <c r="J6" i="200"/>
  <c r="I6" i="200"/>
  <c r="P5" i="200"/>
  <c r="Q5" i="200" s="1"/>
  <c r="L5" i="200"/>
  <c r="J5" i="200"/>
  <c r="I5" i="200"/>
  <c r="P4" i="200"/>
  <c r="L4" i="200"/>
  <c r="J4" i="200"/>
  <c r="J24" i="200" s="1"/>
  <c r="I4" i="200"/>
  <c r="H24" i="199"/>
  <c r="AN22" i="199"/>
  <c r="AM22" i="199"/>
  <c r="AL22" i="199"/>
  <c r="AK22" i="199"/>
  <c r="AJ22" i="199"/>
  <c r="AI22" i="199"/>
  <c r="AH22" i="199"/>
  <c r="AG22" i="199"/>
  <c r="AF22" i="199"/>
  <c r="AE22" i="199"/>
  <c r="AD22" i="199"/>
  <c r="AC22" i="199"/>
  <c r="AB22" i="199"/>
  <c r="AA22" i="199"/>
  <c r="Z22" i="199"/>
  <c r="Y22" i="199"/>
  <c r="X22" i="199"/>
  <c r="W22" i="199"/>
  <c r="V22" i="199"/>
  <c r="U22" i="199"/>
  <c r="T22" i="199"/>
  <c r="S22" i="199"/>
  <c r="R22" i="199"/>
  <c r="H22" i="199"/>
  <c r="P21" i="199"/>
  <c r="Q21" i="199" s="1"/>
  <c r="L21" i="199"/>
  <c r="J21" i="199"/>
  <c r="I21" i="199"/>
  <c r="P20" i="199"/>
  <c r="Q20" i="199" s="1"/>
  <c r="L20" i="199"/>
  <c r="J20" i="199"/>
  <c r="I20" i="199"/>
  <c r="P19" i="199"/>
  <c r="Q19" i="199" s="1"/>
  <c r="L19" i="199"/>
  <c r="J19" i="199"/>
  <c r="I19" i="199"/>
  <c r="P18" i="199"/>
  <c r="Q18" i="199" s="1"/>
  <c r="L18" i="199"/>
  <c r="J18" i="199"/>
  <c r="I18" i="199"/>
  <c r="P17" i="199"/>
  <c r="Q17" i="199" s="1"/>
  <c r="L17" i="199"/>
  <c r="J17" i="199"/>
  <c r="I17" i="199"/>
  <c r="P16" i="199"/>
  <c r="Q16" i="199" s="1"/>
  <c r="L16" i="199"/>
  <c r="J16" i="199"/>
  <c r="I16" i="199"/>
  <c r="P15" i="199"/>
  <c r="Q15" i="199" s="1"/>
  <c r="L15" i="199"/>
  <c r="J15" i="199"/>
  <c r="I15" i="199"/>
  <c r="P14" i="199"/>
  <c r="Q14" i="199" s="1"/>
  <c r="L14" i="199"/>
  <c r="J14" i="199"/>
  <c r="I14" i="199"/>
  <c r="P13" i="199"/>
  <c r="Q13" i="199" s="1"/>
  <c r="L13" i="199"/>
  <c r="J13" i="199"/>
  <c r="I13" i="199"/>
  <c r="P12" i="199"/>
  <c r="Q12" i="199" s="1"/>
  <c r="L12" i="199"/>
  <c r="J12" i="199"/>
  <c r="I12" i="199"/>
  <c r="P11" i="199"/>
  <c r="Q11" i="199" s="1"/>
  <c r="L11" i="199"/>
  <c r="J11" i="199"/>
  <c r="I11" i="199"/>
  <c r="P10" i="199"/>
  <c r="Q10" i="199" s="1"/>
  <c r="L10" i="199"/>
  <c r="J10" i="199"/>
  <c r="I10" i="199"/>
  <c r="P9" i="199"/>
  <c r="Q9" i="199" s="1"/>
  <c r="L9" i="199"/>
  <c r="J9" i="199"/>
  <c r="I9" i="199"/>
  <c r="P8" i="199"/>
  <c r="Q8" i="199" s="1"/>
  <c r="L8" i="199"/>
  <c r="J8" i="199"/>
  <c r="I8" i="199"/>
  <c r="P7" i="199"/>
  <c r="Q7" i="199" s="1"/>
  <c r="L7" i="199"/>
  <c r="J7" i="199"/>
  <c r="I7" i="199"/>
  <c r="P6" i="199"/>
  <c r="Q6" i="199" s="1"/>
  <c r="L6" i="199"/>
  <c r="J6" i="199"/>
  <c r="I6" i="199"/>
  <c r="P5" i="199"/>
  <c r="Q5" i="199" s="1"/>
  <c r="L5" i="199"/>
  <c r="J5" i="199"/>
  <c r="I5" i="199"/>
  <c r="P4" i="199"/>
  <c r="Q4" i="199" s="1"/>
  <c r="L4" i="199"/>
  <c r="J4" i="199"/>
  <c r="J24" i="199" s="1"/>
  <c r="I4" i="199"/>
  <c r="H24" i="198"/>
  <c r="AN22" i="198"/>
  <c r="AM22" i="198"/>
  <c r="AL22" i="198"/>
  <c r="AK22" i="198"/>
  <c r="AJ22" i="198"/>
  <c r="AI22" i="198"/>
  <c r="AH22" i="198"/>
  <c r="AG22" i="198"/>
  <c r="AF22" i="198"/>
  <c r="AE22" i="198"/>
  <c r="AD22" i="198"/>
  <c r="AC22" i="198"/>
  <c r="AB22" i="198"/>
  <c r="AA22" i="198"/>
  <c r="Z22" i="198"/>
  <c r="Y22" i="198"/>
  <c r="X22" i="198"/>
  <c r="W22" i="198"/>
  <c r="V22" i="198"/>
  <c r="U22" i="198"/>
  <c r="T22" i="198"/>
  <c r="S22" i="198"/>
  <c r="H22" i="198"/>
  <c r="P21" i="198"/>
  <c r="Q21" i="198" s="1"/>
  <c r="L21" i="198"/>
  <c r="J21" i="198"/>
  <c r="I21" i="198"/>
  <c r="P20" i="198"/>
  <c r="Q20" i="198" s="1"/>
  <c r="L20" i="198"/>
  <c r="J20" i="198"/>
  <c r="I20" i="198"/>
  <c r="P19" i="198"/>
  <c r="Q19" i="198" s="1"/>
  <c r="L19" i="198"/>
  <c r="J19" i="198"/>
  <c r="I19" i="198"/>
  <c r="P18" i="198"/>
  <c r="Q18" i="198" s="1"/>
  <c r="L18" i="198"/>
  <c r="J18" i="198"/>
  <c r="I18" i="198"/>
  <c r="P17" i="198"/>
  <c r="Q17" i="198" s="1"/>
  <c r="L17" i="198"/>
  <c r="J17" i="198"/>
  <c r="I17" i="198"/>
  <c r="P16" i="198"/>
  <c r="Q16" i="198" s="1"/>
  <c r="L16" i="198"/>
  <c r="J16" i="198"/>
  <c r="I16" i="198"/>
  <c r="P15" i="198"/>
  <c r="Q15" i="198" s="1"/>
  <c r="L15" i="198"/>
  <c r="J15" i="198"/>
  <c r="I15" i="198"/>
  <c r="P14" i="198"/>
  <c r="Q14" i="198" s="1"/>
  <c r="L14" i="198"/>
  <c r="J14" i="198"/>
  <c r="I14" i="198"/>
  <c r="P13" i="198"/>
  <c r="Q13" i="198" s="1"/>
  <c r="L13" i="198"/>
  <c r="J13" i="198"/>
  <c r="I13" i="198"/>
  <c r="P12" i="198"/>
  <c r="Q12" i="198" s="1"/>
  <c r="L12" i="198"/>
  <c r="J12" i="198"/>
  <c r="I12" i="198"/>
  <c r="P11" i="198"/>
  <c r="Q11" i="198" s="1"/>
  <c r="L11" i="198"/>
  <c r="J11" i="198"/>
  <c r="I11" i="198"/>
  <c r="P10" i="198"/>
  <c r="Q10" i="198" s="1"/>
  <c r="L10" i="198"/>
  <c r="J10" i="198"/>
  <c r="I10" i="198"/>
  <c r="P9" i="198"/>
  <c r="Q9" i="198" s="1"/>
  <c r="L9" i="198"/>
  <c r="J9" i="198"/>
  <c r="I9" i="198"/>
  <c r="P8" i="198"/>
  <c r="Q8" i="198" s="1"/>
  <c r="L8" i="198"/>
  <c r="J8" i="198"/>
  <c r="I8" i="198"/>
  <c r="P7" i="198"/>
  <c r="Q7" i="198" s="1"/>
  <c r="L7" i="198"/>
  <c r="J7" i="198"/>
  <c r="I7" i="198"/>
  <c r="P6" i="198"/>
  <c r="Q6" i="198" s="1"/>
  <c r="L6" i="198"/>
  <c r="J6" i="198"/>
  <c r="I6" i="198"/>
  <c r="P5" i="198"/>
  <c r="Q5" i="198" s="1"/>
  <c r="L5" i="198"/>
  <c r="J5" i="198"/>
  <c r="I5" i="198"/>
  <c r="P4" i="198"/>
  <c r="Q4" i="198" s="1"/>
  <c r="L4" i="198"/>
  <c r="J4" i="198"/>
  <c r="J24" i="198" s="1"/>
  <c r="I4" i="198"/>
  <c r="H24" i="197"/>
  <c r="AN22" i="197"/>
  <c r="AM22" i="197"/>
  <c r="AL22" i="197"/>
  <c r="AK22" i="197"/>
  <c r="AJ22" i="197"/>
  <c r="AI22" i="197"/>
  <c r="AH22" i="197"/>
  <c r="AG22" i="197"/>
  <c r="AF22" i="197"/>
  <c r="AE22" i="197"/>
  <c r="AD22" i="197"/>
  <c r="AC22" i="197"/>
  <c r="AB22" i="197"/>
  <c r="AA22" i="197"/>
  <c r="Z22" i="197"/>
  <c r="Y22" i="197"/>
  <c r="X22" i="197"/>
  <c r="W22" i="197"/>
  <c r="V22" i="197"/>
  <c r="U22" i="197"/>
  <c r="T22" i="197"/>
  <c r="S22" i="197"/>
  <c r="R22" i="197"/>
  <c r="H22" i="197"/>
  <c r="P21" i="197"/>
  <c r="Q21" i="197" s="1"/>
  <c r="L21" i="197"/>
  <c r="J21" i="197"/>
  <c r="I21" i="197"/>
  <c r="P20" i="197"/>
  <c r="Q20" i="197" s="1"/>
  <c r="L20" i="197"/>
  <c r="J20" i="197"/>
  <c r="I20" i="197"/>
  <c r="P19" i="197"/>
  <c r="Q19" i="197" s="1"/>
  <c r="L19" i="197"/>
  <c r="J19" i="197"/>
  <c r="I19" i="197"/>
  <c r="P18" i="197"/>
  <c r="Q18" i="197" s="1"/>
  <c r="L18" i="197"/>
  <c r="J18" i="197"/>
  <c r="I18" i="197"/>
  <c r="P17" i="197"/>
  <c r="Q17" i="197" s="1"/>
  <c r="L17" i="197"/>
  <c r="J17" i="197"/>
  <c r="I17" i="197"/>
  <c r="P16" i="197"/>
  <c r="Q16" i="197" s="1"/>
  <c r="L16" i="197"/>
  <c r="J16" i="197"/>
  <c r="I16" i="197"/>
  <c r="P15" i="197"/>
  <c r="Q15" i="197" s="1"/>
  <c r="L15" i="197"/>
  <c r="J15" i="197"/>
  <c r="I15" i="197"/>
  <c r="P14" i="197"/>
  <c r="Q14" i="197" s="1"/>
  <c r="L14" i="197"/>
  <c r="J14" i="197"/>
  <c r="I14" i="197"/>
  <c r="P13" i="197"/>
  <c r="Q13" i="197" s="1"/>
  <c r="L13" i="197"/>
  <c r="J13" i="197"/>
  <c r="I13" i="197"/>
  <c r="P12" i="197"/>
  <c r="Q12" i="197" s="1"/>
  <c r="L12" i="197"/>
  <c r="J12" i="197"/>
  <c r="I12" i="197"/>
  <c r="P11" i="197"/>
  <c r="Q11" i="197" s="1"/>
  <c r="L11" i="197"/>
  <c r="J11" i="197"/>
  <c r="I11" i="197"/>
  <c r="P10" i="197"/>
  <c r="Q10" i="197" s="1"/>
  <c r="L10" i="197"/>
  <c r="J10" i="197"/>
  <c r="I10" i="197"/>
  <c r="P9" i="197"/>
  <c r="Q9" i="197" s="1"/>
  <c r="L9" i="197"/>
  <c r="J9" i="197"/>
  <c r="I9" i="197"/>
  <c r="P8" i="197"/>
  <c r="Q8" i="197" s="1"/>
  <c r="L8" i="197"/>
  <c r="J8" i="197"/>
  <c r="I8" i="197"/>
  <c r="P7" i="197"/>
  <c r="Q7" i="197" s="1"/>
  <c r="L7" i="197"/>
  <c r="J7" i="197"/>
  <c r="I7" i="197"/>
  <c r="P6" i="197"/>
  <c r="Q6" i="197" s="1"/>
  <c r="L6" i="197"/>
  <c r="J6" i="197"/>
  <c r="I6" i="197"/>
  <c r="P5" i="197"/>
  <c r="Q5" i="197" s="1"/>
  <c r="L5" i="197"/>
  <c r="J5" i="197"/>
  <c r="I5" i="197"/>
  <c r="P4" i="197"/>
  <c r="L4" i="197"/>
  <c r="J4" i="197"/>
  <c r="J24" i="197" s="1"/>
  <c r="I4" i="197"/>
  <c r="H24" i="196"/>
  <c r="AN22" i="196"/>
  <c r="AM22" i="196"/>
  <c r="AL22" i="196"/>
  <c r="AK22" i="196"/>
  <c r="AJ22" i="196"/>
  <c r="AI22" i="196"/>
  <c r="AH22" i="196"/>
  <c r="AG22" i="196"/>
  <c r="AF22" i="196"/>
  <c r="AE22" i="196"/>
  <c r="AD22" i="196"/>
  <c r="AC22" i="196"/>
  <c r="AB22" i="196"/>
  <c r="AA22" i="196"/>
  <c r="Z22" i="196"/>
  <c r="Y22" i="196"/>
  <c r="X22" i="196"/>
  <c r="W22" i="196"/>
  <c r="V22" i="196"/>
  <c r="U22" i="196"/>
  <c r="T22" i="196"/>
  <c r="S22" i="196"/>
  <c r="H22" i="196"/>
  <c r="P21" i="196"/>
  <c r="Q21" i="196" s="1"/>
  <c r="L21" i="196"/>
  <c r="J21" i="196"/>
  <c r="I21" i="196"/>
  <c r="P20" i="196"/>
  <c r="Q20" i="196" s="1"/>
  <c r="L20" i="196"/>
  <c r="J20" i="196"/>
  <c r="I20" i="196"/>
  <c r="P19" i="196"/>
  <c r="Q19" i="196" s="1"/>
  <c r="L19" i="196"/>
  <c r="J19" i="196"/>
  <c r="I19" i="196"/>
  <c r="P18" i="196"/>
  <c r="Q18" i="196" s="1"/>
  <c r="L18" i="196"/>
  <c r="J18" i="196"/>
  <c r="I18" i="196"/>
  <c r="P17" i="196"/>
  <c r="Q17" i="196" s="1"/>
  <c r="L17" i="196"/>
  <c r="J17" i="196"/>
  <c r="I17" i="196"/>
  <c r="P16" i="196"/>
  <c r="Q16" i="196" s="1"/>
  <c r="L16" i="196"/>
  <c r="J16" i="196"/>
  <c r="I16" i="196"/>
  <c r="P15" i="196"/>
  <c r="Q15" i="196" s="1"/>
  <c r="L15" i="196"/>
  <c r="J15" i="196"/>
  <c r="I15" i="196"/>
  <c r="P14" i="196"/>
  <c r="Q14" i="196" s="1"/>
  <c r="L14" i="196"/>
  <c r="J14" i="196"/>
  <c r="I14" i="196"/>
  <c r="P13" i="196"/>
  <c r="Q13" i="196" s="1"/>
  <c r="L13" i="196"/>
  <c r="J13" i="196"/>
  <c r="I13" i="196"/>
  <c r="P12" i="196"/>
  <c r="Q12" i="196" s="1"/>
  <c r="L12" i="196"/>
  <c r="J12" i="196"/>
  <c r="I12" i="196"/>
  <c r="P11" i="196"/>
  <c r="Q11" i="196" s="1"/>
  <c r="L11" i="196"/>
  <c r="J11" i="196"/>
  <c r="I11" i="196"/>
  <c r="P10" i="196"/>
  <c r="Q10" i="196" s="1"/>
  <c r="L10" i="196"/>
  <c r="J10" i="196"/>
  <c r="I10" i="196"/>
  <c r="P9" i="196"/>
  <c r="Q9" i="196" s="1"/>
  <c r="L9" i="196"/>
  <c r="J9" i="196"/>
  <c r="I9" i="196"/>
  <c r="P8" i="196"/>
  <c r="Q8" i="196" s="1"/>
  <c r="L8" i="196"/>
  <c r="J8" i="196"/>
  <c r="I8" i="196"/>
  <c r="P7" i="196"/>
  <c r="Q7" i="196" s="1"/>
  <c r="L7" i="196"/>
  <c r="J7" i="196"/>
  <c r="I7" i="196"/>
  <c r="P6" i="196"/>
  <c r="Q6" i="196" s="1"/>
  <c r="L6" i="196"/>
  <c r="J6" i="196"/>
  <c r="I6" i="196"/>
  <c r="P5" i="196"/>
  <c r="Q5" i="196" s="1"/>
  <c r="L5" i="196"/>
  <c r="J5" i="196"/>
  <c r="I5" i="196"/>
  <c r="P4" i="196"/>
  <c r="L4" i="196"/>
  <c r="J4" i="196"/>
  <c r="J24" i="196" s="1"/>
  <c r="I4" i="196"/>
  <c r="H24" i="195"/>
  <c r="AN22" i="195"/>
  <c r="AM22" i="195"/>
  <c r="AL22" i="195"/>
  <c r="AK22" i="195"/>
  <c r="AJ22" i="195"/>
  <c r="AI22" i="195"/>
  <c r="AH22" i="195"/>
  <c r="AG22" i="195"/>
  <c r="AF22" i="195"/>
  <c r="AE22" i="195"/>
  <c r="AD22" i="195"/>
  <c r="AC22" i="195"/>
  <c r="AB22" i="195"/>
  <c r="AA22" i="195"/>
  <c r="Z22" i="195"/>
  <c r="Y22" i="195"/>
  <c r="X22" i="195"/>
  <c r="W22" i="195"/>
  <c r="V22" i="195"/>
  <c r="U22" i="195"/>
  <c r="T22" i="195"/>
  <c r="S22" i="195"/>
  <c r="R22" i="195"/>
  <c r="H22" i="195"/>
  <c r="P21" i="195"/>
  <c r="Q21" i="195" s="1"/>
  <c r="L21" i="195"/>
  <c r="J21" i="195"/>
  <c r="I21" i="195"/>
  <c r="P20" i="195"/>
  <c r="Q20" i="195" s="1"/>
  <c r="L20" i="195"/>
  <c r="J20" i="195"/>
  <c r="I20" i="195"/>
  <c r="P19" i="195"/>
  <c r="Q19" i="195" s="1"/>
  <c r="L19" i="195"/>
  <c r="J19" i="195"/>
  <c r="I19" i="195"/>
  <c r="P18" i="195"/>
  <c r="Q18" i="195" s="1"/>
  <c r="L18" i="195"/>
  <c r="J18" i="195"/>
  <c r="I18" i="195"/>
  <c r="P17" i="195"/>
  <c r="Q17" i="195" s="1"/>
  <c r="L17" i="195"/>
  <c r="J17" i="195"/>
  <c r="I17" i="195"/>
  <c r="P16" i="195"/>
  <c r="Q16" i="195" s="1"/>
  <c r="L16" i="195"/>
  <c r="J16" i="195"/>
  <c r="I16" i="195"/>
  <c r="P15" i="195"/>
  <c r="Q15" i="195" s="1"/>
  <c r="L15" i="195"/>
  <c r="J15" i="195"/>
  <c r="I15" i="195"/>
  <c r="P14" i="195"/>
  <c r="Q14" i="195" s="1"/>
  <c r="L14" i="195"/>
  <c r="J14" i="195"/>
  <c r="I14" i="195"/>
  <c r="P13" i="195"/>
  <c r="Q13" i="195" s="1"/>
  <c r="L13" i="195"/>
  <c r="J13" i="195"/>
  <c r="I13" i="195"/>
  <c r="P12" i="195"/>
  <c r="Q12" i="195" s="1"/>
  <c r="L12" i="195"/>
  <c r="J12" i="195"/>
  <c r="I12" i="195"/>
  <c r="P11" i="195"/>
  <c r="Q11" i="195" s="1"/>
  <c r="L11" i="195"/>
  <c r="J11" i="195"/>
  <c r="I11" i="195"/>
  <c r="P10" i="195"/>
  <c r="Q10" i="195" s="1"/>
  <c r="L10" i="195"/>
  <c r="J10" i="195"/>
  <c r="I10" i="195"/>
  <c r="P9" i="195"/>
  <c r="Q9" i="195" s="1"/>
  <c r="L9" i="195"/>
  <c r="J9" i="195"/>
  <c r="I9" i="195"/>
  <c r="P8" i="195"/>
  <c r="Q8" i="195" s="1"/>
  <c r="L8" i="195"/>
  <c r="J8" i="195"/>
  <c r="I8" i="195"/>
  <c r="P7" i="195"/>
  <c r="Q7" i="195" s="1"/>
  <c r="L7" i="195"/>
  <c r="J7" i="195"/>
  <c r="I7" i="195"/>
  <c r="P6" i="195"/>
  <c r="Q6" i="195" s="1"/>
  <c r="L6" i="195"/>
  <c r="J6" i="195"/>
  <c r="I6" i="195"/>
  <c r="P5" i="195"/>
  <c r="Q5" i="195" s="1"/>
  <c r="L5" i="195"/>
  <c r="J5" i="195"/>
  <c r="I5" i="195"/>
  <c r="P4" i="195"/>
  <c r="Q4" i="195" s="1"/>
  <c r="L4" i="195"/>
  <c r="J4" i="195"/>
  <c r="J24" i="195" s="1"/>
  <c r="I4" i="195"/>
  <c r="R22" i="161"/>
  <c r="P15" i="161"/>
  <c r="Q15" i="161" s="1"/>
  <c r="P16" i="161"/>
  <c r="Q16" i="161" s="1"/>
  <c r="P17" i="161"/>
  <c r="Q17" i="161" s="1"/>
  <c r="P18" i="161"/>
  <c r="Q18" i="161" s="1"/>
  <c r="L15" i="161"/>
  <c r="L16" i="161"/>
  <c r="L17" i="161"/>
  <c r="L18" i="161"/>
  <c r="J15" i="161"/>
  <c r="J16" i="161"/>
  <c r="J17" i="161"/>
  <c r="J18" i="161"/>
  <c r="I15" i="161"/>
  <c r="H15" i="162" s="1"/>
  <c r="I16" i="161"/>
  <c r="H16" i="162" s="1"/>
  <c r="I17" i="161"/>
  <c r="H17" i="162" s="1"/>
  <c r="I18" i="161"/>
  <c r="H18" i="162" s="1"/>
  <c r="I18" i="162" l="1"/>
  <c r="L18" i="162" s="1"/>
  <c r="J24" i="201"/>
  <c r="J24" i="207"/>
  <c r="I17" i="162"/>
  <c r="L17" i="162" s="1"/>
  <c r="I16" i="162"/>
  <c r="L16" i="162" s="1"/>
  <c r="I15" i="162"/>
  <c r="L15" i="162" s="1"/>
  <c r="J18" i="162"/>
  <c r="E18" i="208"/>
  <c r="J10" i="162"/>
  <c r="E10" i="208"/>
  <c r="J17" i="162"/>
  <c r="E17" i="208"/>
  <c r="J9" i="162"/>
  <c r="E9" i="208"/>
  <c r="J16" i="162"/>
  <c r="E16" i="208"/>
  <c r="J8" i="162"/>
  <c r="E8" i="208"/>
  <c r="J11" i="162"/>
  <c r="E11" i="208"/>
  <c r="J15" i="162"/>
  <c r="E15" i="208"/>
  <c r="J7" i="162"/>
  <c r="E7" i="208"/>
  <c r="J19" i="162"/>
  <c r="E19" i="208"/>
  <c r="W4" i="208"/>
  <c r="R4" i="208"/>
  <c r="U4" i="208" s="1"/>
  <c r="I4" i="208" s="1"/>
  <c r="K4" i="208" s="1"/>
  <c r="J14" i="162"/>
  <c r="E14" i="208"/>
  <c r="J6" i="162"/>
  <c r="E6" i="208"/>
  <c r="J21" i="162"/>
  <c r="E21" i="208"/>
  <c r="J13" i="162"/>
  <c r="E13" i="208"/>
  <c r="J5" i="162"/>
  <c r="E5" i="208"/>
  <c r="J20" i="162"/>
  <c r="E20" i="208"/>
  <c r="J12" i="162"/>
  <c r="E12" i="208"/>
  <c r="P22" i="207"/>
  <c r="I24" i="207"/>
  <c r="P22" i="206"/>
  <c r="Q4" i="206"/>
  <c r="I24" i="206"/>
  <c r="I24" i="205"/>
  <c r="P22" i="205"/>
  <c r="Q4" i="205"/>
  <c r="P22" i="204"/>
  <c r="I24" i="204"/>
  <c r="I24" i="203"/>
  <c r="P22" i="203"/>
  <c r="I24" i="202"/>
  <c r="P22" i="202"/>
  <c r="P22" i="201"/>
  <c r="I24" i="201"/>
  <c r="Q4" i="201"/>
  <c r="I24" i="200"/>
  <c r="P22" i="200"/>
  <c r="Q4" i="200"/>
  <c r="I24" i="199"/>
  <c r="P22" i="199"/>
  <c r="I24" i="198"/>
  <c r="P22" i="198"/>
  <c r="P22" i="197"/>
  <c r="Q4" i="197"/>
  <c r="I24" i="197"/>
  <c r="I24" i="196"/>
  <c r="P22" i="196"/>
  <c r="Q4" i="196"/>
  <c r="I24" i="195"/>
  <c r="P22" i="195"/>
  <c r="H24" i="161"/>
  <c r="L4" i="208" l="1"/>
  <c r="N4" i="208" s="1"/>
  <c r="F4" i="208"/>
  <c r="H4" i="208" s="1"/>
  <c r="W15" i="208"/>
  <c r="R15" i="208"/>
  <c r="U15" i="208" s="1"/>
  <c r="F15" i="208" s="1"/>
  <c r="H15" i="208" s="1"/>
  <c r="R9" i="208"/>
  <c r="U9" i="208" s="1"/>
  <c r="I9" i="208" s="1"/>
  <c r="K9" i="208" s="1"/>
  <c r="W9" i="208"/>
  <c r="W12" i="208"/>
  <c r="R12" i="208"/>
  <c r="U12" i="208" s="1"/>
  <c r="I12" i="208" s="1"/>
  <c r="K12" i="208" s="1"/>
  <c r="W21" i="208"/>
  <c r="R21" i="208"/>
  <c r="U21" i="208" s="1"/>
  <c r="I21" i="208" s="1"/>
  <c r="K21" i="208" s="1"/>
  <c r="O4" i="208"/>
  <c r="Q4" i="208" s="1"/>
  <c r="R17" i="208"/>
  <c r="U17" i="208" s="1"/>
  <c r="L17" i="208" s="1"/>
  <c r="N17" i="208" s="1"/>
  <c r="W17" i="208"/>
  <c r="R20" i="208"/>
  <c r="U20" i="208" s="1"/>
  <c r="F20" i="208" s="1"/>
  <c r="H20" i="208" s="1"/>
  <c r="W20" i="208"/>
  <c r="W6" i="208"/>
  <c r="R6" i="208"/>
  <c r="U6" i="208" s="1"/>
  <c r="F6" i="208" s="1"/>
  <c r="H6" i="208" s="1"/>
  <c r="W19" i="208"/>
  <c r="R19" i="208"/>
  <c r="U19" i="208" s="1"/>
  <c r="O19" i="208" s="1"/>
  <c r="Q19" i="208" s="1"/>
  <c r="W8" i="208"/>
  <c r="R8" i="208"/>
  <c r="U8" i="208" s="1"/>
  <c r="F8" i="208" s="1"/>
  <c r="H8" i="208" s="1"/>
  <c r="R10" i="208"/>
  <c r="U10" i="208" s="1"/>
  <c r="I10" i="208" s="1"/>
  <c r="K10" i="208" s="1"/>
  <c r="W10" i="208"/>
  <c r="W11" i="208"/>
  <c r="R11" i="208"/>
  <c r="U11" i="208" s="1"/>
  <c r="I11" i="208" s="1"/>
  <c r="K11" i="208" s="1"/>
  <c r="R5" i="208"/>
  <c r="U5" i="208" s="1"/>
  <c r="I5" i="208" s="1"/>
  <c r="K5" i="208" s="1"/>
  <c r="W5" i="208"/>
  <c r="W14" i="208"/>
  <c r="R14" i="208"/>
  <c r="U14" i="208" s="1"/>
  <c r="O14" i="208" s="1"/>
  <c r="Q14" i="208" s="1"/>
  <c r="R13" i="208"/>
  <c r="U13" i="208" s="1"/>
  <c r="L13" i="208" s="1"/>
  <c r="N13" i="208" s="1"/>
  <c r="W13" i="208"/>
  <c r="R7" i="208"/>
  <c r="U7" i="208" s="1"/>
  <c r="I7" i="208" s="1"/>
  <c r="K7" i="208" s="1"/>
  <c r="W7" i="208"/>
  <c r="W16" i="208"/>
  <c r="R16" i="208"/>
  <c r="U16" i="208" s="1"/>
  <c r="O16" i="208" s="1"/>
  <c r="Q16" i="208" s="1"/>
  <c r="W18" i="208"/>
  <c r="R18" i="208"/>
  <c r="U18" i="208" s="1"/>
  <c r="I18" i="208" s="1"/>
  <c r="K18" i="208" s="1"/>
  <c r="L18" i="208"/>
  <c r="N18" i="208" s="1"/>
  <c r="O18" i="208"/>
  <c r="Q18" i="208" s="1"/>
  <c r="O21" i="162"/>
  <c r="O5" i="162"/>
  <c r="O6" i="162"/>
  <c r="O7" i="162"/>
  <c r="O8" i="162"/>
  <c r="O9" i="162"/>
  <c r="O10" i="162"/>
  <c r="O11" i="162"/>
  <c r="O12" i="162"/>
  <c r="O13" i="162"/>
  <c r="O14" i="162"/>
  <c r="O15" i="162"/>
  <c r="O16" i="162"/>
  <c r="O17" i="162"/>
  <c r="O18" i="162"/>
  <c r="O19" i="162"/>
  <c r="O20" i="162"/>
  <c r="O4" i="162"/>
  <c r="N15" i="162"/>
  <c r="N4" i="162"/>
  <c r="K26" i="162"/>
  <c r="K25" i="162"/>
  <c r="L8" i="208" l="1"/>
  <c r="N8" i="208" s="1"/>
  <c r="F16" i="208"/>
  <c r="H16" i="208" s="1"/>
  <c r="I14" i="208"/>
  <c r="K14" i="208" s="1"/>
  <c r="L16" i="208"/>
  <c r="N16" i="208" s="1"/>
  <c r="F14" i="208"/>
  <c r="H14" i="208" s="1"/>
  <c r="O10" i="208"/>
  <c r="Q10" i="208" s="1"/>
  <c r="L14" i="208"/>
  <c r="N14" i="208" s="1"/>
  <c r="F12" i="208"/>
  <c r="H12" i="208" s="1"/>
  <c r="O21" i="208"/>
  <c r="Q21" i="208" s="1"/>
  <c r="O5" i="208"/>
  <c r="Q5" i="208" s="1"/>
  <c r="I8" i="208"/>
  <c r="K8" i="208" s="1"/>
  <c r="O8" i="208"/>
  <c r="Q8" i="208" s="1"/>
  <c r="O20" i="208"/>
  <c r="Q20" i="208" s="1"/>
  <c r="L20" i="208"/>
  <c r="N20" i="208" s="1"/>
  <c r="L15" i="208"/>
  <c r="N15" i="208" s="1"/>
  <c r="L12" i="208"/>
  <c r="N12" i="208" s="1"/>
  <c r="I15" i="208"/>
  <c r="K15" i="208" s="1"/>
  <c r="O13" i="208"/>
  <c r="Q13" i="208" s="1"/>
  <c r="L5" i="208"/>
  <c r="N5" i="208" s="1"/>
  <c r="O12" i="208"/>
  <c r="Q12" i="208" s="1"/>
  <c r="F5" i="208"/>
  <c r="H5" i="208" s="1"/>
  <c r="L6" i="208"/>
  <c r="N6" i="208" s="1"/>
  <c r="W22" i="208"/>
  <c r="D27" i="208" s="1"/>
  <c r="D29" i="208" s="1"/>
  <c r="L7" i="208"/>
  <c r="N7" i="208" s="1"/>
  <c r="O7" i="208"/>
  <c r="Q7" i="208" s="1"/>
  <c r="F7" i="208"/>
  <c r="H7" i="208" s="1"/>
  <c r="O6" i="208"/>
  <c r="Q6" i="208" s="1"/>
  <c r="O9" i="208"/>
  <c r="Q9" i="208" s="1"/>
  <c r="I16" i="208"/>
  <c r="K16" i="208" s="1"/>
  <c r="I6" i="208"/>
  <c r="K6" i="208" s="1"/>
  <c r="I17" i="208"/>
  <c r="K17" i="208" s="1"/>
  <c r="F10" i="208"/>
  <c r="H10" i="208" s="1"/>
  <c r="L10" i="208"/>
  <c r="N10" i="208" s="1"/>
  <c r="I20" i="208"/>
  <c r="K20" i="208" s="1"/>
  <c r="L21" i="208"/>
  <c r="N21" i="208" s="1"/>
  <c r="F21" i="208"/>
  <c r="H21" i="208" s="1"/>
  <c r="F9" i="208"/>
  <c r="H9" i="208" s="1"/>
  <c r="O15" i="208"/>
  <c r="Q15" i="208" s="1"/>
  <c r="L11" i="208"/>
  <c r="N11" i="208" s="1"/>
  <c r="F13" i="208"/>
  <c r="H13" i="208" s="1"/>
  <c r="F11" i="208"/>
  <c r="H11" i="208" s="1"/>
  <c r="F19" i="208"/>
  <c r="H19" i="208" s="1"/>
  <c r="O17" i="208"/>
  <c r="Q17" i="208" s="1"/>
  <c r="F18" i="208"/>
  <c r="H18" i="208" s="1"/>
  <c r="I13" i="208"/>
  <c r="K13" i="208" s="1"/>
  <c r="O11" i="208"/>
  <c r="Q11" i="208" s="1"/>
  <c r="I19" i="208"/>
  <c r="K19" i="208" s="1"/>
  <c r="F17" i="208"/>
  <c r="H17" i="208" s="1"/>
  <c r="L9" i="208"/>
  <c r="N9" i="208" s="1"/>
  <c r="L19" i="208"/>
  <c r="N19" i="208" s="1"/>
  <c r="N16" i="162"/>
  <c r="N8" i="162"/>
  <c r="N7" i="162"/>
  <c r="N14" i="162"/>
  <c r="N6" i="162"/>
  <c r="N21" i="162"/>
  <c r="N13" i="162"/>
  <c r="N5" i="162"/>
  <c r="N20" i="162"/>
  <c r="N12" i="162"/>
  <c r="N19" i="162"/>
  <c r="N11" i="162"/>
  <c r="N18" i="162"/>
  <c r="N10" i="162"/>
  <c r="N17" i="162"/>
  <c r="N9" i="162"/>
  <c r="J4" i="162"/>
  <c r="G22" i="162"/>
  <c r="N22" i="162" l="1"/>
  <c r="O28" i="162" s="1"/>
  <c r="AH22" i="161"/>
  <c r="AI22" i="161"/>
  <c r="AJ22" i="161"/>
  <c r="AK22" i="161"/>
  <c r="AL22" i="161"/>
  <c r="AM22" i="161"/>
  <c r="AN22" i="161"/>
  <c r="P5" i="161"/>
  <c r="Q5" i="161" s="1"/>
  <c r="P6" i="161"/>
  <c r="Q6" i="161" s="1"/>
  <c r="P7" i="161"/>
  <c r="Q7" i="161" s="1"/>
  <c r="P8" i="161"/>
  <c r="Q8" i="161" s="1"/>
  <c r="P9" i="161"/>
  <c r="Q9" i="161" s="1"/>
  <c r="P10" i="161"/>
  <c r="Q10" i="161" s="1"/>
  <c r="P11" i="161"/>
  <c r="Q11" i="161" s="1"/>
  <c r="P12" i="161"/>
  <c r="Q12" i="161" s="1"/>
  <c r="P13" i="161"/>
  <c r="Q13" i="161" s="1"/>
  <c r="P14" i="161"/>
  <c r="Q14" i="161" s="1"/>
  <c r="P19" i="161"/>
  <c r="Q19" i="161" s="1"/>
  <c r="P20" i="161"/>
  <c r="Q20" i="161" s="1"/>
  <c r="P21" i="161"/>
  <c r="Q21" i="161" s="1"/>
  <c r="L5" i="161"/>
  <c r="L6" i="161"/>
  <c r="L7" i="161"/>
  <c r="L8" i="161"/>
  <c r="L9" i="161"/>
  <c r="L10" i="161"/>
  <c r="L11" i="161"/>
  <c r="L12" i="161"/>
  <c r="L13" i="161"/>
  <c r="L14" i="161"/>
  <c r="L19" i="161"/>
  <c r="L20" i="161"/>
  <c r="L21" i="161"/>
  <c r="J5" i="161"/>
  <c r="I5" i="162" s="1"/>
  <c r="L5" i="162" s="1"/>
  <c r="J6" i="161"/>
  <c r="I6" i="162" s="1"/>
  <c r="L6" i="162" s="1"/>
  <c r="J7" i="161"/>
  <c r="I7" i="162" s="1"/>
  <c r="L7" i="162" s="1"/>
  <c r="J8" i="161"/>
  <c r="I8" i="162" s="1"/>
  <c r="L8" i="162" s="1"/>
  <c r="J9" i="161"/>
  <c r="I9" i="162" s="1"/>
  <c r="L9" i="162" s="1"/>
  <c r="J10" i="161"/>
  <c r="I10" i="162" s="1"/>
  <c r="L10" i="162" s="1"/>
  <c r="J11" i="161"/>
  <c r="I11" i="162" s="1"/>
  <c r="L11" i="162" s="1"/>
  <c r="J12" i="161"/>
  <c r="I12" i="162" s="1"/>
  <c r="L12" i="162" s="1"/>
  <c r="J13" i="161"/>
  <c r="I13" i="162" s="1"/>
  <c r="L13" i="162" s="1"/>
  <c r="J14" i="161"/>
  <c r="I14" i="162" s="1"/>
  <c r="L14" i="162" s="1"/>
  <c r="J19" i="161"/>
  <c r="I19" i="162" s="1"/>
  <c r="L19" i="162" s="1"/>
  <c r="J20" i="161"/>
  <c r="I20" i="162" s="1"/>
  <c r="L20" i="162" s="1"/>
  <c r="J21" i="161"/>
  <c r="I21" i="162" s="1"/>
  <c r="L21" i="162" s="1"/>
  <c r="I5" i="161"/>
  <c r="H5" i="162" s="1"/>
  <c r="I6" i="161"/>
  <c r="H6" i="162" s="1"/>
  <c r="I7" i="161"/>
  <c r="H7" i="162" s="1"/>
  <c r="I8" i="161"/>
  <c r="H8" i="162" s="1"/>
  <c r="I9" i="161"/>
  <c r="H9" i="162" s="1"/>
  <c r="I10" i="161"/>
  <c r="H10" i="162" s="1"/>
  <c r="I11" i="161"/>
  <c r="H11" i="162" s="1"/>
  <c r="I12" i="161"/>
  <c r="H12" i="162" s="1"/>
  <c r="I13" i="161"/>
  <c r="H13" i="162" s="1"/>
  <c r="I14" i="161"/>
  <c r="H14" i="162" s="1"/>
  <c r="I19" i="161"/>
  <c r="H19" i="162" s="1"/>
  <c r="I20" i="161"/>
  <c r="H20" i="162" s="1"/>
  <c r="I21" i="161"/>
  <c r="H21" i="162" s="1"/>
  <c r="I4" i="161"/>
  <c r="H4" i="162" s="1"/>
  <c r="J4" i="161"/>
  <c r="I4" i="162" s="1"/>
  <c r="P4" i="161"/>
  <c r="Q4" i="161" s="1"/>
  <c r="L4" i="161"/>
  <c r="P9" i="162" l="1"/>
  <c r="P17" i="162"/>
  <c r="J24" i="161"/>
  <c r="P16" i="162"/>
  <c r="P8" i="162"/>
  <c r="P10" i="162"/>
  <c r="P7" i="162"/>
  <c r="P14" i="162"/>
  <c r="P6" i="162"/>
  <c r="P21" i="162"/>
  <c r="P18" i="162"/>
  <c r="P15" i="162"/>
  <c r="P13" i="162"/>
  <c r="P5" i="162"/>
  <c r="P20" i="162"/>
  <c r="P12" i="162"/>
  <c r="P19" i="162"/>
  <c r="P11" i="162"/>
  <c r="I24" i="161"/>
  <c r="S22" i="161"/>
  <c r="T22" i="161"/>
  <c r="U22" i="161"/>
  <c r="V22" i="161"/>
  <c r="W22" i="161"/>
  <c r="X22" i="161"/>
  <c r="Y22" i="161"/>
  <c r="Z22" i="161"/>
  <c r="AA22" i="161"/>
  <c r="AB22" i="161"/>
  <c r="AC22" i="161"/>
  <c r="AD22" i="161"/>
  <c r="AE22" i="161"/>
  <c r="AF22" i="161"/>
  <c r="AG22" i="161"/>
  <c r="P4" i="162" l="1"/>
  <c r="P22" i="162" s="1"/>
  <c r="O29" i="162" s="1"/>
  <c r="O31" i="162" s="1"/>
  <c r="L4" i="162"/>
  <c r="L22" i="162" s="1"/>
  <c r="H22" i="161"/>
  <c r="P22" i="1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S1" authorId="0" shapeId="0" xr:uid="{C9EE55FD-12E5-4A0C-990D-A0FD725F1181}">
      <text>
        <r>
          <rPr>
            <b/>
            <sz val="9"/>
            <color indexed="81"/>
            <rFont val="Segoe UI"/>
            <family val="2"/>
          </rPr>
          <t>LETÍCIA-SEGECON/FPOLIS:</t>
        </r>
        <r>
          <rPr>
            <sz val="9"/>
            <color indexed="81"/>
            <rFont val="Segoe UI"/>
            <family val="2"/>
          </rPr>
          <t xml:space="preserve">
17/09/2025: DEMANDA BU - CEDIDO PELO CESFI.
(OBS: AUTORIZADO VALOR MENOR PELO FORNECEDOR.)</t>
        </r>
      </text>
    </comment>
    <comment ref="K21" authorId="0" shapeId="0" xr:uid="{ED6A13A0-91D8-437A-9C0E-40B32A3028EE}">
      <text>
        <r>
          <rPr>
            <b/>
            <sz val="10"/>
            <color indexed="81"/>
            <rFont val="Segoe UI"/>
            <family val="2"/>
          </rPr>
          <t>LETÍCIA-SEGECON/FPOLIS:</t>
        </r>
        <r>
          <rPr>
            <sz val="10"/>
            <color indexed="81"/>
            <rFont val="Segoe UI"/>
            <family val="2"/>
          </rPr>
          <t xml:space="preserve">
09/09/2025: RECEBIDO DO CESFI </t>
        </r>
        <r>
          <rPr>
            <b/>
            <sz val="10"/>
            <color indexed="81"/>
            <rFont val="Segoe UI"/>
            <family val="2"/>
          </rPr>
          <t>PARA BU: 02.</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LETÍCIA-SEGECON/FPOLIS</author>
  </authors>
  <commentList>
    <comment ref="E3" authorId="0" shapeId="0" xr:uid="{E6AED0EF-FE5B-47AB-945A-A43A83402C3B}">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 ref="X3" authorId="1" shapeId="0" xr:uid="{7888A5B6-D012-4D8B-BF72-5560E6A22486}">
      <text>
        <r>
          <rPr>
            <b/>
            <sz val="10"/>
            <color indexed="81"/>
            <rFont val="Segoe UI"/>
            <family val="2"/>
          </rPr>
          <t>LETÍCIA-SEGECON/FPOLIS:</t>
        </r>
        <r>
          <rPr>
            <sz val="10"/>
            <color indexed="81"/>
            <rFont val="Segoe UI"/>
            <family val="2"/>
          </rPr>
          <t xml:space="preserve">
25/09/2025: CANCELADO A PEDIDO.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AD317EC9-7C41-47C6-9BF6-F8AA90680884}">
      <text>
        <r>
          <rPr>
            <b/>
            <sz val="9"/>
            <color indexed="81"/>
            <rFont val="Segoe UI"/>
            <family val="2"/>
          </rPr>
          <t>LETÍCIA-SEGECON/FPOLIS:</t>
        </r>
        <r>
          <rPr>
            <sz val="9"/>
            <color indexed="81"/>
            <rFont val="Segoe UI"/>
            <family val="2"/>
          </rPr>
          <t xml:space="preserve">
24/10/2025: RECEBIDO DO CERES: 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8F142A23-BFF5-466C-B46C-210BBAD6EA30}">
      <text>
        <r>
          <rPr>
            <b/>
            <sz val="10"/>
            <color indexed="81"/>
            <rFont val="Segoe UI"/>
            <family val="2"/>
          </rPr>
          <t>LETÍCIA-SEGECON/FPOLIS:</t>
        </r>
        <r>
          <rPr>
            <sz val="10"/>
            <color indexed="81"/>
            <rFont val="Segoe UI"/>
            <family val="2"/>
          </rPr>
          <t xml:space="preserve">
10/10/2025: RECEBIDO DO CEART: 04.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0" authorId="0" shapeId="0" xr:uid="{4465C0BE-7377-455A-BBFC-D4212F24530F}">
      <text>
        <r>
          <rPr>
            <b/>
            <sz val="9"/>
            <color indexed="81"/>
            <rFont val="Segoe UI"/>
            <family val="2"/>
          </rPr>
          <t>LETÍCIA-SEGECON/FPOLIS:</t>
        </r>
        <r>
          <rPr>
            <sz val="9"/>
            <color indexed="81"/>
            <rFont val="Segoe UI"/>
            <family val="2"/>
          </rPr>
          <t xml:space="preserve">
23/07/2025: CEDIDO AO CEO: 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0" authorId="0" shapeId="0" xr:uid="{800F9951-CE17-44B7-9B3A-7EF470F3BF0F}">
      <text>
        <r>
          <rPr>
            <b/>
            <sz val="9"/>
            <color indexed="81"/>
            <rFont val="Segoe UI"/>
            <family val="2"/>
          </rPr>
          <t>LETÍCIA-SEGECON/FPOLIS:</t>
        </r>
        <r>
          <rPr>
            <sz val="9"/>
            <color indexed="81"/>
            <rFont val="Segoe UI"/>
            <family val="2"/>
          </rPr>
          <t xml:space="preserve">
23/07/2025: RECEBIDO DO CAV: 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AE70825B-E5D9-49D2-8825-12E7E3FB96A1}">
      <text>
        <r>
          <rPr>
            <b/>
            <sz val="10"/>
            <color indexed="81"/>
            <rFont val="Segoe UI"/>
            <family val="2"/>
          </rPr>
          <t>LETÍCIA-SEGECON/FPOLIS:</t>
        </r>
        <r>
          <rPr>
            <sz val="10"/>
            <color indexed="81"/>
            <rFont val="Segoe UI"/>
            <family val="2"/>
          </rPr>
          <t xml:space="preserve">
28/05/2025: CEDIDO PARA O CEFID: 05.
10/10/2025: CEDIDO AO CCT: 04.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08E0813F-22E8-4E4B-A344-A07C417C5CD1}">
      <text>
        <r>
          <rPr>
            <b/>
            <sz val="9"/>
            <color indexed="81"/>
            <rFont val="Segoe UI"/>
            <family val="2"/>
          </rPr>
          <t>LETÍCIA-SEGECON/FPOLIS:</t>
        </r>
        <r>
          <rPr>
            <sz val="9"/>
            <color indexed="81"/>
            <rFont val="Segoe UI"/>
            <family val="2"/>
          </rPr>
          <t xml:space="preserve">
24/10/2025: CEDIDO PARA ESAG: 30.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92FAEFB6-1DE9-475C-ADEF-2254886CB0BE}">
      <text>
        <r>
          <rPr>
            <b/>
            <sz val="10"/>
            <color indexed="81"/>
            <rFont val="Segoe UI"/>
            <family val="2"/>
          </rPr>
          <t>LETÍCIA-SEGECON/FPOLIS:</t>
        </r>
        <r>
          <rPr>
            <sz val="10"/>
            <color indexed="81"/>
            <rFont val="Segoe UI"/>
            <family val="2"/>
          </rPr>
          <t xml:space="preserve">
09/09/2025: CEDIDO À REITORIA/BU: 02.</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LETÍCIA-SEGECON/FPOLIS</author>
  </authors>
  <commentList>
    <comment ref="K21" authorId="0" shapeId="0" xr:uid="{4E516BB4-3FFD-4779-A45C-CACBA1D4D243}">
      <text>
        <r>
          <rPr>
            <b/>
            <sz val="10"/>
            <color indexed="81"/>
            <rFont val="Segoe UI"/>
            <family val="2"/>
          </rPr>
          <t>LETÍCIA-SEGECON/FPOLIS:</t>
        </r>
        <r>
          <rPr>
            <sz val="10"/>
            <color indexed="81"/>
            <rFont val="Segoe UI"/>
            <family val="2"/>
          </rPr>
          <t xml:space="preserve">
28/05/2025: RECEBIDO DO CEART: 05.</t>
        </r>
      </text>
    </comment>
  </commentList>
</comments>
</file>

<file path=xl/sharedStrings.xml><?xml version="1.0" encoding="utf-8"?>
<sst xmlns="http://schemas.openxmlformats.org/spreadsheetml/2006/main" count="2293" uniqueCount="131">
  <si>
    <t>Saldo / Automático</t>
  </si>
  <si>
    <t>LOTE</t>
  </si>
  <si>
    <t>ALERTA</t>
  </si>
  <si>
    <t>Qtde Registrada</t>
  </si>
  <si>
    <t>SALDO</t>
  </si>
  <si>
    <t>Valor Total Utilizado</t>
  </si>
  <si>
    <t>Valor Utilizado</t>
  </si>
  <si>
    <t>% Aditivos</t>
  </si>
  <si>
    <t>% Utilizado</t>
  </si>
  <si>
    <t>ITEM</t>
  </si>
  <si>
    <t>EMPRESA</t>
  </si>
  <si>
    <t>Valor Total da Ata</t>
  </si>
  <si>
    <t>CONTROLE DO GESTOR:</t>
  </si>
  <si>
    <t>DESCRIÇÃO</t>
  </si>
  <si>
    <t>Detalhamento</t>
  </si>
  <si>
    <t>Preço UNITÁRIO</t>
  </si>
  <si>
    <t>[EMPRESA]</t>
  </si>
  <si>
    <t>[DATA]</t>
  </si>
  <si>
    <t>Qtde Receb/Cedida</t>
  </si>
  <si>
    <t>Qtde DISPONÍVEL P/ADITIVAR</t>
  </si>
  <si>
    <t>Qtde Aditivada Própria</t>
  </si>
  <si>
    <t>Qtde Aditivos recebidos</t>
  </si>
  <si>
    <t>Qtde Aditivos cedidos</t>
  </si>
  <si>
    <t xml:space="preserve">QTDE. UTILIZADA da Ata </t>
  </si>
  <si>
    <t>QTDE. UTILIZADA Total</t>
  </si>
  <si>
    <t>Unidade</t>
  </si>
  <si>
    <r>
      <t xml:space="preserve">CENTRO PARTICIPANTE: </t>
    </r>
    <r>
      <rPr>
        <b/>
        <sz val="11"/>
        <rFont val="Calibri"/>
        <family val="2"/>
        <scheme val="minor"/>
      </rPr>
      <t>CEART</t>
    </r>
  </si>
  <si>
    <r>
      <t xml:space="preserve">CENTRO PARTICIPANTE: </t>
    </r>
    <r>
      <rPr>
        <b/>
        <sz val="11"/>
        <rFont val="Calibri"/>
        <family val="2"/>
        <scheme val="minor"/>
      </rPr>
      <t>CAV</t>
    </r>
  </si>
  <si>
    <r>
      <t xml:space="preserve">CENTRO PARTICIPANTE: </t>
    </r>
    <r>
      <rPr>
        <b/>
        <sz val="11"/>
        <rFont val="Calibri"/>
        <family val="2"/>
        <scheme val="minor"/>
      </rPr>
      <t>CESFI</t>
    </r>
  </si>
  <si>
    <r>
      <t xml:space="preserve">CENTRO PARTICIPANTE: </t>
    </r>
    <r>
      <rPr>
        <b/>
        <sz val="11"/>
        <rFont val="Calibri"/>
        <family val="2"/>
        <scheme val="minor"/>
      </rPr>
      <t>CEFID</t>
    </r>
  </si>
  <si>
    <r>
      <t xml:space="preserve">CENTRO PARTICIPANTE: </t>
    </r>
    <r>
      <rPr>
        <b/>
        <sz val="11"/>
        <rFont val="Calibri"/>
        <family val="2"/>
        <scheme val="minor"/>
      </rPr>
      <t>CEAVI</t>
    </r>
  </si>
  <si>
    <r>
      <t xml:space="preserve">CENTRO PARTICIPANTE: </t>
    </r>
    <r>
      <rPr>
        <b/>
        <sz val="11"/>
        <rFont val="Calibri"/>
        <family val="2"/>
        <scheme val="minor"/>
      </rPr>
      <t>CCT</t>
    </r>
  </si>
  <si>
    <r>
      <t xml:space="preserve">CENTRO PARTICIPANTE: </t>
    </r>
    <r>
      <rPr>
        <b/>
        <sz val="11"/>
        <rFont val="Calibri"/>
        <family val="2"/>
        <scheme val="minor"/>
      </rPr>
      <t>FAED</t>
    </r>
  </si>
  <si>
    <r>
      <t xml:space="preserve">CENTRO PARTICIPANTE: </t>
    </r>
    <r>
      <rPr>
        <b/>
        <sz val="11"/>
        <rFont val="Calibri"/>
        <family val="2"/>
        <scheme val="minor"/>
      </rPr>
      <t>CEPLAN</t>
    </r>
  </si>
  <si>
    <r>
      <t xml:space="preserve">CENTRO PARTICIPANTE: </t>
    </r>
    <r>
      <rPr>
        <b/>
        <sz val="11"/>
        <rFont val="Calibri"/>
        <family val="2"/>
        <scheme val="minor"/>
      </rPr>
      <t>CEO</t>
    </r>
  </si>
  <si>
    <r>
      <t xml:space="preserve">CENTRO PARTICIPANTE: </t>
    </r>
    <r>
      <rPr>
        <b/>
        <sz val="11"/>
        <rFont val="Calibri"/>
        <family val="2"/>
        <scheme val="minor"/>
      </rPr>
      <t>CEAD</t>
    </r>
  </si>
  <si>
    <r>
      <t xml:space="preserve">CENTRO PARTICIPANTE: </t>
    </r>
    <r>
      <rPr>
        <b/>
        <sz val="11"/>
        <rFont val="Calibri"/>
        <family val="2"/>
        <scheme val="minor"/>
      </rPr>
      <t>CESMO</t>
    </r>
  </si>
  <si>
    <t xml:space="preserve">Qtde Aditivada </t>
  </si>
  <si>
    <t xml:space="preserve">Valor Unitário </t>
  </si>
  <si>
    <t xml:space="preserve">Total Registrado </t>
  </si>
  <si>
    <t>Valor Total Aditivado</t>
  </si>
  <si>
    <r>
      <t xml:space="preserve">CENTRO PARTICIPANTE: </t>
    </r>
    <r>
      <rPr>
        <b/>
        <sz val="11"/>
        <rFont val="Calibri"/>
        <family val="2"/>
        <scheme val="minor"/>
      </rPr>
      <t>REITORIA/PROEX</t>
    </r>
  </si>
  <si>
    <r>
      <rPr>
        <b/>
        <sz val="11"/>
        <rFont val="Calibri"/>
        <family val="2"/>
        <scheme val="minor"/>
      </rPr>
      <t>ARP PE 626/2025</t>
    </r>
    <r>
      <rPr>
        <sz val="11"/>
        <rFont val="Calibri"/>
        <family val="2"/>
        <scheme val="minor"/>
      </rPr>
      <t xml:space="preserve"> - (SGPE DE ORIGEM: 6961/2025)</t>
    </r>
  </si>
  <si>
    <r>
      <rPr>
        <b/>
        <sz val="11"/>
        <rFont val="Calibri"/>
        <family val="2"/>
        <scheme val="minor"/>
      </rPr>
      <t xml:space="preserve">OBJETO: </t>
    </r>
    <r>
      <rPr>
        <sz val="11"/>
        <rFont val="Calibri"/>
        <family val="2"/>
        <scheme val="minor"/>
      </rPr>
      <t xml:space="preserve"> AQUISIÇÃO DE TROFÉUS, MEDALHAS E PLACAS DESTINADAS AOS EVENTOS, HOMENAGENS
E INAUGURAÇÕES DA UDESC</t>
    </r>
  </si>
  <si>
    <r>
      <rPr>
        <b/>
        <sz val="11"/>
        <rFont val="Calibri"/>
        <family val="2"/>
        <scheme val="minor"/>
      </rPr>
      <t>VIGÊNCIA</t>
    </r>
    <r>
      <rPr>
        <sz val="11"/>
        <rFont val="Calibri"/>
        <family val="2"/>
        <scheme val="minor"/>
      </rPr>
      <t xml:space="preserve"> DA ATA: 16/04/2025 </t>
    </r>
    <r>
      <rPr>
        <b/>
        <sz val="11"/>
        <rFont val="Calibri"/>
        <family val="2"/>
        <scheme val="minor"/>
      </rPr>
      <t>até 16/04/2026</t>
    </r>
  </si>
  <si>
    <t xml:space="preserve">AF nº  xxxx/2025 Qtde. </t>
  </si>
  <si>
    <t>1 - MEDALHAS e TROFÉUS</t>
  </si>
  <si>
    <t xml:space="preserve">SANTA ORANNA INDÚSTRIA E COMÉRCIO LTDA, CNPJ 42.746.467/0001-25	</t>
  </si>
  <si>
    <t>2 - PLACAS</t>
  </si>
  <si>
    <t>PIRÂMIDE COMÉRCIO DE MATERIAIS ESPORTIVOS LTDA, CNPJ 18.780.782/0001-94</t>
  </si>
  <si>
    <t>339031.04</t>
  </si>
  <si>
    <t>339039.24</t>
  </si>
  <si>
    <t>339031.05</t>
  </si>
  <si>
    <t>Peça</t>
  </si>
  <si>
    <t>MEDALHA
Produzida em Metal, diâmetro:  80mm, espessura: 4.0mm, Banho: Bronze envelhecido Gravada em baixo relevo com arte personalizada frente e verso em relevo (arquivo em EPS será disponibilizado). Alça de medalha: conforme largura determinada da fita.  Fita: fita de gorgorão na cor a ser definida, com largura de 3,0cm e circunferência de 80cm.Acompanha a medalha para acondicioná-la, estojo rígido, revestido com veludo (cor a definir de acordo com opções do fornecedor) e mecanismo de fechamento do mesmo. O fundo interno em veludo que permite inclinação quando aberto para destacar a medalha.</t>
  </si>
  <si>
    <t>MEDALHA FUNDIDA EM LIGA METÁLICA
Medalha fundida em liga metálica, com acabamento de superfície no banhos: ouro, prata e bronze. medidas: 9cm podendo ser redonda, retangular ou undecágono (sem contar o passador) espessura de 5mm; peso aproximado: 270g. Frente e verso da medalha com gravação no metal em alto e baixo relevo com bordas trabalhadas e esculpidas. Toda área da medalha é utilizada não contendo pontos vazados. fita sublimada com 85cm de comprimento e 3cm de largura, todas as informações do evento impressas nas duas faces da fita.</t>
  </si>
  <si>
    <t>MEDALHA MÉDIA - BRONZE, PRATA OU OURO
Material: peças fabricadas em liga de antimônio (Zamak) fundidas.
Apresentam as bordas frontais e o verso com detalhes em alto relevo e textura reticulada 85 pontos por cm2, recortada e vazada na parte frontal e superior, frente centro resinado estampado arte a ser definida, verso da medalha adesivo Print Collor 010. Espessura: 03 mm. Alça de medalha: conforme largura determinada da fita.
Fita: fita de gorgurão estampada com arte a ser definida, com largura de 1,5 cm e circunferência de 80 cm. 
Dimensões da medalha: 8 cm de diâmetro.
Acabamento: em resina epóxi (lente) com pintura conforme layout do produto.</t>
  </si>
  <si>
    <t>MEDALHA PEQUENA - BRONZE, PRATA OU OURO
Material: peças fabricadas em liga de antimônio (Zamak) fundidas.
Apresentam as bordas frontais e o verso com detalhes em alto relevo e textura reticulada 85 pontos por cm2, recortada e vazada na parte frontal e superior, frente centro resinado estampado, arte a ser definida, verso da medalha adesivo Print Collor 010. Espessura: 03mm. Alça de medalha: conforme largura determinada da fita.
Fita: fita de gorgurão estampada com arte a ser definida, com largura de 1,5cm e circunferência de 80cm. 
Dimensões da medalha: 6 cm de diâmetro.
Acabamento: em resina epóxi (lente) com pintura conforme layout do produto.</t>
  </si>
  <si>
    <t>TROFÉU MÉDIO 20cm. Vice-campeão
Características: Composição mista, MDF, Acrílico, Pinos de Metal e peça de metal com detalhes em corrosão. Base confeccionada com duas chapas de MDF sobrepostas. Fixada na base, parte frontal peça de MDF recortada, formato retangular, para fixação de adesivo com a classificação. Ao lado desta peça outra peça de MDF recortada, formato redonda. Fixada sobre a mesma peça de aço inox, redonda, com 3mm de espessura, com detalhes “atletas estilizados”, gravados na mesma por processo de corrosão. Corpo do troféu confeccionado na parte posterior por haste de MDF recortada, com 4mm de espessura e formato irregular. Na parte frontal haste de acrílico recortado a laser, formato irregular, espessura 5mm. Unindo as duas peças “pino de metal cromado”, mantendo as duas hastes na distância de 2mm uma da outra. Personalização de informações com aplicação de adesivo vinil colorido na haste de acrílico, contendo a logomarca da UDESC, nome do evento, modalidade e outras informações necessárias.</t>
  </si>
  <si>
    <t>TROFÉU GRANDE 25cm. Campeão
Características: Composição mista, MDF, Acrílico, Pinos de Metal e peça de metal com detalhes em corrosão. Base confeccionada com duas chapas de MDF sobrepostas. Fixada na base, parte frontal peça de MDF recortada, formato retangular, para fixação de adesivo com a classificação. Ao lado desta peça outra peça de MDF recortada, formato redonda. Fixada sobre a mesma peça de aço inox, redonda, com 3mm de espessura, com detalhes “atletas estilizados”, gravados na mesma por processo de corrosão. Corpo do troféu confeccionado na parte posterior por haste de MDF recortada, com 4mm de espessura e formato irregular. Na parte frontal haste de acrílico recortado a laser, formato irregular, espessura 5mm. Unindo as duas peças “pino de metal cromado”, mantendo as duas hastes na distância de 2mm uma da outra. Personalização de informações com aplicação de adesivo vinil colorido na haste de acrílico, contendo a logomarca da UDESC, nome do evento, modalidade e outras informações necessárias.</t>
  </si>
  <si>
    <t>TROFÉU 15X13CM - ALUMNI
Composição mista, MDF, Acrílico, pitão inox. Base do troféu em MDF 14 x 6cm e espessura de 1,5cm de espessura, na cor preto liso envernizado. Corpo do troféu em acrílico cristal (transparente) 15 x 13cm e espessura de 4mm, formato arredondado com impressão do texto e logo direto no acrílico (UV), fixada à base por pinos de metal.</t>
  </si>
  <si>
    <t>TROFÉU 25X25CM - 3º LUGAR GERAL
Troféu em acrílico com 25x25x1cm (AxLxE) personalizado de acordo com a imagem ao lado (arquivo em EPS será disponibilizado). Estilizado com a logomarca do JIUDESC 2023. Base em MDF com 7cm de largura, 25cm de comprimento e 2cm de altura com as impressões da logo da UDESC, Terceiro Lugar Geral e uma impressão colorida estilizando o troféu. A base de mdf pode ser substituída por base de acrílico, de acordo com a solicitação do contratante. Cores a serem utilizadas a definir.</t>
  </si>
  <si>
    <t>TROFÉU 30X30CM - VICE-CAMPEÃO GERAL
Troféu em acrílico com 30x30x1cm (AxLxE) personalizado de acordo com a imagem ao lado (arquivo em EPS será disponibilizado). Estilizado com a logomarca do JIUDESC 2023. Base em MDF com 7cm de largura, 30cm de comprimento e 2cm de altura com as impressões da logo da UDESC, Vice-Campeão Geral e uma impressão colorida estilizando o troféu. A base de mdf pode ser substituída por base de acrílico, de acordo com a solicitação do contratante. A base de mdf pode ser substituída por base de acrílico, de acordo com a solicitação do contratante. Cores a serem utilizadas a definir.</t>
  </si>
  <si>
    <t>TROFÉU 35X35CM  CAMPEÃO GERAL
Troféu em acrílico com 35x35x1cm (AxLxE) personalizado de acordo com a imagem ao lado (arquivo em EPS será disponibilizado). Estilizado com a logomarca do JIUDESC 2023. Base em MDF com 7cm de largura, 35cm de comprimento e 2cm de altura com as impressões da logo da UDESC, Campeão Geral e uma impressão colorida estilizando o troféu. A base de mdf pode ser substituída por base de acrílico, de acordo com a solicitação do contratante. Cores a serem utilizadas a definir.</t>
  </si>
  <si>
    <t>TROFÉU 35X35CM – DESAFIO DAS ATLÉTICAS – Campeão
Troféu em acrílico com 35x35x1cm (AxLxE) personalizado de acordo com a imagem ao lado (arquivo em EPS será disponibilizado). Estilizado com a logo de todas as atléticas e a logomarca do JIUDESC 2023. Base em MDF com 7cm de largura, 35cm de comprimento e 2cm de altura com as impressões da logo da UDESC, Desafio das Atléticas e uma impressão colorida estilizando o troféu. A base de mdf pode ser substituída por base de acrílico, de acordo com a solicitação do contratante. Cores a serem utilizadas a definir.</t>
  </si>
  <si>
    <t>TROFÉU 30X30CM – DESAFIO DAS ATLÉTICAS – Vice-Campeão
Troféu em acrílico com 30x30x1cm (AxLxE) personalizado de acordo com a imagem ao lado (arquivo em EPS será disponibilizado). Estilizado com a logo de todas as atléticas e a logomarca do JIUDESC 2023. Base em MDF com 7cm de largura, 35cm de comprimento e 2cm de altura com as impressões da logo da UDESC, Desafio das Atléticas e uma impressão colorida estilizando o troféu. A base de mdf pode ser substituída por base de acrílico, de acordo com a solicitação do contratante. Cores a serem utilizadas a definir.</t>
  </si>
  <si>
    <t>TROFÉU 25X25CM – DESAFIO DAS ATLÉTICAS – 3º Lugar
Troféu em acrílico com 25x25x1cm (AxLxE) personalizado de acordo com a imagem ao lado (arquivo em EPS será disponibilizado). Estilizado com a logo de todas as atléticas e a logomarca do JIUDESC 2023. Base em MDF com 7cm de largura, 25cm de comprimento e 2cm de altura com as impressões da logo da UDESC, Desafio das Atléticas e uma impressão colorida estilizando o troféu. A base de mdf pode ser substituída por base de acrílico, de acordo com a solicitação do contratante. Cores a serem utilizadas a definir.</t>
  </si>
  <si>
    <t>TROFÉU 12X12CM – DESTAQUE ESPORTIVO
Troféu em acrílico com 12x12x0,5cm (AxLxE) personalizado de acordo com a imagem ao lado (arquivo em EPS será disponibilizado). Estilizado com a imagem de um atleta, logomarca do JIUDESC 2023 e a inscrição DESTAQUE ESPORTIVO, além das cores estilizadas do desenho do atleta. Base em MDF com 7cm de largura, 12cm de comprimento e 1cm de altura com as impressões da logo da UDESC, da modalidade e uma impressão colorida estilizando o troféu. A base de mdf pode ser substituída por base de acrílico, de acordo com a solicitação do contratante. Cores a serem utilizadas a definir.</t>
  </si>
  <si>
    <t>TROFÉU CRICULAR VAZADO Composição mista: MDF, acrílico e pinos de metal. Base do troféu em MDF com dimensões de 18 x 7cm e espessura de 1,5cm, na cor preto liso envernizado. Corpo do troféu em acrílico cristal (transparente) com dimensões de 20 x 17cm e espessura de 4mm, em formato circular vazado destacando o logotipo a ser definido. Impressão direta do texto e do logotipo no acrílico, em cores vibrantes (UV). A base possui placa identificativa metálica personalizada com informações da categoria e homenagem, fixada ao corpo por pinos de metal inox.</t>
  </si>
  <si>
    <t>TROFÉU 35X35CM – CAMPEÃO Semana de Calouros UDESC Ibirama
Troféu em acrílico com 35x35x1cm (AxLxE) personalizado de acordo com arte a ser definida e enviada. Estilizado. Base em MDF com 7cm de largura, 35cm de comprimento e 2cm de altura com as impressões da logo da UDESC, Campeão Semana de Calouros Udesc Ibirama e uma impressão colorida estilizando o troféu. A base de mdf pode ser substituída por base de acrílico, de acordo com a solicitação do contratante. Cores a serem utilizadas a definir. A arte será enviada posteriormente pela Direção de Extensão do CEAVI.</t>
  </si>
  <si>
    <t>PLACAS DE INAUGURAÇÃO.
Características: Placa confeccionada com chapa de aço inox escovado com recorte a laser, espessura 5mm personalização dos dados, conforme modelo ilustrativo, devendo conter: nome da obra, autoridades homenageadas (governador e secretário de estado da educação de Santa Catarina, reitor da Udesc, diretor geral do centro de ensino da obra e prefeito municipal nesta ordem) e gravado em baixo relevo a laser e foto corrosão com pintura composta de pigmentos especiais à base de polímeros de nitro.  Logomarca do Governo do Estado e UDESC e caracteres pintados no padrão de cores da identidade visual do Governo do Estado de Santa Catarina e UDESC. Tamanho da placa (50 x 70cm). Acompanha a placa 04 parafusos de inox, pinos para encobrir sua face externa e buchas para fixação das placas nos locais devidos. 
Referência: https://www.sc.gov.br/images/Secom_Noticias/Documentos/AF_MANUAL_MARCA_GOVERNO_SC_2020_20ABRIL_1.pdf
https://www.sc.gov.br/noticias/marca/manual-da-marca-do-governo
https://www.udesc.br/arquivos/udesc/documentos/novomanualdamarca_15105970779113_3011.pdf
http://www1.udesc.br/novamarca
http://www1.udesc.br/?id=2008</t>
  </si>
  <si>
    <t>PLACAS DE HOMENAGEM/PREMIAÇÃO
Características: Placa confeccionada com chapa de aço inoxidável com recorte a laser, espessura 3mm, personalização dos dados, nome do homenageado, texto e outras informações por processo corrosão. Tamanho da placa (20 x 15cm). Acompanha a placa para acondicioná-la, estojo confeccionado em madeira, revestido com veludo e mecanismo de fechamento do mesmo.</t>
  </si>
  <si>
    <r>
      <t xml:space="preserve">VIGÊNCIA DA ATA: 16/04/2025 </t>
    </r>
    <r>
      <rPr>
        <b/>
        <sz val="11"/>
        <rFont val="Calibri"/>
        <family val="2"/>
        <scheme val="minor"/>
      </rPr>
      <t>até 16/04/2026</t>
    </r>
  </si>
  <si>
    <r>
      <rPr>
        <b/>
        <sz val="11"/>
        <rFont val="Calibri"/>
        <family val="2"/>
        <scheme val="minor"/>
      </rPr>
      <t xml:space="preserve">OBJETO: </t>
    </r>
    <r>
      <rPr>
        <sz val="11"/>
        <rFont val="Calibri"/>
        <family val="2"/>
        <scheme val="minor"/>
      </rPr>
      <t xml:space="preserve"> AQUISIÇÃO DE TROFÉUS, MEDALHAS E PLACAS DESTINADAS AOS EVENTOS, HOMENAGENS</t>
    </r>
  </si>
  <si>
    <r>
      <rPr>
        <b/>
        <sz val="11"/>
        <rFont val="Calibri"/>
        <family val="2"/>
        <scheme val="minor"/>
      </rPr>
      <t xml:space="preserve">ARP PE 626/2025 </t>
    </r>
    <r>
      <rPr>
        <sz val="11"/>
        <rFont val="Calibri"/>
        <family val="2"/>
        <scheme val="minor"/>
      </rPr>
      <t>- (SGPE DE ORIGEM: 6961/2025)</t>
    </r>
  </si>
  <si>
    <r>
      <rPr>
        <b/>
        <sz val="11"/>
        <color rgb="FF0000FF"/>
        <rFont val="Calibri"/>
        <family val="2"/>
        <scheme val="minor"/>
      </rPr>
      <t>OBS</t>
    </r>
    <r>
      <rPr>
        <sz val="11"/>
        <color rgb="FF0000FF"/>
        <rFont val="Calibri"/>
        <family val="2"/>
        <scheme val="minor"/>
      </rPr>
      <t>:</t>
    </r>
    <r>
      <rPr>
        <sz val="11"/>
        <rFont val="Calibri"/>
        <family val="2"/>
        <scheme val="minor"/>
      </rPr>
      <t xml:space="preserve"> </t>
    </r>
    <r>
      <rPr>
        <b/>
        <u/>
        <sz val="11"/>
        <rFont val="Calibri"/>
        <family val="2"/>
        <scheme val="minor"/>
      </rPr>
      <t>VALOR MÍNIMO</t>
    </r>
    <r>
      <rPr>
        <sz val="11"/>
        <rFont val="Calibri"/>
        <family val="2"/>
        <scheme val="minor"/>
      </rPr>
      <t xml:space="preserve"> DA AF:</t>
    </r>
    <r>
      <rPr>
        <b/>
        <sz val="11"/>
        <rFont val="Calibri"/>
        <family val="2"/>
        <scheme val="minor"/>
      </rPr>
      <t xml:space="preserve"> </t>
    </r>
    <r>
      <rPr>
        <b/>
        <u/>
        <sz val="11"/>
        <rFont val="Calibri"/>
        <family val="2"/>
        <scheme val="minor"/>
      </rPr>
      <t>R$ 300,00</t>
    </r>
    <r>
      <rPr>
        <sz val="11"/>
        <rFont val="Calibri"/>
        <family val="2"/>
        <scheme val="minor"/>
      </rPr>
      <t xml:space="preserve"> (c.f. Termo de Referência - item 6.2 D)</t>
    </r>
  </si>
  <si>
    <r>
      <t>CENTRO PARTICIPANTE:</t>
    </r>
    <r>
      <rPr>
        <b/>
        <sz val="11"/>
        <rFont val="Calibri"/>
        <family val="2"/>
        <scheme val="minor"/>
      </rPr>
      <t xml:space="preserve"> CERES</t>
    </r>
  </si>
  <si>
    <r>
      <t>CENTRO PARTICIPANTE:</t>
    </r>
    <r>
      <rPr>
        <b/>
        <sz val="11"/>
        <rFont val="Calibri"/>
        <family val="2"/>
        <scheme val="minor"/>
      </rPr>
      <t xml:space="preserve"> ESAG</t>
    </r>
  </si>
  <si>
    <t xml:space="preserve">AF nº  757/2025 Qtde. </t>
  </si>
  <si>
    <t>STA ORANNA</t>
  </si>
  <si>
    <r>
      <rPr>
        <b/>
        <sz val="11"/>
        <rFont val="Calibri"/>
        <family val="2"/>
        <scheme val="minor"/>
      </rPr>
      <t xml:space="preserve">OBJETO: </t>
    </r>
    <r>
      <rPr>
        <sz val="11"/>
        <rFont val="Calibri"/>
        <family val="2"/>
        <scheme val="minor"/>
      </rPr>
      <t xml:space="preserve"> AQUISIÇÃO DE TROFÉUS, MEDALHAS E PLACAS DESTINADAS AOS EVENTOS, HOMENAGENS E INAUGURAÇÕES DA UDESC</t>
    </r>
  </si>
  <si>
    <t>PIRÂMIDE</t>
  </si>
  <si>
    <t xml:space="preserve">AF nº 1798/2025 Qtde. </t>
  </si>
  <si>
    <t>PLACAS DE HOMENAGEM/PREMIAÇÃO. Características: Placa confeccionada com chapa de aço inoxidável com recorte a laser, espessura 3mm, personalização dos dados, nome do homenageado, texto e outras informações por processo corrosão. Tamanho da placa (20 x 15cm). Acompanha a placa para acondicioná-la, estojo confeccionado em madeira, revestido com veludo e mecanismo de fechamento do mesmo.</t>
  </si>
  <si>
    <r>
      <t xml:space="preserve"> </t>
    </r>
    <r>
      <rPr>
        <u/>
        <sz val="11"/>
        <rFont val="Calibri"/>
        <family val="2"/>
        <scheme val="minor"/>
      </rPr>
      <t>Quantidade cedida</t>
    </r>
    <r>
      <rPr>
        <sz val="11"/>
        <rFont val="Calibri"/>
        <family val="2"/>
        <scheme val="minor"/>
      </rPr>
      <t xml:space="preserve"> </t>
    </r>
    <r>
      <rPr>
        <b/>
        <sz val="11"/>
        <rFont val="Calibri"/>
        <family val="2"/>
        <scheme val="minor"/>
      </rPr>
      <t>por Solicitação</t>
    </r>
  </si>
  <si>
    <r>
      <t xml:space="preserve">REGISTRO DE CARONA PARA OUTROS ÓRGÃOS:  </t>
    </r>
    <r>
      <rPr>
        <sz val="11"/>
        <rFont val="Calibri"/>
        <family val="2"/>
        <scheme val="minor"/>
      </rPr>
      <t>(</t>
    </r>
    <r>
      <rPr>
        <u/>
        <sz val="11"/>
        <rFont val="Calibri"/>
        <family val="2"/>
        <scheme val="minor"/>
      </rPr>
      <t xml:space="preserve">Obs: Itens com só </t>
    </r>
    <r>
      <rPr>
        <u/>
        <sz val="11"/>
        <color rgb="FFFF0000"/>
        <rFont val="Calibri"/>
        <family val="2"/>
        <scheme val="minor"/>
      </rPr>
      <t>01 unidade</t>
    </r>
    <r>
      <rPr>
        <u/>
        <sz val="11"/>
        <rFont val="Calibri"/>
        <family val="2"/>
        <scheme val="minor"/>
      </rPr>
      <t xml:space="preserve"> registrada - </t>
    </r>
    <r>
      <rPr>
        <u/>
        <sz val="11"/>
        <color rgb="FFFF0000"/>
        <rFont val="Calibri"/>
        <family val="2"/>
        <scheme val="minor"/>
      </rPr>
      <t>INDISPONÍVEIS PARA CARONA</t>
    </r>
    <r>
      <rPr>
        <sz val="11"/>
        <rFont val="Calibri"/>
        <family val="2"/>
        <scheme val="minor"/>
      </rPr>
      <t>!)</t>
    </r>
  </si>
  <si>
    <t>ÓRGÃO B</t>
  </si>
  <si>
    <t>ÓRGÃO C</t>
  </si>
  <si>
    <t>ÓRGÃO D</t>
  </si>
  <si>
    <t>TOTAL</t>
  </si>
  <si>
    <t>PREÇOS</t>
  </si>
  <si>
    <t>INSERIR ÓRGÃO</t>
  </si>
  <si>
    <t>Item</t>
  </si>
  <si>
    <t>Empresa</t>
  </si>
  <si>
    <t>Especificação (conforme especificação em edital)</t>
  </si>
  <si>
    <t>Qtde Registrada UDESC</t>
  </si>
  <si>
    <t xml:space="preserve">Passível de Carona </t>
  </si>
  <si>
    <t xml:space="preserve">Quantidade utilizada Carona </t>
  </si>
  <si>
    <t xml:space="preserve">Saldo RESTANTE para CARONA </t>
  </si>
  <si>
    <t>Quantidade Aditivada</t>
  </si>
  <si>
    <t xml:space="preserve">Quantidade TOTAL Carona </t>
  </si>
  <si>
    <t>SGPe (ÓRGÃO) XXX/202X - (Ofício nº XX)</t>
  </si>
  <si>
    <t xml:space="preserve">Valor Total da Ata </t>
  </si>
  <si>
    <t>Valor cedido para carona</t>
  </si>
  <si>
    <t>% cedido para carona</t>
  </si>
  <si>
    <t>ARP PE 626/2025 - (SGPE DE ORIGEM: 6961/2025)</t>
  </si>
  <si>
    <r>
      <t>VIGÊNCIA</t>
    </r>
    <r>
      <rPr>
        <sz val="11"/>
        <rFont val="Calibri"/>
        <family val="2"/>
        <scheme val="minor"/>
      </rPr>
      <t xml:space="preserve"> DA ATA: 16/04/2025 até </t>
    </r>
    <r>
      <rPr>
        <b/>
        <u/>
        <sz val="11"/>
        <rFont val="Calibri"/>
        <family val="2"/>
        <scheme val="minor"/>
      </rPr>
      <t>16/04/2026</t>
    </r>
  </si>
  <si>
    <r>
      <t xml:space="preserve">OBJETO:  </t>
    </r>
    <r>
      <rPr>
        <sz val="11"/>
        <rFont val="Calibri"/>
        <family val="2"/>
        <scheme val="minor"/>
      </rPr>
      <t>AQUISIÇÃO DE TROFÉUS, MEDALHAS E PLACAS DESTINADAS AOS EVENTOS, HOMENAGENS</t>
    </r>
  </si>
  <si>
    <t>Resumo Atualizado em 22/09/2025</t>
  </si>
  <si>
    <t>SES</t>
  </si>
  <si>
    <t>SGPe SES 223743/2025 - (Ofício nº 53/2025)</t>
  </si>
  <si>
    <t xml:space="preserve">AF nº 1962/2025 Qtde. </t>
  </si>
  <si>
    <t>MEDALHA MÉDIA - BRONZE, PRATA OU OURO Material: peças fabricadas em liga de antimônio (Zamak) fundidas. Apresentam as bordas frontais e o verso com detalhes em alto relevo e textura reticulada 85 pontos por cm2, recortada e vazada na parte frontal e superior, frente centro resinado estampado arte a ser definida, verso da medalha adesivo Print Collor 010. Espessura: 03 mm. Alça de medalha: conforme largura determinada da fita. Fita: fita de gorgurão estampada com arte a ser definida, com largura de 1,5 cm e circunferência de 80 cm. Dimensões da medalha: 8 cm de diâmetro. Acabamento: em resina epóxi (lente) com pintura conforme layout do produto.</t>
  </si>
  <si>
    <t>TROFÉU CIRCULAR VAZADO Composição mista: MDF, acrílico e pinos de metal. Base do troféu em MDF com dimensões de 18 x 7cm e espessura de 1,5cm, na cor preto liso envernizado. Corpo do troféu em acrílico cristal (transparente) com dimensões de 20 x 17cm e espessura de 4mm, em formato circular vazado destacando o logotipo a ser definido. Impressão direta do texto e do logotipo no acrílico, em cores vibrantes (UV). A base possui placa identificativa metálica personalizada com informações da categoria e homenagem, fixada ao corpo por pinos de metal inox.</t>
  </si>
  <si>
    <t xml:space="preserve">AF nº   2273/2025 Qtde. </t>
  </si>
  <si>
    <t xml:space="preserve">AF nº  1410/2025 SGPe 29689/2025 </t>
  </si>
  <si>
    <t>PIRAMIDE</t>
  </si>
  <si>
    <t xml:space="preserve">AF nº  969/2025 Qtde. </t>
  </si>
  <si>
    <t xml:space="preserve">AF nº  1016/2025 Qtde. </t>
  </si>
  <si>
    <t>Pirâmide Com. de Mat. Esportivos Ltda</t>
  </si>
  <si>
    <t xml:space="preserve">AF nº  1133/2025 Qtde. </t>
  </si>
  <si>
    <t xml:space="preserve">AF nº  1175/2025 Qtde. </t>
  </si>
  <si>
    <t xml:space="preserve">AF nº  1313/2025 Qtde. </t>
  </si>
  <si>
    <t>SANTA ORANNA INDÚSTRIA E COMÉRCIO LTDA</t>
  </si>
  <si>
    <t>PIRÂMIDE COMÉRCIO DE MATERIAIS ESPORTIVOS LTDA</t>
  </si>
  <si>
    <t xml:space="preserve">AF nº  1804/2025 Qtde. </t>
  </si>
  <si>
    <t>[PIRAMIDE COMERCIO DE MATERIAIS ESPORTIVOS LTDA ME]</t>
  </si>
  <si>
    <t>[25/09/2025]</t>
  </si>
  <si>
    <t xml:space="preserve">AF nº  1364/2025 Qtde. </t>
  </si>
  <si>
    <t>Pirâmide</t>
  </si>
  <si>
    <t>Resumo Atualizado em 10/11/2025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</si>
</sst>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8" formatCode="&quot;R$&quot;\ #,##0.00;[Red]\-&quot;R$&quot;\ #,##0.00"/>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00"/>
    <numFmt numFmtId="169" formatCode="0_ ;\-0\ "/>
    <numFmt numFmtId="170" formatCode="_-[$R$-416]\ * #,##0.00_-;\-[$R$-416]\ * #,##0.00_-;_-[$R$-416]\ *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1"/>
      <color indexed="8"/>
      <name val="Calibri"/>
      <family val="2"/>
    </font>
    <font>
      <sz val="11"/>
      <color indexed="9"/>
      <name val="Calibri"/>
      <family val="2"/>
    </font>
    <font>
      <sz val="10"/>
      <name val="Arial"/>
      <family val="2"/>
    </font>
    <font>
      <b/>
      <sz val="11"/>
      <name val="Calibri"/>
      <family val="2"/>
      <scheme val="minor"/>
    </font>
    <font>
      <b/>
      <sz val="14"/>
      <name val="Calibri"/>
      <family val="2"/>
      <scheme val="minor"/>
    </font>
    <font>
      <sz val="10"/>
      <name val="Arial"/>
      <family val="2"/>
    </font>
    <font>
      <sz val="11"/>
      <color theme="0" tint="-0.499984740745262"/>
      <name val="Calibri"/>
      <family val="2"/>
      <scheme val="minor"/>
    </font>
    <font>
      <b/>
      <u/>
      <sz val="11"/>
      <name val="Calibri"/>
      <family val="2"/>
      <scheme val="minor"/>
    </font>
    <font>
      <sz val="11"/>
      <color rgb="FF0000FF"/>
      <name val="Calibri"/>
      <family val="2"/>
      <scheme val="minor"/>
    </font>
    <font>
      <b/>
      <sz val="11"/>
      <color rgb="FF0000FF"/>
      <name val="Calibri"/>
      <family val="2"/>
      <scheme val="minor"/>
    </font>
    <font>
      <sz val="10"/>
      <color indexed="81"/>
      <name val="Segoe UI"/>
      <family val="2"/>
    </font>
    <font>
      <b/>
      <sz val="10"/>
      <color indexed="81"/>
      <name val="Segoe UI"/>
      <family val="2"/>
    </font>
    <font>
      <sz val="9"/>
      <color indexed="81"/>
      <name val="Segoe UI"/>
      <family val="2"/>
    </font>
    <font>
      <b/>
      <sz val="9"/>
      <color indexed="81"/>
      <name val="Segoe UI"/>
      <family val="2"/>
    </font>
    <font>
      <u/>
      <sz val="11"/>
      <name val="Calibri"/>
      <family val="2"/>
      <scheme val="minor"/>
    </font>
    <font>
      <u/>
      <sz val="11"/>
      <color rgb="FFFF0000"/>
      <name val="Calibri"/>
      <family val="2"/>
      <scheme val="minor"/>
    </font>
    <font>
      <sz val="14"/>
      <name val="Calibri"/>
      <family val="2"/>
      <scheme val="minor"/>
    </font>
    <font>
      <sz val="12"/>
      <color theme="1"/>
      <name val="Calibri"/>
      <family val="2"/>
      <scheme val="minor"/>
    </font>
    <font>
      <u/>
      <sz val="9"/>
      <color indexed="81"/>
      <name val="Segoe UI"/>
      <family val="2"/>
    </font>
    <font>
      <b/>
      <strike/>
      <sz val="11"/>
      <name val="Calibri"/>
      <family val="2"/>
      <scheme val="minor"/>
    </font>
    <font>
      <sz val="11"/>
      <name val="Calibri"/>
      <family val="2"/>
    </font>
    <font>
      <b/>
      <sz val="11"/>
      <name val="Calibri"/>
      <family val="2"/>
    </font>
  </fonts>
  <fills count="35">
    <fill>
      <patternFill patternType="none"/>
    </fill>
    <fill>
      <patternFill patternType="gray125"/>
    </fill>
    <fill>
      <patternFill patternType="solid">
        <fgColor indexed="41"/>
        <bgColor indexed="64"/>
      </patternFill>
    </fill>
    <fill>
      <patternFill patternType="solid">
        <fgColor indexed="13"/>
        <bgColor indexed="26"/>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64"/>
      </patternFill>
    </fill>
    <fill>
      <patternFill patternType="solid">
        <fgColor indexed="46"/>
      </patternFill>
    </fill>
    <fill>
      <patternFill patternType="solid">
        <fgColor theme="0"/>
        <bgColor indexed="64"/>
      </patternFill>
    </fill>
    <fill>
      <patternFill patternType="solid">
        <fgColor indexed="51"/>
      </patternFill>
    </fill>
    <fill>
      <patternFill patternType="solid">
        <fgColor indexed="57"/>
      </patternFill>
    </fill>
    <fill>
      <patternFill patternType="solid">
        <fgColor indexed="30"/>
      </patternFill>
    </fill>
    <fill>
      <patternFill patternType="solid">
        <fgColor theme="9" tint="0.59999389629810485"/>
        <bgColor indexed="64"/>
      </patternFill>
    </fill>
    <fill>
      <patternFill patternType="solid">
        <fgColor indexed="31"/>
      </patternFill>
    </fill>
    <fill>
      <patternFill patternType="solid">
        <fgColor theme="0" tint="-0.149998474074526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3300"/>
        <bgColor indexed="10"/>
      </patternFill>
    </fill>
    <fill>
      <patternFill patternType="solid">
        <fgColor rgb="FF66FF66"/>
        <bgColor indexed="64"/>
      </patternFill>
    </fill>
    <fill>
      <patternFill patternType="solid">
        <fgColor rgb="FFFF99CC"/>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FFFF00"/>
        <bgColor indexed="26"/>
      </patternFill>
    </fill>
    <fill>
      <patternFill patternType="solid">
        <fgColor theme="0" tint="-0.34998626667073579"/>
        <bgColor indexed="64"/>
      </patternFill>
    </fill>
    <fill>
      <patternFill patternType="solid">
        <fgColor rgb="FFFFFF00"/>
        <bgColor rgb="FF000000"/>
      </patternFill>
    </fill>
    <fill>
      <patternFill patternType="solid">
        <fgColor rgb="FFCCFFFF"/>
        <bgColor rgb="FF000000"/>
      </patternFill>
    </fill>
    <fill>
      <patternFill patternType="solid">
        <fgColor rgb="FFFFFFFF"/>
        <bgColor rgb="FF000000"/>
      </patternFill>
    </fill>
    <fill>
      <patternFill patternType="solid">
        <fgColor rgb="FFFFFF00"/>
        <bgColor rgb="FFFFFFCC"/>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26">
    <xf numFmtId="0" fontId="0" fillId="0" borderId="0"/>
    <xf numFmtId="0" fontId="6" fillId="0" borderId="0"/>
    <xf numFmtId="164" fontId="6" fillId="0" borderId="0" applyFill="0" applyBorder="0" applyAlignment="0" applyProtection="0"/>
    <xf numFmtId="165" fontId="6" fillId="0" borderId="0" applyFill="0" applyBorder="0" applyAlignment="0" applyProtection="0"/>
    <xf numFmtId="0" fontId="7" fillId="0" borderId="0" applyNumberFormat="0" applyFill="0" applyBorder="0" applyAlignment="0" applyProtection="0"/>
    <xf numFmtId="167" fontId="9"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167"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0" fontId="10" fillId="8" borderId="0" applyNumberFormat="0" applyBorder="0" applyAlignment="0" applyProtection="0"/>
    <xf numFmtId="0" fontId="10"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0" fontId="10" fillId="14" borderId="0" applyNumberFormat="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4" fontId="12" fillId="0" borderId="0" applyFont="0" applyFill="0" applyBorder="0" applyAlignment="0" applyProtection="0"/>
    <xf numFmtId="9" fontId="15" fillId="0" borderId="0" applyFont="0" applyFill="0" applyBorder="0" applyAlignment="0" applyProtection="0"/>
    <xf numFmtId="44" fontId="6" fillId="0" borderId="0" applyFont="0" applyFill="0" applyBorder="0" applyAlignment="0" applyProtection="0"/>
  </cellStyleXfs>
  <cellXfs count="182">
    <xf numFmtId="0" fontId="0" fillId="0" borderId="0" xfId="0"/>
    <xf numFmtId="0" fontId="8" fillId="0" borderId="0" xfId="1" applyFont="1" applyFill="1" applyAlignment="1">
      <alignment horizontal="center" vertical="center" wrapText="1"/>
    </xf>
    <xf numFmtId="0" fontId="8" fillId="0" borderId="0" xfId="1" applyFont="1" applyAlignment="1">
      <alignment wrapText="1"/>
    </xf>
    <xf numFmtId="0" fontId="8" fillId="0" borderId="0" xfId="1" applyFont="1" applyFill="1" applyAlignment="1">
      <alignment vertical="center" wrapText="1"/>
    </xf>
    <xf numFmtId="3" fontId="8" fillId="0" borderId="0" xfId="1" applyNumberFormat="1" applyFont="1" applyAlignment="1" applyProtection="1">
      <alignment wrapText="1"/>
      <protection locked="0"/>
    </xf>
    <xf numFmtId="0" fontId="8" fillId="0" borderId="0" xfId="1" applyFont="1" applyAlignment="1" applyProtection="1">
      <alignment wrapText="1"/>
      <protection locked="0"/>
    </xf>
    <xf numFmtId="1" fontId="8" fillId="0" borderId="0" xfId="1" applyNumberFormat="1" applyFont="1" applyFill="1" applyAlignment="1" applyProtection="1">
      <alignment horizontal="center" wrapText="1"/>
      <protection locked="0"/>
    </xf>
    <xf numFmtId="0" fontId="8" fillId="0" borderId="0" xfId="1" applyFont="1" applyFill="1" applyAlignment="1">
      <alignment wrapText="1"/>
    </xf>
    <xf numFmtId="0" fontId="8" fillId="2" borderId="1" xfId="1" applyFont="1" applyFill="1" applyBorder="1" applyAlignment="1" applyProtection="1">
      <alignment horizontal="center" vertical="center" wrapText="1"/>
      <protection locked="0"/>
    </xf>
    <xf numFmtId="165" fontId="8" fillId="2" borderId="1" xfId="3" applyFont="1" applyFill="1" applyBorder="1" applyAlignment="1" applyProtection="1">
      <alignment horizontal="center" vertical="center" wrapText="1"/>
    </xf>
    <xf numFmtId="1" fontId="8" fillId="2" borderId="1" xfId="1" applyNumberFormat="1" applyFont="1" applyFill="1" applyBorder="1" applyAlignment="1" applyProtection="1">
      <alignment horizontal="center" vertical="center" wrapText="1"/>
    </xf>
    <xf numFmtId="166" fontId="8" fillId="2" borderId="1" xfId="1" applyNumberFormat="1" applyFont="1" applyFill="1" applyBorder="1" applyAlignment="1">
      <alignment horizontal="center" vertical="center" wrapText="1"/>
    </xf>
    <xf numFmtId="4" fontId="8" fillId="0" borderId="0" xfId="1" applyNumberFormat="1" applyFont="1" applyFill="1" applyAlignment="1">
      <alignment horizontal="center" vertical="center" wrapText="1"/>
    </xf>
    <xf numFmtId="166" fontId="8" fillId="0" borderId="0" xfId="0" applyNumberFormat="1" applyFont="1" applyFill="1" applyAlignment="1">
      <alignment horizontal="center" vertical="center" wrapText="1"/>
    </xf>
    <xf numFmtId="44" fontId="8" fillId="0" borderId="0" xfId="8" applyFont="1" applyAlignment="1" applyProtection="1">
      <alignment wrapText="1"/>
      <protection locked="0"/>
    </xf>
    <xf numFmtId="0" fontId="8" fillId="2" borderId="1" xfId="1"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center" vertical="center" wrapText="1"/>
      <protection locked="0"/>
    </xf>
    <xf numFmtId="44" fontId="8" fillId="0" borderId="0" xfId="223" applyFont="1" applyAlignment="1" applyProtection="1">
      <alignment wrapText="1"/>
      <protection locked="0"/>
    </xf>
    <xf numFmtId="3" fontId="8" fillId="3" borderId="1" xfId="1" applyNumberFormat="1" applyFont="1" applyFill="1" applyBorder="1" applyAlignment="1" applyProtection="1">
      <alignment horizontal="center" vertical="center" wrapText="1"/>
      <protection locked="0"/>
    </xf>
    <xf numFmtId="0" fontId="8" fillId="0" borderId="1" xfId="1" applyFont="1" applyBorder="1" applyAlignment="1" applyProtection="1">
      <alignment horizontal="center" vertical="center" wrapText="1"/>
      <protection locked="0"/>
    </xf>
    <xf numFmtId="168" fontId="8" fillId="15" borderId="1" xfId="0" applyNumberFormat="1" applyFont="1" applyFill="1" applyBorder="1" applyAlignment="1">
      <alignment horizontal="center" vertical="center"/>
    </xf>
    <xf numFmtId="168" fontId="8" fillId="9" borderId="2" xfId="0" applyNumberFormat="1" applyFont="1" applyFill="1" applyBorder="1" applyAlignment="1">
      <alignment horizontal="center" vertical="center"/>
    </xf>
    <xf numFmtId="0" fontId="8" fillId="9" borderId="1" xfId="27" applyFont="1" applyFill="1" applyBorder="1" applyAlignment="1">
      <alignment horizontal="justify" vertical="top" wrapText="1"/>
    </xf>
    <xf numFmtId="168" fontId="8" fillId="9" borderId="1" xfId="0" applyNumberFormat="1" applyFont="1" applyFill="1" applyBorder="1" applyAlignment="1">
      <alignment horizontal="center" vertical="center"/>
    </xf>
    <xf numFmtId="41" fontId="8" fillId="9" borderId="1" xfId="0" applyNumberFormat="1" applyFont="1" applyFill="1" applyBorder="1" applyAlignment="1">
      <alignment horizontal="center" vertical="center"/>
    </xf>
    <xf numFmtId="44" fontId="8" fillId="9" borderId="1" xfId="223" applyFont="1" applyFill="1" applyBorder="1" applyAlignment="1">
      <alignment horizontal="center" vertical="center"/>
    </xf>
    <xf numFmtId="49" fontId="8" fillId="15" borderId="1" xfId="0" applyNumberFormat="1" applyFont="1" applyFill="1" applyBorder="1" applyAlignment="1">
      <alignment horizontal="center" vertical="center" wrapText="1"/>
    </xf>
    <xf numFmtId="44" fontId="8" fillId="15" borderId="1" xfId="223" applyFont="1" applyFill="1" applyBorder="1" applyAlignment="1">
      <alignment horizontal="center" vertical="center"/>
    </xf>
    <xf numFmtId="0" fontId="8" fillId="9" borderId="5" xfId="27" applyFont="1" applyFill="1" applyBorder="1" applyAlignment="1">
      <alignment horizontal="center" vertical="center" wrapText="1"/>
    </xf>
    <xf numFmtId="0" fontId="8" fillId="9" borderId="1" xfId="27" applyFont="1" applyFill="1" applyBorder="1" applyAlignment="1">
      <alignment horizontal="center" vertical="center"/>
    </xf>
    <xf numFmtId="0" fontId="8" fillId="15" borderId="1" xfId="27" applyFont="1" applyFill="1" applyBorder="1" applyAlignment="1">
      <alignment horizontal="center" vertical="center"/>
    </xf>
    <xf numFmtId="169" fontId="8" fillId="4" borderId="1" xfId="0" applyNumberFormat="1" applyFont="1" applyFill="1" applyBorder="1" applyAlignment="1">
      <alignment horizontal="center" vertical="center" wrapText="1" readingOrder="1"/>
    </xf>
    <xf numFmtId="169" fontId="8" fillId="4" borderId="1" xfId="0" applyNumberFormat="1" applyFont="1" applyFill="1" applyBorder="1" applyAlignment="1">
      <alignment horizontal="center" vertical="center" wrapText="1"/>
    </xf>
    <xf numFmtId="1" fontId="16" fillId="0" borderId="0" xfId="1" applyNumberFormat="1" applyFont="1" applyFill="1" applyAlignment="1" applyProtection="1">
      <alignment horizontal="center" wrapText="1"/>
      <protection locked="0"/>
    </xf>
    <xf numFmtId="169" fontId="8" fillId="16" borderId="1" xfId="0" applyNumberFormat="1" applyFont="1" applyFill="1" applyBorder="1" applyAlignment="1">
      <alignment horizontal="center" vertical="center" wrapText="1" readingOrder="1"/>
    </xf>
    <xf numFmtId="169" fontId="8" fillId="17" borderId="1" xfId="0" applyNumberFormat="1" applyFont="1" applyFill="1" applyBorder="1" applyAlignment="1">
      <alignment horizontal="center" vertical="center" wrapText="1" readingOrder="1"/>
    </xf>
    <xf numFmtId="169" fontId="8" fillId="17" borderId="1" xfId="0" applyNumberFormat="1" applyFont="1" applyFill="1" applyBorder="1" applyAlignment="1">
      <alignment horizontal="center" vertical="center" wrapText="1"/>
    </xf>
    <xf numFmtId="169" fontId="8" fillId="18" borderId="1" xfId="0" applyNumberFormat="1" applyFont="1" applyFill="1" applyBorder="1" applyAlignment="1">
      <alignment horizontal="center" vertical="center" wrapText="1" readingOrder="1"/>
    </xf>
    <xf numFmtId="0" fontId="8"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166" fontId="13" fillId="2" borderId="1" xfId="1" applyNumberFormat="1" applyFont="1" applyFill="1" applyBorder="1" applyAlignment="1">
      <alignment horizontal="center" vertical="center" wrapText="1"/>
    </xf>
    <xf numFmtId="1" fontId="13" fillId="2" borderId="1" xfId="1" applyNumberFormat="1" applyFont="1" applyFill="1" applyBorder="1" applyAlignment="1" applyProtection="1">
      <alignment horizontal="center" vertical="center" wrapText="1"/>
    </xf>
    <xf numFmtId="44" fontId="8" fillId="6" borderId="1" xfId="223" applyFont="1" applyFill="1" applyBorder="1" applyAlignment="1">
      <alignment horizontal="center" vertical="center" wrapText="1"/>
    </xf>
    <xf numFmtId="44" fontId="8" fillId="6" borderId="1" xfId="223" applyFont="1" applyFill="1" applyBorder="1" applyAlignment="1" applyProtection="1">
      <alignment horizontal="center" vertical="center" wrapText="1"/>
      <protection locked="0"/>
    </xf>
    <xf numFmtId="44" fontId="16" fillId="0" borderId="0" xfId="223" applyFont="1" applyFill="1" applyAlignment="1" applyProtection="1">
      <alignment horizontal="center" wrapText="1"/>
      <protection locked="0"/>
    </xf>
    <xf numFmtId="44" fontId="8" fillId="0" borderId="0" xfId="223" applyFont="1" applyFill="1" applyAlignment="1" applyProtection="1">
      <alignment horizontal="center" wrapText="1"/>
      <protection locked="0"/>
    </xf>
    <xf numFmtId="166" fontId="8" fillId="7" borderId="1" xfId="0" applyNumberFormat="1" applyFont="1" applyFill="1" applyBorder="1" applyAlignment="1">
      <alignment horizontal="center" vertical="center" wrapText="1"/>
    </xf>
    <xf numFmtId="0" fontId="8" fillId="9" borderId="1" xfId="27" applyFont="1" applyFill="1" applyBorder="1" applyAlignment="1">
      <alignment horizontal="left" vertical="top" wrapText="1"/>
    </xf>
    <xf numFmtId="0" fontId="8" fillId="15" borderId="1" xfId="27" applyFont="1" applyFill="1" applyBorder="1" applyAlignment="1">
      <alignment horizontal="left" vertical="top" wrapText="1"/>
    </xf>
    <xf numFmtId="3" fontId="8" fillId="20" borderId="1" xfId="1" applyNumberFormat="1" applyFont="1" applyFill="1" applyBorder="1" applyAlignment="1" applyProtection="1">
      <alignment horizontal="center" vertical="center" wrapText="1"/>
      <protection locked="0"/>
    </xf>
    <xf numFmtId="166" fontId="8" fillId="21" borderId="1" xfId="0" applyNumberFormat="1" applyFont="1" applyFill="1" applyBorder="1" applyAlignment="1">
      <alignment horizontal="center" vertical="center" wrapText="1"/>
    </xf>
    <xf numFmtId="168" fontId="8" fillId="0" borderId="1" xfId="0" applyNumberFormat="1" applyFont="1" applyFill="1" applyBorder="1" applyAlignment="1">
      <alignment horizontal="center" vertical="center"/>
    </xf>
    <xf numFmtId="0" fontId="8" fillId="0" borderId="1" xfId="27" applyFont="1" applyFill="1" applyBorder="1" applyAlignment="1">
      <alignment horizontal="justify" vertical="top" wrapText="1"/>
    </xf>
    <xf numFmtId="0" fontId="8" fillId="0" borderId="1" xfId="27" applyFont="1" applyFill="1" applyBorder="1" applyAlignment="1">
      <alignment horizontal="center" vertical="center"/>
    </xf>
    <xf numFmtId="49" fontId="8" fillId="0" borderId="1" xfId="0" applyNumberFormat="1" applyFont="1" applyFill="1" applyBorder="1" applyAlignment="1">
      <alignment horizontal="center" vertical="center" wrapText="1"/>
    </xf>
    <xf numFmtId="3" fontId="13" fillId="3" borderId="1" xfId="1" applyNumberFormat="1" applyFont="1" applyFill="1" applyBorder="1" applyAlignment="1" applyProtection="1">
      <alignment horizontal="center" vertical="center" wrapText="1"/>
      <protection locked="0"/>
    </xf>
    <xf numFmtId="14" fontId="13" fillId="2" borderId="1" xfId="1" applyNumberFormat="1" applyFont="1" applyFill="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lignment horizontal="center" vertical="center" wrapText="1"/>
    </xf>
    <xf numFmtId="1" fontId="8" fillId="0" borderId="1" xfId="1" applyNumberFormat="1" applyFont="1" applyFill="1" applyBorder="1" applyAlignment="1">
      <alignment horizontal="center" vertical="center" wrapText="1"/>
    </xf>
    <xf numFmtId="3" fontId="13" fillId="29" borderId="3" xfId="1" applyNumberFormat="1" applyFont="1" applyFill="1" applyBorder="1" applyAlignment="1" applyProtection="1">
      <alignment horizontal="center" vertical="center" wrapText="1"/>
      <protection locked="0"/>
    </xf>
    <xf numFmtId="3" fontId="8" fillId="29" borderId="3" xfId="1" applyNumberFormat="1" applyFont="1" applyFill="1" applyBorder="1" applyAlignment="1" applyProtection="1">
      <alignment horizontal="center" vertical="center" wrapText="1"/>
      <protection locked="0"/>
    </xf>
    <xf numFmtId="0" fontId="2" fillId="30" borderId="1" xfId="0" applyFont="1" applyFill="1" applyBorder="1" applyAlignment="1">
      <alignment horizontal="center" vertical="center" wrapText="1"/>
    </xf>
    <xf numFmtId="0" fontId="2" fillId="30" borderId="1" xfId="0" applyFont="1" applyFill="1" applyBorder="1" applyAlignment="1">
      <alignment horizontal="center" vertical="center"/>
    </xf>
    <xf numFmtId="0" fontId="8" fillId="4" borderId="1" xfId="1" applyFont="1" applyFill="1" applyBorder="1" applyAlignment="1">
      <alignment horizontal="center" vertical="center" wrapText="1"/>
    </xf>
    <xf numFmtId="0" fontId="13" fillId="24" borderId="1" xfId="1" applyFont="1" applyFill="1" applyBorder="1" applyAlignment="1">
      <alignment horizontal="center" vertical="center" wrapText="1"/>
    </xf>
    <xf numFmtId="0" fontId="8" fillId="24" borderId="1" xfId="1" applyFont="1" applyFill="1" applyBorder="1" applyAlignment="1">
      <alignment horizontal="center" vertical="center" wrapText="1"/>
    </xf>
    <xf numFmtId="0" fontId="8" fillId="25" borderId="1" xfId="1" applyFont="1" applyFill="1" applyBorder="1" applyAlignment="1">
      <alignment horizontal="center" vertical="center" wrapText="1"/>
    </xf>
    <xf numFmtId="0" fontId="8" fillId="26" borderId="1" xfId="1" applyFont="1" applyFill="1" applyBorder="1" applyAlignment="1">
      <alignment horizontal="center" vertical="center" wrapText="1"/>
    </xf>
    <xf numFmtId="0" fontId="8" fillId="27" borderId="1" xfId="1" applyFont="1" applyFill="1" applyBorder="1" applyAlignment="1">
      <alignment horizontal="center" vertical="center" wrapText="1"/>
    </xf>
    <xf numFmtId="0" fontId="8" fillId="28" borderId="1" xfId="1" applyFont="1" applyFill="1" applyBorder="1" applyAlignment="1">
      <alignment horizontal="center" vertical="center" wrapText="1"/>
    </xf>
    <xf numFmtId="170" fontId="8" fillId="2" borderId="1" xfId="3" applyNumberFormat="1" applyFont="1" applyFill="1" applyBorder="1" applyAlignment="1" applyProtection="1">
      <alignment horizontal="center" vertical="center" wrapText="1"/>
    </xf>
    <xf numFmtId="14" fontId="8" fillId="2" borderId="1" xfId="1" applyNumberFormat="1" applyFont="1" applyFill="1" applyBorder="1" applyAlignment="1" applyProtection="1">
      <alignment horizontal="center" vertical="center" wrapText="1"/>
      <protection locked="0"/>
    </xf>
    <xf numFmtId="0" fontId="8" fillId="0" borderId="0" xfId="1" applyFont="1" applyAlignment="1">
      <alignment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24" borderId="1" xfId="0" applyFont="1" applyFill="1" applyBorder="1" applyAlignment="1">
      <alignment horizontal="center" vertical="center" wrapText="1"/>
    </xf>
    <xf numFmtId="0" fontId="8" fillId="25" borderId="1" xfId="0" applyFont="1" applyFill="1" applyBorder="1" applyAlignment="1">
      <alignment horizontal="center" vertical="center" wrapText="1"/>
    </xf>
    <xf numFmtId="0" fontId="8" fillId="26" borderId="1" xfId="0" applyFont="1" applyFill="1" applyBorder="1" applyAlignment="1">
      <alignment horizontal="center" vertical="center" wrapText="1"/>
    </xf>
    <xf numFmtId="0" fontId="8" fillId="27" borderId="1" xfId="0" applyFont="1" applyFill="1" applyBorder="1" applyAlignment="1">
      <alignment horizontal="center" vertical="center" wrapText="1"/>
    </xf>
    <xf numFmtId="0" fontId="8" fillId="28" borderId="1" xfId="0" applyFont="1" applyFill="1" applyBorder="1" applyAlignment="1">
      <alignment horizontal="center" vertical="center" wrapText="1"/>
    </xf>
    <xf numFmtId="44" fontId="8" fillId="6" borderId="1" xfId="1" applyNumberFormat="1" applyFont="1" applyFill="1" applyBorder="1" applyAlignment="1">
      <alignment horizontal="center" vertical="center" wrapText="1"/>
    </xf>
    <xf numFmtId="0" fontId="8" fillId="0" borderId="1" xfId="18" applyNumberFormat="1" applyFont="1" applyBorder="1" applyAlignment="1" applyProtection="1">
      <alignment horizontal="center" vertical="center" wrapText="1"/>
      <protection locked="0"/>
    </xf>
    <xf numFmtId="0" fontId="8" fillId="9" borderId="1" xfId="0" applyFont="1" applyFill="1" applyBorder="1" applyAlignment="1">
      <alignment horizontal="center" vertical="center"/>
    </xf>
    <xf numFmtId="4" fontId="8" fillId="0" borderId="0" xfId="1" applyNumberFormat="1" applyFont="1" applyAlignment="1">
      <alignment horizontal="center" vertical="center" wrapText="1"/>
    </xf>
    <xf numFmtId="0" fontId="8" fillId="0" borderId="0" xfId="1" applyFont="1" applyAlignment="1">
      <alignment horizontal="center" vertical="center" wrapText="1"/>
    </xf>
    <xf numFmtId="44" fontId="8" fillId="0" borderId="0" xfId="1" applyNumberFormat="1" applyFont="1" applyAlignment="1">
      <alignment wrapText="1"/>
    </xf>
    <xf numFmtId="44" fontId="13" fillId="0" borderId="0" xfId="8" applyFont="1" applyAlignment="1" applyProtection="1">
      <alignment wrapText="1"/>
      <protection locked="0"/>
    </xf>
    <xf numFmtId="0" fontId="8" fillId="5" borderId="13" xfId="1" applyFont="1" applyFill="1" applyBorder="1" applyAlignment="1" applyProtection="1">
      <alignment wrapText="1"/>
      <protection locked="0"/>
    </xf>
    <xf numFmtId="0" fontId="8" fillId="5" borderId="8" xfId="1" applyFont="1" applyFill="1" applyBorder="1" applyAlignment="1" applyProtection="1">
      <alignment wrapText="1"/>
      <protection locked="0"/>
    </xf>
    <xf numFmtId="0" fontId="8" fillId="5" borderId="12" xfId="1" applyFont="1" applyFill="1" applyBorder="1" applyAlignment="1" applyProtection="1">
      <alignment horizontal="left"/>
      <protection locked="0"/>
    </xf>
    <xf numFmtId="44" fontId="16" fillId="0" borderId="0" xfId="1" applyNumberFormat="1" applyFont="1" applyAlignment="1">
      <alignment wrapText="1"/>
    </xf>
    <xf numFmtId="14" fontId="29" fillId="2" borderId="1" xfId="1" applyNumberFormat="1" applyFont="1" applyFill="1" applyBorder="1" applyAlignment="1" applyProtection="1">
      <alignment horizontal="center" vertical="center" wrapText="1"/>
      <protection locked="0"/>
    </xf>
    <xf numFmtId="43" fontId="8" fillId="0" borderId="0" xfId="223" applyNumberFormat="1" applyFont="1" applyAlignment="1" applyProtection="1">
      <alignment wrapText="1"/>
      <protection locked="0"/>
    </xf>
    <xf numFmtId="0" fontId="3" fillId="15" borderId="2"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4" fillId="15" borderId="2" xfId="0" applyFont="1" applyFill="1" applyBorder="1" applyAlignment="1">
      <alignment horizontal="center" vertical="center" textRotation="90" wrapText="1"/>
    </xf>
    <xf numFmtId="0" fontId="5" fillId="15" borderId="3" xfId="0" applyFont="1" applyFill="1" applyBorder="1" applyAlignment="1">
      <alignment horizontal="center" vertical="center" textRotation="90" wrapText="1"/>
    </xf>
    <xf numFmtId="0" fontId="8" fillId="22" borderId="4" xfId="0" applyNumberFormat="1" applyFont="1" applyFill="1" applyBorder="1" applyAlignment="1">
      <alignment horizontal="center" vertical="center" wrapText="1"/>
    </xf>
    <xf numFmtId="0" fontId="8" fillId="22" borderId="5" xfId="0" applyNumberFormat="1" applyFont="1" applyFill="1" applyBorder="1" applyAlignment="1">
      <alignment horizontal="center" vertical="center" wrapText="1"/>
    </xf>
    <xf numFmtId="0" fontId="8" fillId="22" borderId="6" xfId="0" applyNumberFormat="1" applyFont="1" applyFill="1" applyBorder="1" applyAlignment="1">
      <alignment horizontal="center" vertical="center" wrapText="1"/>
    </xf>
    <xf numFmtId="0" fontId="8" fillId="13" borderId="4" xfId="0" applyNumberFormat="1" applyFont="1" applyFill="1" applyBorder="1" applyAlignment="1">
      <alignment vertical="center" wrapText="1"/>
    </xf>
    <xf numFmtId="0" fontId="8" fillId="13" borderId="5" xfId="0" applyNumberFormat="1" applyFont="1" applyFill="1" applyBorder="1" applyAlignment="1">
      <alignment vertical="center" wrapText="1"/>
    </xf>
    <xf numFmtId="0" fontId="8" fillId="13" borderId="6" xfId="0" applyNumberFormat="1" applyFont="1" applyFill="1" applyBorder="1" applyAlignment="1">
      <alignment vertical="center" wrapText="1"/>
    </xf>
    <xf numFmtId="0" fontId="8" fillId="13" borderId="1" xfId="0" applyNumberFormat="1" applyFont="1" applyFill="1" applyBorder="1" applyAlignment="1">
      <alignment horizontal="left" vertical="center" wrapText="1"/>
    </xf>
    <xf numFmtId="0" fontId="1" fillId="9"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8" fillId="9" borderId="1" xfId="0" applyFont="1" applyFill="1" applyBorder="1" applyAlignment="1">
      <alignment horizontal="center" vertical="center" textRotation="90"/>
    </xf>
    <xf numFmtId="0" fontId="4" fillId="15" borderId="2" xfId="0" applyFont="1" applyFill="1" applyBorder="1" applyAlignment="1">
      <alignment horizontal="center" vertical="center" wrapText="1"/>
    </xf>
    <xf numFmtId="0" fontId="4" fillId="9" borderId="1" xfId="0" applyFont="1" applyFill="1" applyBorder="1" applyAlignment="1">
      <alignment horizontal="center" vertical="center" wrapText="1"/>
    </xf>
    <xf numFmtId="166" fontId="13" fillId="5" borderId="4" xfId="0" applyNumberFormat="1" applyFont="1" applyFill="1" applyBorder="1" applyAlignment="1">
      <alignment vertical="center" wrapText="1"/>
    </xf>
    <xf numFmtId="166" fontId="13" fillId="5" borderId="5" xfId="0" applyNumberFormat="1" applyFont="1" applyFill="1" applyBorder="1" applyAlignment="1">
      <alignment vertical="center" wrapText="1"/>
    </xf>
    <xf numFmtId="0" fontId="8" fillId="5" borderId="5" xfId="1" applyFont="1" applyFill="1" applyBorder="1" applyAlignment="1">
      <alignment wrapText="1"/>
    </xf>
    <xf numFmtId="0" fontId="8" fillId="5" borderId="6" xfId="1" applyFont="1" applyFill="1" applyBorder="1" applyAlignment="1">
      <alignment wrapText="1"/>
    </xf>
    <xf numFmtId="0" fontId="8" fillId="19" borderId="4" xfId="0" applyNumberFormat="1" applyFont="1" applyFill="1" applyBorder="1" applyAlignment="1">
      <alignment vertical="center" wrapText="1"/>
    </xf>
    <xf numFmtId="0" fontId="8" fillId="19" borderId="5" xfId="0" applyNumberFormat="1" applyFont="1" applyFill="1" applyBorder="1" applyAlignment="1">
      <alignment vertical="center" wrapText="1"/>
    </xf>
    <xf numFmtId="0" fontId="8" fillId="19" borderId="6" xfId="0" applyNumberFormat="1" applyFont="1" applyFill="1" applyBorder="1" applyAlignment="1">
      <alignment vertical="center" wrapText="1"/>
    </xf>
    <xf numFmtId="166" fontId="8" fillId="5" borderId="8" xfId="0" applyNumberFormat="1" applyFont="1" applyFill="1" applyBorder="1" applyAlignment="1">
      <alignment vertical="center" wrapText="1"/>
    </xf>
    <xf numFmtId="166" fontId="8" fillId="5" borderId="0" xfId="0" applyNumberFormat="1" applyFont="1" applyFill="1" applyAlignment="1">
      <alignment vertical="center" wrapText="1"/>
    </xf>
    <xf numFmtId="44" fontId="8" fillId="5" borderId="0" xfId="1" applyNumberFormat="1" applyFont="1" applyFill="1" applyAlignment="1">
      <alignment wrapText="1"/>
    </xf>
    <xf numFmtId="0" fontId="8" fillId="5" borderId="9" xfId="1" applyFont="1" applyFill="1" applyBorder="1" applyAlignment="1">
      <alignment wrapText="1"/>
    </xf>
    <xf numFmtId="0" fontId="8" fillId="5" borderId="0" xfId="1" applyFont="1" applyFill="1" applyAlignment="1">
      <alignment wrapText="1"/>
    </xf>
    <xf numFmtId="10" fontId="8" fillId="5" borderId="0" xfId="224" applyNumberFormat="1" applyFont="1" applyFill="1" applyBorder="1" applyAlignment="1">
      <alignment wrapText="1"/>
    </xf>
    <xf numFmtId="10" fontId="8" fillId="5" borderId="9" xfId="224" applyNumberFormat="1" applyFont="1" applyFill="1" applyBorder="1" applyAlignment="1">
      <alignment wrapText="1"/>
    </xf>
    <xf numFmtId="166" fontId="8" fillId="5" borderId="4" xfId="0" applyNumberFormat="1" applyFont="1" applyFill="1" applyBorder="1" applyAlignment="1">
      <alignment vertical="center" wrapText="1"/>
    </xf>
    <xf numFmtId="166" fontId="8" fillId="5" borderId="5" xfId="0" applyNumberFormat="1" applyFont="1" applyFill="1" applyBorder="1" applyAlignment="1">
      <alignment vertical="center" wrapText="1"/>
    </xf>
    <xf numFmtId="166" fontId="8" fillId="5" borderId="6" xfId="0" applyNumberFormat="1" applyFont="1" applyFill="1" applyBorder="1" applyAlignment="1">
      <alignment vertical="center" wrapText="1"/>
    </xf>
    <xf numFmtId="0" fontId="8" fillId="19" borderId="1" xfId="0" applyNumberFormat="1" applyFont="1" applyFill="1" applyBorder="1" applyAlignment="1">
      <alignment horizontal="left" vertical="center" wrapText="1"/>
    </xf>
    <xf numFmtId="0" fontId="14" fillId="19" borderId="1" xfId="0" applyNumberFormat="1" applyFont="1" applyFill="1" applyBorder="1" applyAlignment="1">
      <alignment horizontal="center" vertical="center" wrapText="1"/>
    </xf>
    <xf numFmtId="0" fontId="2" fillId="9" borderId="2"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8" fillId="9" borderId="2" xfId="0" applyFont="1" applyFill="1" applyBorder="1" applyAlignment="1">
      <alignment horizontal="center" vertical="center" textRotation="90"/>
    </xf>
    <xf numFmtId="0" fontId="8" fillId="9" borderId="3" xfId="0" applyFont="1" applyFill="1" applyBorder="1" applyAlignment="1">
      <alignment horizontal="center" vertical="center" textRotation="90"/>
    </xf>
    <xf numFmtId="0" fontId="5" fillId="9" borderId="7" xfId="0" applyFont="1" applyFill="1" applyBorder="1" applyAlignment="1">
      <alignment horizontal="center" vertical="center" wrapText="1"/>
    </xf>
    <xf numFmtId="0" fontId="8" fillId="9" borderId="7" xfId="0" applyFont="1" applyFill="1" applyBorder="1" applyAlignment="1">
      <alignment horizontal="center" vertical="center" textRotation="90"/>
    </xf>
    <xf numFmtId="0" fontId="13" fillId="23" borderId="4" xfId="0" applyFont="1" applyFill="1" applyBorder="1" applyAlignment="1">
      <alignment vertical="center" wrapText="1"/>
    </xf>
    <xf numFmtId="0" fontId="13" fillId="23" borderId="5" xfId="0" applyFont="1" applyFill="1" applyBorder="1" applyAlignment="1">
      <alignment vertical="center" wrapText="1"/>
    </xf>
    <xf numFmtId="0" fontId="13" fillId="23" borderId="6" xfId="0" applyFont="1" applyFill="1" applyBorder="1" applyAlignment="1">
      <alignment vertical="center" wrapText="1"/>
    </xf>
    <xf numFmtId="0" fontId="14" fillId="24" borderId="1" xfId="0" quotePrefix="1" applyFont="1" applyFill="1" applyBorder="1" applyAlignment="1">
      <alignment horizontal="center" vertical="center" wrapText="1"/>
    </xf>
    <xf numFmtId="0" fontId="14" fillId="25" borderId="1" xfId="0" quotePrefix="1" applyFont="1" applyFill="1" applyBorder="1" applyAlignment="1">
      <alignment horizontal="center" vertical="center" wrapText="1"/>
    </xf>
    <xf numFmtId="0" fontId="14" fillId="26" borderId="1" xfId="0" quotePrefix="1" applyFont="1" applyFill="1" applyBorder="1" applyAlignment="1">
      <alignment horizontal="center" vertical="center" wrapText="1"/>
    </xf>
    <xf numFmtId="0" fontId="14" fillId="27" borderId="1" xfId="0" quotePrefix="1" applyFont="1" applyFill="1" applyBorder="1" applyAlignment="1">
      <alignment horizontal="center" vertical="center" wrapText="1"/>
    </xf>
    <xf numFmtId="0" fontId="26" fillId="28" borderId="1" xfId="0" quotePrefix="1" applyFont="1" applyFill="1" applyBorder="1" applyAlignment="1">
      <alignment horizontal="center" vertical="center" wrapText="1"/>
    </xf>
    <xf numFmtId="0" fontId="26" fillId="23" borderId="5" xfId="0" quotePrefix="1" applyFont="1" applyFill="1" applyBorder="1" applyAlignment="1">
      <alignment horizontal="center" vertical="center" wrapText="1"/>
    </xf>
    <xf numFmtId="0" fontId="26" fillId="23" borderId="6" xfId="0" quotePrefix="1" applyFont="1" applyFill="1" applyBorder="1" applyAlignment="1">
      <alignment horizontal="center" vertical="center" wrapText="1"/>
    </xf>
    <xf numFmtId="44" fontId="13" fillId="5" borderId="0" xfId="225" applyFont="1" applyFill="1" applyBorder="1" applyAlignment="1" applyProtection="1">
      <alignment horizontal="center" wrapText="1"/>
      <protection locked="0"/>
    </xf>
    <xf numFmtId="44" fontId="13" fillId="5" borderId="9" xfId="225" applyFont="1" applyFill="1" applyBorder="1" applyAlignment="1" applyProtection="1">
      <alignment horizontal="center" wrapText="1"/>
      <protection locked="0"/>
    </xf>
    <xf numFmtId="0" fontId="13" fillId="5" borderId="4" xfId="1" applyFont="1" applyFill="1" applyBorder="1" applyAlignment="1" applyProtection="1">
      <alignment wrapText="1"/>
      <protection locked="0"/>
    </xf>
    <xf numFmtId="0" fontId="13" fillId="5" borderId="5" xfId="1" applyFont="1" applyFill="1" applyBorder="1" applyAlignment="1" applyProtection="1">
      <alignment wrapText="1"/>
      <protection locked="0"/>
    </xf>
    <xf numFmtId="0" fontId="13" fillId="5" borderId="6" xfId="1" applyFont="1" applyFill="1" applyBorder="1" applyAlignment="1" applyProtection="1">
      <alignment wrapText="1"/>
      <protection locked="0"/>
    </xf>
    <xf numFmtId="2" fontId="13" fillId="5" borderId="10" xfId="12" applyNumberFormat="1" applyFont="1" applyFill="1" applyBorder="1" applyAlignment="1" applyProtection="1">
      <alignment wrapText="1"/>
      <protection locked="0"/>
    </xf>
    <xf numFmtId="2" fontId="13" fillId="5" borderId="11" xfId="12" applyNumberFormat="1" applyFont="1" applyFill="1" applyBorder="1" applyAlignment="1" applyProtection="1">
      <alignment wrapText="1"/>
      <protection locked="0"/>
    </xf>
    <xf numFmtId="0" fontId="14" fillId="23" borderId="4" xfId="0" quotePrefix="1" applyFont="1" applyFill="1" applyBorder="1" applyAlignment="1">
      <alignment horizontal="center" vertical="center" wrapText="1"/>
    </xf>
    <xf numFmtId="0" fontId="14" fillId="23" borderId="5" xfId="0" quotePrefix="1" applyFont="1" applyFill="1" applyBorder="1" applyAlignment="1">
      <alignment horizontal="center" vertical="center" wrapText="1"/>
    </xf>
    <xf numFmtId="0" fontId="14" fillId="23" borderId="6" xfId="0" quotePrefix="1" applyFont="1" applyFill="1" applyBorder="1" applyAlignment="1">
      <alignment horizontal="center" vertical="center" wrapText="1"/>
    </xf>
    <xf numFmtId="0" fontId="13" fillId="23" borderId="12" xfId="0" applyFont="1" applyFill="1" applyBorder="1" applyAlignment="1">
      <alignment horizontal="center" vertical="center" wrapText="1"/>
    </xf>
    <xf numFmtId="0" fontId="13" fillId="23" borderId="10" xfId="0" applyFont="1" applyFill="1" applyBorder="1" applyAlignment="1">
      <alignment horizontal="center" vertical="center" wrapText="1"/>
    </xf>
    <xf numFmtId="0" fontId="13" fillId="23" borderId="11" xfId="0" applyFont="1" applyFill="1" applyBorder="1" applyAlignment="1">
      <alignment horizontal="center" vertical="center" wrapText="1"/>
    </xf>
    <xf numFmtId="0" fontId="27" fillId="9" borderId="7" xfId="0" applyFont="1" applyFill="1" applyBorder="1" applyAlignment="1">
      <alignment horizontal="center" vertical="center" wrapText="1"/>
    </xf>
    <xf numFmtId="0" fontId="27" fillId="9" borderId="3" xfId="0" applyFont="1" applyFill="1" applyBorder="1" applyAlignment="1">
      <alignment horizontal="center" vertical="center" wrapText="1"/>
    </xf>
    <xf numFmtId="0" fontId="8" fillId="5" borderId="4" xfId="1" applyFont="1" applyFill="1" applyBorder="1" applyAlignment="1">
      <alignment horizontal="center" vertical="center" wrapText="1"/>
    </xf>
    <xf numFmtId="0" fontId="8" fillId="5" borderId="5" xfId="1" applyFont="1" applyFill="1" applyBorder="1" applyAlignment="1">
      <alignment horizontal="center" vertical="center" wrapText="1"/>
    </xf>
    <xf numFmtId="0" fontId="8" fillId="5" borderId="6" xfId="1" applyFont="1" applyFill="1" applyBorder="1" applyAlignment="1">
      <alignment horizontal="center" vertical="center" wrapText="1"/>
    </xf>
    <xf numFmtId="44" fontId="8" fillId="5" borderId="14" xfId="225" applyFont="1" applyFill="1" applyBorder="1" applyAlignment="1" applyProtection="1">
      <alignment horizontal="center" wrapText="1"/>
      <protection locked="0"/>
    </xf>
    <xf numFmtId="44" fontId="8" fillId="5" borderId="15" xfId="225" applyFont="1" applyFill="1" applyBorder="1" applyAlignment="1" applyProtection="1">
      <alignment horizontal="center" wrapText="1"/>
      <protection locked="0"/>
    </xf>
    <xf numFmtId="0" fontId="27" fillId="9" borderId="2" xfId="0" applyFont="1" applyFill="1" applyBorder="1" applyAlignment="1">
      <alignment horizontal="center" vertical="center" wrapText="1"/>
    </xf>
    <xf numFmtId="0" fontId="30" fillId="31" borderId="1" xfId="0" applyFont="1" applyFill="1" applyBorder="1" applyAlignment="1">
      <alignment horizontal="center" vertical="center" wrapText="1"/>
    </xf>
    <xf numFmtId="14" fontId="30" fillId="32" borderId="1" xfId="0" applyNumberFormat="1" applyFont="1" applyFill="1" applyBorder="1" applyAlignment="1">
      <alignment horizontal="center" vertical="center" wrapText="1"/>
    </xf>
    <xf numFmtId="0" fontId="30" fillId="33" borderId="1" xfId="0" applyFont="1" applyFill="1" applyBorder="1" applyAlignment="1">
      <alignment horizontal="center" vertical="center" wrapText="1"/>
    </xf>
    <xf numFmtId="8" fontId="30" fillId="33" borderId="0" xfId="0" applyNumberFormat="1" applyFont="1" applyFill="1" applyAlignment="1">
      <alignment wrapText="1"/>
    </xf>
    <xf numFmtId="0" fontId="30" fillId="33" borderId="0" xfId="0" applyFont="1" applyFill="1" applyAlignment="1">
      <alignment wrapText="1"/>
    </xf>
    <xf numFmtId="0" fontId="31" fillId="34" borderId="1" xfId="0" applyFont="1" applyFill="1" applyBorder="1" applyAlignment="1">
      <alignment horizontal="center" vertical="center" wrapText="1"/>
    </xf>
    <xf numFmtId="14" fontId="31" fillId="3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8" fontId="30" fillId="0" borderId="0" xfId="0" applyNumberFormat="1" applyFont="1" applyAlignment="1">
      <alignment wrapText="1"/>
    </xf>
    <xf numFmtId="0" fontId="30" fillId="0" borderId="0" xfId="0" applyFont="1" applyAlignment="1">
      <alignment wrapText="1"/>
    </xf>
    <xf numFmtId="0" fontId="31" fillId="0" borderId="1" xfId="0" applyFont="1" applyBorder="1" applyAlignment="1">
      <alignment horizontal="center" vertical="center" wrapText="1"/>
    </xf>
    <xf numFmtId="0" fontId="31" fillId="31" borderId="1" xfId="0" applyFont="1" applyFill="1" applyBorder="1" applyAlignment="1">
      <alignment horizontal="center" vertical="center" wrapText="1"/>
    </xf>
    <xf numFmtId="8" fontId="31" fillId="0" borderId="0" xfId="0" applyNumberFormat="1" applyFont="1" applyAlignment="1">
      <alignment wrapText="1"/>
    </xf>
    <xf numFmtId="0" fontId="31" fillId="0" borderId="0" xfId="0" applyFont="1" applyAlignment="1">
      <alignment wrapText="1"/>
    </xf>
    <xf numFmtId="0" fontId="31" fillId="32" borderId="1" xfId="0" applyFont="1" applyFill="1" applyBorder="1" applyAlignment="1">
      <alignment horizontal="center" vertical="center" wrapText="1"/>
    </xf>
    <xf numFmtId="0" fontId="13" fillId="0" borderId="0" xfId="1" applyFont="1" applyAlignment="1" applyProtection="1">
      <alignment wrapText="1"/>
      <protection locked="0"/>
    </xf>
  </cellXfs>
  <cellStyles count="226">
    <cellStyle name="20% - Accent1" xfId="47" xr:uid="{00000000-0005-0000-0000-000000000000}"/>
    <cellStyle name="40% - Accent4" xfId="25" xr:uid="{00000000-0005-0000-0000-000001000000}"/>
    <cellStyle name="40% - Accent6" xfId="26" xr:uid="{00000000-0005-0000-0000-000002000000}"/>
    <cellStyle name="60% - Accent1" xfId="28" xr:uid="{00000000-0005-0000-0000-000003000000}"/>
    <cellStyle name="Accent3" xfId="27" xr:uid="{00000000-0005-0000-0000-000004000000}"/>
    <cellStyle name="Moeda" xfId="223" builtinId="4"/>
    <cellStyle name="Moeda 10" xfId="225" xr:uid="{5C19135F-6AC7-4420-94ED-1CB313367FF5}"/>
    <cellStyle name="Moeda 2" xfId="5" xr:uid="{00000000-0005-0000-0000-000005000000}"/>
    <cellStyle name="Moeda 2 2" xfId="9" xr:uid="{00000000-0005-0000-0000-000006000000}"/>
    <cellStyle name="Moeda 3" xfId="8" xr:uid="{00000000-0005-0000-0000-000007000000}"/>
    <cellStyle name="Moeda 3 2" xfId="18" xr:uid="{00000000-0005-0000-0000-000008000000}"/>
    <cellStyle name="Moeda 3 2 2" xfId="40" xr:uid="{00000000-0005-0000-0000-000009000000}"/>
    <cellStyle name="Moeda 3 2 2 2" xfId="76" xr:uid="{00000000-0005-0000-0000-000009000000}"/>
    <cellStyle name="Moeda 3 2 2 3" xfId="111" xr:uid="{00000000-0005-0000-0000-000009000000}"/>
    <cellStyle name="Moeda 3 2 2 4" xfId="146" xr:uid="{00000000-0005-0000-0000-000009000000}"/>
    <cellStyle name="Moeda 3 2 2 5" xfId="181" xr:uid="{00000000-0005-0000-0000-000009000000}"/>
    <cellStyle name="Moeda 3 2 2 6" xfId="216" xr:uid="{00000000-0005-0000-0000-000009000000}"/>
    <cellStyle name="Moeda 3 2 3" xfId="58" xr:uid="{00000000-0005-0000-0000-000008000000}"/>
    <cellStyle name="Moeda 3 2 4" xfId="93" xr:uid="{00000000-0005-0000-0000-000008000000}"/>
    <cellStyle name="Moeda 3 2 5" xfId="128" xr:uid="{00000000-0005-0000-0000-000008000000}"/>
    <cellStyle name="Moeda 3 2 6" xfId="163" xr:uid="{00000000-0005-0000-0000-000008000000}"/>
    <cellStyle name="Moeda 3 2 7" xfId="198" xr:uid="{00000000-0005-0000-0000-000008000000}"/>
    <cellStyle name="Moeda 3 3" xfId="31" xr:uid="{00000000-0005-0000-0000-00000A000000}"/>
    <cellStyle name="Moeda 3 3 2" xfId="67" xr:uid="{00000000-0005-0000-0000-00000A000000}"/>
    <cellStyle name="Moeda 3 3 3" xfId="102" xr:uid="{00000000-0005-0000-0000-00000A000000}"/>
    <cellStyle name="Moeda 3 3 4" xfId="137" xr:uid="{00000000-0005-0000-0000-00000A000000}"/>
    <cellStyle name="Moeda 3 3 5" xfId="172" xr:uid="{00000000-0005-0000-0000-00000A000000}"/>
    <cellStyle name="Moeda 3 3 6" xfId="207" xr:uid="{00000000-0005-0000-0000-00000A000000}"/>
    <cellStyle name="Moeda 3 4" xfId="50" xr:uid="{00000000-0005-0000-0000-000007000000}"/>
    <cellStyle name="Moeda 3 5" xfId="85" xr:uid="{00000000-0005-0000-0000-000007000000}"/>
    <cellStyle name="Moeda 3 6" xfId="120" xr:uid="{00000000-0005-0000-0000-000007000000}"/>
    <cellStyle name="Moeda 3 7" xfId="155" xr:uid="{00000000-0005-0000-0000-000007000000}"/>
    <cellStyle name="Moeda 3 8" xfId="190" xr:uid="{00000000-0005-0000-0000-000007000000}"/>
    <cellStyle name="Moeda 4" xfId="13" xr:uid="{00000000-0005-0000-0000-00000B000000}"/>
    <cellStyle name="Moeda 4 2" xfId="22" xr:uid="{00000000-0005-0000-0000-00000C000000}"/>
    <cellStyle name="Moeda 4 2 2" xfId="44" xr:uid="{00000000-0005-0000-0000-00000D000000}"/>
    <cellStyle name="Moeda 4 2 2 2" xfId="80" xr:uid="{00000000-0005-0000-0000-00000D000000}"/>
    <cellStyle name="Moeda 4 2 2 3" xfId="115" xr:uid="{00000000-0005-0000-0000-00000D000000}"/>
    <cellStyle name="Moeda 4 2 2 4" xfId="150" xr:uid="{00000000-0005-0000-0000-00000D000000}"/>
    <cellStyle name="Moeda 4 2 2 5" xfId="185" xr:uid="{00000000-0005-0000-0000-00000D000000}"/>
    <cellStyle name="Moeda 4 2 2 6" xfId="220" xr:uid="{00000000-0005-0000-0000-00000D000000}"/>
    <cellStyle name="Moeda 4 2 3" xfId="62" xr:uid="{00000000-0005-0000-0000-00000C000000}"/>
    <cellStyle name="Moeda 4 2 4" xfId="97" xr:uid="{00000000-0005-0000-0000-00000C000000}"/>
    <cellStyle name="Moeda 4 2 5" xfId="132" xr:uid="{00000000-0005-0000-0000-00000C000000}"/>
    <cellStyle name="Moeda 4 2 6" xfId="167" xr:uid="{00000000-0005-0000-0000-00000C000000}"/>
    <cellStyle name="Moeda 4 2 7" xfId="202" xr:uid="{00000000-0005-0000-0000-00000C000000}"/>
    <cellStyle name="Moeda 4 3" xfId="35" xr:uid="{00000000-0005-0000-0000-00000E000000}"/>
    <cellStyle name="Moeda 4 3 2" xfId="71" xr:uid="{00000000-0005-0000-0000-00000E000000}"/>
    <cellStyle name="Moeda 4 3 3" xfId="106" xr:uid="{00000000-0005-0000-0000-00000E000000}"/>
    <cellStyle name="Moeda 4 3 4" xfId="141" xr:uid="{00000000-0005-0000-0000-00000E000000}"/>
    <cellStyle name="Moeda 4 3 5" xfId="176" xr:uid="{00000000-0005-0000-0000-00000E000000}"/>
    <cellStyle name="Moeda 4 3 6" xfId="211" xr:uid="{00000000-0005-0000-0000-00000E000000}"/>
    <cellStyle name="Moeda 4 4" xfId="53" xr:uid="{00000000-0005-0000-0000-00000B000000}"/>
    <cellStyle name="Moeda 4 5" xfId="88" xr:uid="{00000000-0005-0000-0000-00000B000000}"/>
    <cellStyle name="Moeda 4 6" xfId="123" xr:uid="{00000000-0005-0000-0000-00000B000000}"/>
    <cellStyle name="Moeda 4 7" xfId="158" xr:uid="{00000000-0005-0000-0000-00000B000000}"/>
    <cellStyle name="Moeda 4 8" xfId="193" xr:uid="{00000000-0005-0000-0000-00000B000000}"/>
    <cellStyle name="Moeda 5" xfId="21" xr:uid="{00000000-0005-0000-0000-00000F000000}"/>
    <cellStyle name="Moeda 5 2" xfId="43" xr:uid="{00000000-0005-0000-0000-000010000000}"/>
    <cellStyle name="Moeda 5 2 2" xfId="79" xr:uid="{00000000-0005-0000-0000-000010000000}"/>
    <cellStyle name="Moeda 5 2 3" xfId="114" xr:uid="{00000000-0005-0000-0000-000010000000}"/>
    <cellStyle name="Moeda 5 2 4" xfId="149" xr:uid="{00000000-0005-0000-0000-000010000000}"/>
    <cellStyle name="Moeda 5 2 5" xfId="184" xr:uid="{00000000-0005-0000-0000-000010000000}"/>
    <cellStyle name="Moeda 5 2 6" xfId="219" xr:uid="{00000000-0005-0000-0000-000010000000}"/>
    <cellStyle name="Moeda 5 3" xfId="61" xr:uid="{00000000-0005-0000-0000-00000F000000}"/>
    <cellStyle name="Moeda 5 4" xfId="96" xr:uid="{00000000-0005-0000-0000-00000F000000}"/>
    <cellStyle name="Moeda 5 5" xfId="131" xr:uid="{00000000-0005-0000-0000-00000F000000}"/>
    <cellStyle name="Moeda 5 6" xfId="166" xr:uid="{00000000-0005-0000-0000-00000F000000}"/>
    <cellStyle name="Moeda 5 7" xfId="201" xr:uid="{00000000-0005-0000-0000-00000F000000}"/>
    <cellStyle name="Moeda 6" xfId="34" xr:uid="{00000000-0005-0000-0000-000011000000}"/>
    <cellStyle name="Moeda 6 2" xfId="70" xr:uid="{00000000-0005-0000-0000-000011000000}"/>
    <cellStyle name="Moeda 6 3" xfId="105" xr:uid="{00000000-0005-0000-0000-000011000000}"/>
    <cellStyle name="Moeda 6 4" xfId="140" xr:uid="{00000000-0005-0000-0000-000011000000}"/>
    <cellStyle name="Moeda 6 5" xfId="175" xr:uid="{00000000-0005-0000-0000-000011000000}"/>
    <cellStyle name="Moeda 6 6" xfId="210" xr:uid="{00000000-0005-0000-0000-000011000000}"/>
    <cellStyle name="Normal" xfId="0" builtinId="0"/>
    <cellStyle name="Normal 2" xfId="1" xr:uid="{00000000-0005-0000-0000-000013000000}"/>
    <cellStyle name="Porcentagem" xfId="224" builtinId="5"/>
    <cellStyle name="Porcentagem 2" xfId="12" xr:uid="{00000000-0005-0000-0000-000014000000}"/>
    <cellStyle name="Separador de milhares 2" xfId="2" xr:uid="{00000000-0005-0000-0000-000015000000}"/>
    <cellStyle name="Separador de milhares 2 2" xfId="7" xr:uid="{00000000-0005-0000-0000-000016000000}"/>
    <cellStyle name="Separador de milhares 2 2 10" xfId="189" xr:uid="{00000000-0005-0000-0000-000016000000}"/>
    <cellStyle name="Separador de milhares 2 2 2" xfId="11" xr:uid="{00000000-0005-0000-0000-000017000000}"/>
    <cellStyle name="Separador de milhares 2 2 2 2" xfId="20" xr:uid="{00000000-0005-0000-0000-000018000000}"/>
    <cellStyle name="Separador de milhares 2 2 2 2 2" xfId="42" xr:uid="{00000000-0005-0000-0000-000019000000}"/>
    <cellStyle name="Separador de milhares 2 2 2 2 2 2" xfId="78" xr:uid="{00000000-0005-0000-0000-000019000000}"/>
    <cellStyle name="Separador de milhares 2 2 2 2 2 3" xfId="113" xr:uid="{00000000-0005-0000-0000-000019000000}"/>
    <cellStyle name="Separador de milhares 2 2 2 2 2 4" xfId="148" xr:uid="{00000000-0005-0000-0000-000019000000}"/>
    <cellStyle name="Separador de milhares 2 2 2 2 2 5" xfId="183" xr:uid="{00000000-0005-0000-0000-000019000000}"/>
    <cellStyle name="Separador de milhares 2 2 2 2 2 6" xfId="218" xr:uid="{00000000-0005-0000-0000-000019000000}"/>
    <cellStyle name="Separador de milhares 2 2 2 2 3" xfId="60" xr:uid="{00000000-0005-0000-0000-000018000000}"/>
    <cellStyle name="Separador de milhares 2 2 2 2 4" xfId="95" xr:uid="{00000000-0005-0000-0000-000018000000}"/>
    <cellStyle name="Separador de milhares 2 2 2 2 5" xfId="130" xr:uid="{00000000-0005-0000-0000-000018000000}"/>
    <cellStyle name="Separador de milhares 2 2 2 2 6" xfId="165" xr:uid="{00000000-0005-0000-0000-000018000000}"/>
    <cellStyle name="Separador de milhares 2 2 2 2 7" xfId="200" xr:uid="{00000000-0005-0000-0000-000018000000}"/>
    <cellStyle name="Separador de milhares 2 2 2 3" xfId="33" xr:uid="{00000000-0005-0000-0000-00001A000000}"/>
    <cellStyle name="Separador de milhares 2 2 2 3 2" xfId="69" xr:uid="{00000000-0005-0000-0000-00001A000000}"/>
    <cellStyle name="Separador de milhares 2 2 2 3 3" xfId="104" xr:uid="{00000000-0005-0000-0000-00001A000000}"/>
    <cellStyle name="Separador de milhares 2 2 2 3 4" xfId="139" xr:uid="{00000000-0005-0000-0000-00001A000000}"/>
    <cellStyle name="Separador de milhares 2 2 2 3 5" xfId="174" xr:uid="{00000000-0005-0000-0000-00001A000000}"/>
    <cellStyle name="Separador de milhares 2 2 2 3 6" xfId="209" xr:uid="{00000000-0005-0000-0000-00001A000000}"/>
    <cellStyle name="Separador de milhares 2 2 2 4" xfId="52" xr:uid="{00000000-0005-0000-0000-000017000000}"/>
    <cellStyle name="Separador de milhares 2 2 2 5" xfId="87" xr:uid="{00000000-0005-0000-0000-000017000000}"/>
    <cellStyle name="Separador de milhares 2 2 2 6" xfId="122" xr:uid="{00000000-0005-0000-0000-000017000000}"/>
    <cellStyle name="Separador de milhares 2 2 2 7" xfId="157" xr:uid="{00000000-0005-0000-0000-000017000000}"/>
    <cellStyle name="Separador de milhares 2 2 2 8" xfId="192" xr:uid="{00000000-0005-0000-0000-000017000000}"/>
    <cellStyle name="Separador de milhares 2 2 3" xfId="15" xr:uid="{00000000-0005-0000-0000-00001B000000}"/>
    <cellStyle name="Separador de milhares 2 2 3 2" xfId="24" xr:uid="{00000000-0005-0000-0000-00001C000000}"/>
    <cellStyle name="Separador de milhares 2 2 3 2 2" xfId="46" xr:uid="{00000000-0005-0000-0000-00001D000000}"/>
    <cellStyle name="Separador de milhares 2 2 3 2 2 2" xfId="82" xr:uid="{00000000-0005-0000-0000-00001D000000}"/>
    <cellStyle name="Separador de milhares 2 2 3 2 2 3" xfId="117" xr:uid="{00000000-0005-0000-0000-00001D000000}"/>
    <cellStyle name="Separador de milhares 2 2 3 2 2 4" xfId="152" xr:uid="{00000000-0005-0000-0000-00001D000000}"/>
    <cellStyle name="Separador de milhares 2 2 3 2 2 5" xfId="187" xr:uid="{00000000-0005-0000-0000-00001D000000}"/>
    <cellStyle name="Separador de milhares 2 2 3 2 2 6" xfId="222" xr:uid="{00000000-0005-0000-0000-00001D000000}"/>
    <cellStyle name="Separador de milhares 2 2 3 2 3" xfId="64" xr:uid="{00000000-0005-0000-0000-00001C000000}"/>
    <cellStyle name="Separador de milhares 2 2 3 2 4" xfId="99" xr:uid="{00000000-0005-0000-0000-00001C000000}"/>
    <cellStyle name="Separador de milhares 2 2 3 2 5" xfId="134" xr:uid="{00000000-0005-0000-0000-00001C000000}"/>
    <cellStyle name="Separador de milhares 2 2 3 2 6" xfId="169" xr:uid="{00000000-0005-0000-0000-00001C000000}"/>
    <cellStyle name="Separador de milhares 2 2 3 2 7" xfId="204" xr:uid="{00000000-0005-0000-0000-00001C000000}"/>
    <cellStyle name="Separador de milhares 2 2 3 3" xfId="37" xr:uid="{00000000-0005-0000-0000-00001E000000}"/>
    <cellStyle name="Separador de milhares 2 2 3 3 2" xfId="73" xr:uid="{00000000-0005-0000-0000-00001E000000}"/>
    <cellStyle name="Separador de milhares 2 2 3 3 3" xfId="108" xr:uid="{00000000-0005-0000-0000-00001E000000}"/>
    <cellStyle name="Separador de milhares 2 2 3 3 4" xfId="143" xr:uid="{00000000-0005-0000-0000-00001E000000}"/>
    <cellStyle name="Separador de milhares 2 2 3 3 5" xfId="178" xr:uid="{00000000-0005-0000-0000-00001E000000}"/>
    <cellStyle name="Separador de milhares 2 2 3 3 6" xfId="213" xr:uid="{00000000-0005-0000-0000-00001E000000}"/>
    <cellStyle name="Separador de milhares 2 2 3 4" xfId="55" xr:uid="{00000000-0005-0000-0000-00001B000000}"/>
    <cellStyle name="Separador de milhares 2 2 3 5" xfId="90" xr:uid="{00000000-0005-0000-0000-00001B000000}"/>
    <cellStyle name="Separador de milhares 2 2 3 6" xfId="125" xr:uid="{00000000-0005-0000-0000-00001B000000}"/>
    <cellStyle name="Separador de milhares 2 2 3 7" xfId="160" xr:uid="{00000000-0005-0000-0000-00001B000000}"/>
    <cellStyle name="Separador de milhares 2 2 3 8" xfId="195" xr:uid="{00000000-0005-0000-0000-00001B000000}"/>
    <cellStyle name="Separador de milhares 2 2 4" xfId="17" xr:uid="{00000000-0005-0000-0000-00001F000000}"/>
    <cellStyle name="Separador de milhares 2 2 4 2" xfId="39" xr:uid="{00000000-0005-0000-0000-000020000000}"/>
    <cellStyle name="Separador de milhares 2 2 4 2 2" xfId="75" xr:uid="{00000000-0005-0000-0000-000020000000}"/>
    <cellStyle name="Separador de milhares 2 2 4 2 3" xfId="110" xr:uid="{00000000-0005-0000-0000-000020000000}"/>
    <cellStyle name="Separador de milhares 2 2 4 2 4" xfId="145" xr:uid="{00000000-0005-0000-0000-000020000000}"/>
    <cellStyle name="Separador de milhares 2 2 4 2 5" xfId="180" xr:uid="{00000000-0005-0000-0000-000020000000}"/>
    <cellStyle name="Separador de milhares 2 2 4 2 6" xfId="215" xr:uid="{00000000-0005-0000-0000-000020000000}"/>
    <cellStyle name="Separador de milhares 2 2 4 3" xfId="57" xr:uid="{00000000-0005-0000-0000-00001F000000}"/>
    <cellStyle name="Separador de milhares 2 2 4 4" xfId="92" xr:uid="{00000000-0005-0000-0000-00001F000000}"/>
    <cellStyle name="Separador de milhares 2 2 4 5" xfId="127" xr:uid="{00000000-0005-0000-0000-00001F000000}"/>
    <cellStyle name="Separador de milhares 2 2 4 6" xfId="162" xr:uid="{00000000-0005-0000-0000-00001F000000}"/>
    <cellStyle name="Separador de milhares 2 2 4 7" xfId="197" xr:uid="{00000000-0005-0000-0000-00001F000000}"/>
    <cellStyle name="Separador de milhares 2 2 5" xfId="30" xr:uid="{00000000-0005-0000-0000-000021000000}"/>
    <cellStyle name="Separador de milhares 2 2 5 2" xfId="66" xr:uid="{00000000-0005-0000-0000-000021000000}"/>
    <cellStyle name="Separador de milhares 2 2 5 3" xfId="101" xr:uid="{00000000-0005-0000-0000-000021000000}"/>
    <cellStyle name="Separador de milhares 2 2 5 4" xfId="136" xr:uid="{00000000-0005-0000-0000-000021000000}"/>
    <cellStyle name="Separador de milhares 2 2 5 5" xfId="171" xr:uid="{00000000-0005-0000-0000-000021000000}"/>
    <cellStyle name="Separador de milhares 2 2 5 6" xfId="206" xr:uid="{00000000-0005-0000-0000-000021000000}"/>
    <cellStyle name="Separador de milhares 2 2 6" xfId="49" xr:uid="{00000000-0005-0000-0000-000016000000}"/>
    <cellStyle name="Separador de milhares 2 2 7" xfId="84" xr:uid="{00000000-0005-0000-0000-000016000000}"/>
    <cellStyle name="Separador de milhares 2 2 8" xfId="119" xr:uid="{00000000-0005-0000-0000-000016000000}"/>
    <cellStyle name="Separador de milhares 2 2 9" xfId="154" xr:uid="{00000000-0005-0000-0000-000016000000}"/>
    <cellStyle name="Separador de milhares 2 3" xfId="6" xr:uid="{00000000-0005-0000-0000-000022000000}"/>
    <cellStyle name="Separador de milhares 2 3 10" xfId="188" xr:uid="{00000000-0005-0000-0000-000022000000}"/>
    <cellStyle name="Separador de milhares 2 3 2" xfId="10" xr:uid="{00000000-0005-0000-0000-000023000000}"/>
    <cellStyle name="Separador de milhares 2 3 2 2" xfId="19" xr:uid="{00000000-0005-0000-0000-000024000000}"/>
    <cellStyle name="Separador de milhares 2 3 2 2 2" xfId="41" xr:uid="{00000000-0005-0000-0000-000025000000}"/>
    <cellStyle name="Separador de milhares 2 3 2 2 2 2" xfId="77" xr:uid="{00000000-0005-0000-0000-000025000000}"/>
    <cellStyle name="Separador de milhares 2 3 2 2 2 3" xfId="112" xr:uid="{00000000-0005-0000-0000-000025000000}"/>
    <cellStyle name="Separador de milhares 2 3 2 2 2 4" xfId="147" xr:uid="{00000000-0005-0000-0000-000025000000}"/>
    <cellStyle name="Separador de milhares 2 3 2 2 2 5" xfId="182" xr:uid="{00000000-0005-0000-0000-000025000000}"/>
    <cellStyle name="Separador de milhares 2 3 2 2 2 6" xfId="217" xr:uid="{00000000-0005-0000-0000-000025000000}"/>
    <cellStyle name="Separador de milhares 2 3 2 2 3" xfId="59" xr:uid="{00000000-0005-0000-0000-000024000000}"/>
    <cellStyle name="Separador de milhares 2 3 2 2 4" xfId="94" xr:uid="{00000000-0005-0000-0000-000024000000}"/>
    <cellStyle name="Separador de milhares 2 3 2 2 5" xfId="129" xr:uid="{00000000-0005-0000-0000-000024000000}"/>
    <cellStyle name="Separador de milhares 2 3 2 2 6" xfId="164" xr:uid="{00000000-0005-0000-0000-000024000000}"/>
    <cellStyle name="Separador de milhares 2 3 2 2 7" xfId="199" xr:uid="{00000000-0005-0000-0000-000024000000}"/>
    <cellStyle name="Separador de milhares 2 3 2 3" xfId="32" xr:uid="{00000000-0005-0000-0000-000026000000}"/>
    <cellStyle name="Separador de milhares 2 3 2 3 2" xfId="68" xr:uid="{00000000-0005-0000-0000-000026000000}"/>
    <cellStyle name="Separador de milhares 2 3 2 3 3" xfId="103" xr:uid="{00000000-0005-0000-0000-000026000000}"/>
    <cellStyle name="Separador de milhares 2 3 2 3 4" xfId="138" xr:uid="{00000000-0005-0000-0000-000026000000}"/>
    <cellStyle name="Separador de milhares 2 3 2 3 5" xfId="173" xr:uid="{00000000-0005-0000-0000-000026000000}"/>
    <cellStyle name="Separador de milhares 2 3 2 3 6" xfId="208" xr:uid="{00000000-0005-0000-0000-000026000000}"/>
    <cellStyle name="Separador de milhares 2 3 2 4" xfId="51" xr:uid="{00000000-0005-0000-0000-000023000000}"/>
    <cellStyle name="Separador de milhares 2 3 2 5" xfId="86" xr:uid="{00000000-0005-0000-0000-000023000000}"/>
    <cellStyle name="Separador de milhares 2 3 2 6" xfId="121" xr:uid="{00000000-0005-0000-0000-000023000000}"/>
    <cellStyle name="Separador de milhares 2 3 2 7" xfId="156" xr:uid="{00000000-0005-0000-0000-000023000000}"/>
    <cellStyle name="Separador de milhares 2 3 2 8" xfId="191" xr:uid="{00000000-0005-0000-0000-000023000000}"/>
    <cellStyle name="Separador de milhares 2 3 3" xfId="14" xr:uid="{00000000-0005-0000-0000-000027000000}"/>
    <cellStyle name="Separador de milhares 2 3 3 2" xfId="23" xr:uid="{00000000-0005-0000-0000-000028000000}"/>
    <cellStyle name="Separador de milhares 2 3 3 2 2" xfId="45" xr:uid="{00000000-0005-0000-0000-000029000000}"/>
    <cellStyle name="Separador de milhares 2 3 3 2 2 2" xfId="81" xr:uid="{00000000-0005-0000-0000-000029000000}"/>
    <cellStyle name="Separador de milhares 2 3 3 2 2 3" xfId="116" xr:uid="{00000000-0005-0000-0000-000029000000}"/>
    <cellStyle name="Separador de milhares 2 3 3 2 2 4" xfId="151" xr:uid="{00000000-0005-0000-0000-000029000000}"/>
    <cellStyle name="Separador de milhares 2 3 3 2 2 5" xfId="186" xr:uid="{00000000-0005-0000-0000-000029000000}"/>
    <cellStyle name="Separador de milhares 2 3 3 2 2 6" xfId="221" xr:uid="{00000000-0005-0000-0000-000029000000}"/>
    <cellStyle name="Separador de milhares 2 3 3 2 3" xfId="63" xr:uid="{00000000-0005-0000-0000-000028000000}"/>
    <cellStyle name="Separador de milhares 2 3 3 2 4" xfId="98" xr:uid="{00000000-0005-0000-0000-000028000000}"/>
    <cellStyle name="Separador de milhares 2 3 3 2 5" xfId="133" xr:uid="{00000000-0005-0000-0000-000028000000}"/>
    <cellStyle name="Separador de milhares 2 3 3 2 6" xfId="168" xr:uid="{00000000-0005-0000-0000-000028000000}"/>
    <cellStyle name="Separador de milhares 2 3 3 2 7" xfId="203" xr:uid="{00000000-0005-0000-0000-000028000000}"/>
    <cellStyle name="Separador de milhares 2 3 3 3" xfId="36" xr:uid="{00000000-0005-0000-0000-00002A000000}"/>
    <cellStyle name="Separador de milhares 2 3 3 3 2" xfId="72" xr:uid="{00000000-0005-0000-0000-00002A000000}"/>
    <cellStyle name="Separador de milhares 2 3 3 3 3" xfId="107" xr:uid="{00000000-0005-0000-0000-00002A000000}"/>
    <cellStyle name="Separador de milhares 2 3 3 3 4" xfId="142" xr:uid="{00000000-0005-0000-0000-00002A000000}"/>
    <cellStyle name="Separador de milhares 2 3 3 3 5" xfId="177" xr:uid="{00000000-0005-0000-0000-00002A000000}"/>
    <cellStyle name="Separador de milhares 2 3 3 3 6" xfId="212" xr:uid="{00000000-0005-0000-0000-00002A000000}"/>
    <cellStyle name="Separador de milhares 2 3 3 4" xfId="54" xr:uid="{00000000-0005-0000-0000-000027000000}"/>
    <cellStyle name="Separador de milhares 2 3 3 5" xfId="89" xr:uid="{00000000-0005-0000-0000-000027000000}"/>
    <cellStyle name="Separador de milhares 2 3 3 6" xfId="124" xr:uid="{00000000-0005-0000-0000-000027000000}"/>
    <cellStyle name="Separador de milhares 2 3 3 7" xfId="159" xr:uid="{00000000-0005-0000-0000-000027000000}"/>
    <cellStyle name="Separador de milhares 2 3 3 8" xfId="194" xr:uid="{00000000-0005-0000-0000-000027000000}"/>
    <cellStyle name="Separador de milhares 2 3 4" xfId="16" xr:uid="{00000000-0005-0000-0000-00002B000000}"/>
    <cellStyle name="Separador de milhares 2 3 4 2" xfId="38" xr:uid="{00000000-0005-0000-0000-00002C000000}"/>
    <cellStyle name="Separador de milhares 2 3 4 2 2" xfId="74" xr:uid="{00000000-0005-0000-0000-00002C000000}"/>
    <cellStyle name="Separador de milhares 2 3 4 2 3" xfId="109" xr:uid="{00000000-0005-0000-0000-00002C000000}"/>
    <cellStyle name="Separador de milhares 2 3 4 2 4" xfId="144" xr:uid="{00000000-0005-0000-0000-00002C000000}"/>
    <cellStyle name="Separador de milhares 2 3 4 2 5" xfId="179" xr:uid="{00000000-0005-0000-0000-00002C000000}"/>
    <cellStyle name="Separador de milhares 2 3 4 2 6" xfId="214" xr:uid="{00000000-0005-0000-0000-00002C000000}"/>
    <cellStyle name="Separador de milhares 2 3 4 3" xfId="56" xr:uid="{00000000-0005-0000-0000-00002B000000}"/>
    <cellStyle name="Separador de milhares 2 3 4 4" xfId="91" xr:uid="{00000000-0005-0000-0000-00002B000000}"/>
    <cellStyle name="Separador de milhares 2 3 4 5" xfId="126" xr:uid="{00000000-0005-0000-0000-00002B000000}"/>
    <cellStyle name="Separador de milhares 2 3 4 6" xfId="161" xr:uid="{00000000-0005-0000-0000-00002B000000}"/>
    <cellStyle name="Separador de milhares 2 3 4 7" xfId="196" xr:uid="{00000000-0005-0000-0000-00002B000000}"/>
    <cellStyle name="Separador de milhares 2 3 5" xfId="29" xr:uid="{00000000-0005-0000-0000-00002D000000}"/>
    <cellStyle name="Separador de milhares 2 3 5 2" xfId="65" xr:uid="{00000000-0005-0000-0000-00002D000000}"/>
    <cellStyle name="Separador de milhares 2 3 5 3" xfId="100" xr:uid="{00000000-0005-0000-0000-00002D000000}"/>
    <cellStyle name="Separador de milhares 2 3 5 4" xfId="135" xr:uid="{00000000-0005-0000-0000-00002D000000}"/>
    <cellStyle name="Separador de milhares 2 3 5 5" xfId="170" xr:uid="{00000000-0005-0000-0000-00002D000000}"/>
    <cellStyle name="Separador de milhares 2 3 5 6" xfId="205" xr:uid="{00000000-0005-0000-0000-00002D000000}"/>
    <cellStyle name="Separador de milhares 2 3 6" xfId="48" xr:uid="{00000000-0005-0000-0000-000022000000}"/>
    <cellStyle name="Separador de milhares 2 3 7" xfId="83" xr:uid="{00000000-0005-0000-0000-000022000000}"/>
    <cellStyle name="Separador de milhares 2 3 8" xfId="118" xr:uid="{00000000-0005-0000-0000-000022000000}"/>
    <cellStyle name="Separador de milhares 2 3 9" xfId="153" xr:uid="{00000000-0005-0000-0000-000022000000}"/>
    <cellStyle name="Separador de milhares 3" xfId="3" xr:uid="{00000000-0005-0000-0000-00002E000000}"/>
    <cellStyle name="Título 5" xfId="4" xr:uid="{00000000-0005-0000-0000-00002F000000}"/>
  </cellStyles>
  <dxfs count="66">
    <dxf>
      <numFmt numFmtId="1" formatCode="0"/>
      <fill>
        <patternFill>
          <bgColor theme="5" tint="0.59996337778862885"/>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rgb="FFFFFF00"/>
        </patternFill>
      </fill>
    </dxf>
    <dxf>
      <font>
        <b val="0"/>
        <i val="0"/>
        <strike val="0"/>
      </font>
      <fill>
        <patternFill>
          <bgColor rgb="FFFFFF00"/>
        </patternFill>
      </fill>
    </dxf>
    <dxf>
      <numFmt numFmtId="171" formatCode="0.00_ ;[Red]\-0.00\ "/>
    </dxf>
    <dxf>
      <font>
        <color rgb="FF9C0006"/>
      </font>
      <fill>
        <patternFill>
          <bgColor rgb="FFFFC7CE"/>
        </patternFill>
      </fill>
    </dxf>
    <dxf>
      <font>
        <color rgb="FF9C5700"/>
      </font>
      <fill>
        <patternFill>
          <bgColor rgb="FFFFEB9C"/>
        </patternFill>
      </fill>
    </dxf>
    <dxf>
      <numFmt numFmtId="1" formatCode="0"/>
      <fill>
        <patternFill>
          <bgColor theme="5" tint="0.59996337778862885"/>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
      <font>
        <color auto="1"/>
      </font>
      <fill>
        <patternFill>
          <bgColor rgb="FFFFFF00"/>
        </patternFill>
      </fill>
    </dxf>
    <dxf>
      <font>
        <color rgb="FF9C5700"/>
      </font>
      <fill>
        <patternFill>
          <bgColor rgb="FFFFEB9C"/>
        </patternFill>
      </fill>
    </dxf>
    <dxf>
      <numFmt numFmtId="1" formatCode="0"/>
      <fill>
        <patternFill>
          <bgColor theme="5" tint="0.59996337778862885"/>
        </patternFill>
      </fill>
    </dxf>
    <dxf>
      <font>
        <b/>
        <i val="0"/>
      </font>
      <fill>
        <patternFill>
          <fgColor indexed="64"/>
          <bgColor rgb="FF92D050"/>
        </patternFill>
      </fill>
    </dxf>
  </dxfs>
  <tableStyles count="1" defaultTableStyle="TableStyleMedium9" defaultPivotStyle="PivotStyleLight16">
    <tableStyle name="Invisible" pivot="0" table="0" count="0" xr9:uid="{F3812699-0B8A-4FB7-82CD-E36E74D90E51}"/>
  </tableStyles>
  <colors>
    <mruColors>
      <color rgb="FF0000FF"/>
      <color rgb="FFFF99CC"/>
      <color rgb="FFFF99FF"/>
      <color rgb="FF66FF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1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418C7B9C-88C8-4BBC-9119-F3D8FEA032E2}"/>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5B053B93-2A3A-43FD-9B06-EA829CAC192B}"/>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719C630C-EB67-475A-9C60-E7A195DD5920}"/>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BCCD5308-2BE4-4DBB-9510-78168CA68B95}"/>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E2EE54E2-7560-474E-8EBD-CB0668F7B31F}"/>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D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DC39A8A1-0E29-4E05-957A-8A64A5117A39}"/>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1EC8F31-5107-48A5-A017-1FD57BB7F637}"/>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CDC22391-306F-411B-A2F9-27F5E1FDA3EB}"/>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FBB74A83-3E91-43D5-93BB-F4DE51EE819E}"/>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D5960659-F07B-41F1-B754-2624EA46C53F}"/>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564E23A0-8CBE-4CF0-961A-F05B7DC99430}"/>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A3DFBA9F-31C3-495C-B3F8-90989943C10A}"/>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2681C243-638E-4935-9C22-A2D30277C2C9}"/>
            </a:ext>
          </a:extLst>
        </xdr:cNvPr>
        <xdr:cNvSpPr>
          <a:spLocks noChangeArrowheads="1"/>
        </xdr:cNvSpPr>
      </xdr:nvSpPr>
      <xdr:spPr bwMode="auto">
        <a:xfrm>
          <a:off x="132397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persons/person.xml><?xml version="1.0" encoding="utf-8"?>
<personList xmlns="http://schemas.microsoft.com/office/spreadsheetml/2018/threadedcomments" xmlns:x="http://schemas.openxmlformats.org/spreadsheetml/2006/main">
  <person displayName="Camila Luca" id="{E590FC0C-3483-4A0B-80DD-02AEF1304338}"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25"/>
  <sheetViews>
    <sheetView topLeftCell="A19" zoomScale="70" zoomScaleNormal="70" workbookViewId="0">
      <selection activeCell="U3" sqref="U3"/>
    </sheetView>
  </sheetViews>
  <sheetFormatPr defaultColWidth="9.7265625" defaultRowHeight="14.5" x14ac:dyDescent="0.35"/>
  <cols>
    <col min="1" max="1" width="6.1796875" style="1" customWidth="1"/>
    <col min="2" max="2" width="13.7265625" style="1" customWidth="1"/>
    <col min="3" max="3" width="10.26953125" style="1" customWidth="1"/>
    <col min="4" max="4" width="32.1796875" style="12" customWidth="1"/>
    <col min="5" max="5" width="11.1796875" style="1" customWidth="1"/>
    <col min="6" max="6" width="12.453125" style="1" customWidth="1"/>
    <col min="7" max="7" width="11.54296875" style="1" customWidth="1"/>
    <col min="8" max="15" width="7.1796875" style="6" customWidth="1"/>
    <col min="16" max="16" width="7.1796875" style="13" customWidth="1"/>
    <col min="17" max="17" width="7.1796875" style="4" customWidth="1"/>
    <col min="18" max="18" width="15.7265625" style="5" customWidth="1"/>
    <col min="19" max="29" width="12.7265625" style="5" customWidth="1"/>
    <col min="30" max="40" width="12.7265625" style="2" customWidth="1"/>
    <col min="41" max="16384" width="9.7265625" style="2"/>
  </cols>
  <sheetData>
    <row r="1" spans="1:40" ht="54.75" customHeight="1" x14ac:dyDescent="0.35">
      <c r="A1" s="104" t="s">
        <v>42</v>
      </c>
      <c r="B1" s="104"/>
      <c r="C1" s="104"/>
      <c r="D1" s="101" t="s">
        <v>80</v>
      </c>
      <c r="E1" s="102"/>
      <c r="F1" s="102"/>
      <c r="G1" s="102"/>
      <c r="H1" s="102"/>
      <c r="I1" s="101" t="s">
        <v>44</v>
      </c>
      <c r="J1" s="102"/>
      <c r="K1" s="102"/>
      <c r="L1" s="102"/>
      <c r="M1" s="102"/>
      <c r="N1" s="102"/>
      <c r="O1" s="102"/>
      <c r="P1" s="102"/>
      <c r="Q1" s="103"/>
      <c r="R1" s="55" t="s">
        <v>78</v>
      </c>
      <c r="S1" s="55" t="s">
        <v>82</v>
      </c>
      <c r="T1" s="55" t="s">
        <v>111</v>
      </c>
      <c r="U1" s="55" t="s">
        <v>114</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7.75" customHeight="1" x14ac:dyDescent="0.35">
      <c r="A2" s="101" t="s">
        <v>41</v>
      </c>
      <c r="B2" s="102"/>
      <c r="C2" s="102"/>
      <c r="D2" s="102"/>
      <c r="E2" s="102"/>
      <c r="F2" s="102"/>
      <c r="G2" s="102"/>
      <c r="H2" s="103"/>
      <c r="I2" s="98" t="s">
        <v>75</v>
      </c>
      <c r="J2" s="99"/>
      <c r="K2" s="99"/>
      <c r="L2" s="99"/>
      <c r="M2" s="99"/>
      <c r="N2" s="99"/>
      <c r="O2" s="99"/>
      <c r="P2" s="99"/>
      <c r="Q2" s="100"/>
      <c r="R2" s="55" t="s">
        <v>79</v>
      </c>
      <c r="S2" s="55" t="s">
        <v>81</v>
      </c>
      <c r="T2" s="55" t="s">
        <v>79</v>
      </c>
      <c r="U2" s="55" t="s">
        <v>79</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72.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56">
        <v>45785</v>
      </c>
      <c r="S3" s="56">
        <v>45917</v>
      </c>
      <c r="T3" s="56">
        <v>45931</v>
      </c>
      <c r="U3" s="56">
        <v>45952</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5" t="s">
        <v>47</v>
      </c>
      <c r="C4" s="21">
        <v>1</v>
      </c>
      <c r="D4" s="47" t="s">
        <v>54</v>
      </c>
      <c r="E4" s="28" t="s">
        <v>53</v>
      </c>
      <c r="F4" s="24" t="s">
        <v>50</v>
      </c>
      <c r="G4" s="25">
        <v>5.84</v>
      </c>
      <c r="H4" s="31">
        <v>20</v>
      </c>
      <c r="I4" s="34">
        <f>IF(SUM(R4:AN4)&gt;H4+K4,H4+K4,SUM(R4:AN4))</f>
        <v>8</v>
      </c>
      <c r="J4" s="34">
        <f>(SUM(R4:AN4))</f>
        <v>8</v>
      </c>
      <c r="K4" s="35"/>
      <c r="L4" s="37">
        <f>ROUND(IF(H4*0.25-0.5&lt;0,0,H4*0.25-0.5),0)-O4-M4</f>
        <v>5</v>
      </c>
      <c r="M4" s="35"/>
      <c r="N4" s="35"/>
      <c r="O4" s="35"/>
      <c r="P4" s="50">
        <f>H4-(SUM(R4:AN4))+K4+M4+N4-O4</f>
        <v>12</v>
      </c>
      <c r="Q4" s="49" t="str">
        <f>IF(P4&lt;0,"ATENÇÃO","OK")</f>
        <v>OK</v>
      </c>
      <c r="R4" s="19">
        <v>8</v>
      </c>
      <c r="S4" s="57"/>
      <c r="T4" s="57"/>
      <c r="U4" s="57"/>
      <c r="V4" s="57"/>
      <c r="W4" s="57"/>
      <c r="X4" s="57"/>
      <c r="Y4" s="57"/>
      <c r="Z4" s="57"/>
      <c r="AA4" s="57"/>
      <c r="AB4" s="57"/>
      <c r="AC4" s="57"/>
      <c r="AD4" s="58"/>
      <c r="AE4" s="58"/>
      <c r="AF4" s="58"/>
      <c r="AG4" s="58"/>
      <c r="AH4" s="58"/>
      <c r="AI4" s="58"/>
      <c r="AJ4" s="58"/>
      <c r="AK4" s="58"/>
      <c r="AL4" s="58"/>
      <c r="AM4" s="58"/>
      <c r="AN4" s="58"/>
    </row>
    <row r="5" spans="1:40" s="7" customFormat="1" ht="48.75" customHeight="1" x14ac:dyDescent="0.35">
      <c r="A5" s="107"/>
      <c r="B5" s="106"/>
      <c r="C5" s="23">
        <v>2</v>
      </c>
      <c r="D5" s="47" t="s">
        <v>55</v>
      </c>
      <c r="E5" s="28" t="s">
        <v>53</v>
      </c>
      <c r="F5" s="24" t="s">
        <v>50</v>
      </c>
      <c r="G5" s="25">
        <v>6.13</v>
      </c>
      <c r="H5" s="32">
        <v>1500</v>
      </c>
      <c r="I5" s="34">
        <f t="shared" ref="I5:I21" si="0">IF(SUM(R5:AN5)&gt;H5+K5,H5+K5,SUM(R5:AN5))</f>
        <v>1064</v>
      </c>
      <c r="J5" s="34">
        <f t="shared" ref="J5:J21" si="1">(SUM(R5:AN5))</f>
        <v>1064</v>
      </c>
      <c r="K5" s="36"/>
      <c r="L5" s="37">
        <f t="shared" ref="L5:L21" si="2">ROUND(IF(H5*0.25-0.5&lt;0,0,H5*0.25-0.5),0)-O5-M5</f>
        <v>375</v>
      </c>
      <c r="M5" s="36"/>
      <c r="N5" s="36"/>
      <c r="O5" s="36"/>
      <c r="P5" s="50">
        <f t="shared" ref="P5:P21" si="3">H5-(SUM(R5:AN5))+K5+M5+N5-O5</f>
        <v>436</v>
      </c>
      <c r="Q5" s="49" t="str">
        <f t="shared" ref="Q5:Q21" si="4">IF(P5&lt;0,"ATENÇÃO","OK")</f>
        <v>OK</v>
      </c>
      <c r="R5" s="19">
        <v>1064</v>
      </c>
      <c r="S5" s="57"/>
      <c r="T5" s="57"/>
      <c r="U5" s="57"/>
      <c r="V5" s="57"/>
      <c r="W5" s="57"/>
      <c r="X5" s="57"/>
      <c r="Y5" s="57"/>
      <c r="Z5" s="57"/>
      <c r="AA5" s="57"/>
      <c r="AB5" s="57"/>
      <c r="AC5" s="57"/>
      <c r="AD5" s="59"/>
      <c r="AE5" s="59"/>
      <c r="AF5" s="59"/>
      <c r="AG5" s="59"/>
      <c r="AH5" s="59"/>
      <c r="AI5" s="59"/>
      <c r="AJ5" s="59"/>
      <c r="AK5" s="59"/>
      <c r="AL5" s="59"/>
      <c r="AM5" s="59"/>
      <c r="AN5" s="59"/>
    </row>
    <row r="6" spans="1:40" s="7" customFormat="1" ht="48.75" customHeight="1" x14ac:dyDescent="0.35">
      <c r="A6" s="107"/>
      <c r="B6" s="106"/>
      <c r="C6" s="21">
        <v>3</v>
      </c>
      <c r="D6" s="47" t="s">
        <v>112</v>
      </c>
      <c r="E6" s="28" t="s">
        <v>53</v>
      </c>
      <c r="F6" s="24" t="s">
        <v>50</v>
      </c>
      <c r="G6" s="25">
        <v>6.13</v>
      </c>
      <c r="H6" s="32">
        <v>1000</v>
      </c>
      <c r="I6" s="34">
        <f t="shared" si="0"/>
        <v>444</v>
      </c>
      <c r="J6" s="34">
        <f t="shared" si="1"/>
        <v>444</v>
      </c>
      <c r="K6" s="36"/>
      <c r="L6" s="37">
        <f t="shared" si="2"/>
        <v>250</v>
      </c>
      <c r="M6" s="36"/>
      <c r="N6" s="36"/>
      <c r="O6" s="36"/>
      <c r="P6" s="50">
        <f t="shared" si="3"/>
        <v>556</v>
      </c>
      <c r="Q6" s="49" t="str">
        <f t="shared" si="4"/>
        <v>OK</v>
      </c>
      <c r="R6" s="19"/>
      <c r="S6" s="57"/>
      <c r="T6" s="57">
        <v>444</v>
      </c>
      <c r="U6" s="57"/>
      <c r="V6" s="57"/>
      <c r="W6" s="57"/>
      <c r="X6" s="57"/>
      <c r="Y6" s="57"/>
      <c r="Z6" s="57"/>
      <c r="AA6" s="57"/>
      <c r="AB6" s="57"/>
      <c r="AC6" s="57"/>
      <c r="AD6" s="59"/>
      <c r="AE6" s="59"/>
      <c r="AF6" s="59"/>
      <c r="AG6" s="59"/>
      <c r="AH6" s="59"/>
      <c r="AI6" s="59"/>
      <c r="AJ6" s="59"/>
      <c r="AK6" s="59"/>
      <c r="AL6" s="59"/>
      <c r="AM6" s="59"/>
      <c r="AN6" s="5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9"/>
      <c r="S7" s="57"/>
      <c r="T7" s="57"/>
      <c r="U7" s="57"/>
      <c r="V7" s="57"/>
      <c r="W7" s="57"/>
      <c r="X7" s="57"/>
      <c r="Y7" s="57"/>
      <c r="Z7" s="57"/>
      <c r="AA7" s="57"/>
      <c r="AB7" s="57"/>
      <c r="AC7" s="57"/>
      <c r="AD7" s="59"/>
      <c r="AE7" s="59"/>
      <c r="AF7" s="59"/>
      <c r="AG7" s="59"/>
      <c r="AH7" s="59"/>
      <c r="AI7" s="59"/>
      <c r="AJ7" s="59"/>
      <c r="AK7" s="59"/>
      <c r="AL7" s="59"/>
      <c r="AM7" s="59"/>
      <c r="AN7" s="59"/>
    </row>
    <row r="8" spans="1:40" s="7" customFormat="1" ht="48.75" customHeight="1" x14ac:dyDescent="0.35">
      <c r="A8" s="107"/>
      <c r="B8" s="106"/>
      <c r="C8" s="21">
        <v>5</v>
      </c>
      <c r="D8" s="47" t="s">
        <v>58</v>
      </c>
      <c r="E8" s="28" t="s">
        <v>53</v>
      </c>
      <c r="F8" s="24" t="s">
        <v>50</v>
      </c>
      <c r="G8" s="25">
        <v>73.08</v>
      </c>
      <c r="H8" s="32">
        <v>4</v>
      </c>
      <c r="I8" s="34">
        <f t="shared" si="0"/>
        <v>0</v>
      </c>
      <c r="J8" s="34">
        <f t="shared" si="1"/>
        <v>0</v>
      </c>
      <c r="K8" s="36"/>
      <c r="L8" s="37">
        <f t="shared" si="2"/>
        <v>1</v>
      </c>
      <c r="M8" s="36"/>
      <c r="N8" s="36"/>
      <c r="O8" s="36"/>
      <c r="P8" s="50">
        <f t="shared" si="3"/>
        <v>4</v>
      </c>
      <c r="Q8" s="49" t="str">
        <f t="shared" si="4"/>
        <v>OK</v>
      </c>
      <c r="R8" s="19"/>
      <c r="S8" s="57"/>
      <c r="T8" s="57"/>
      <c r="U8" s="57"/>
      <c r="V8" s="57"/>
      <c r="W8" s="57"/>
      <c r="X8" s="57"/>
      <c r="Y8" s="57"/>
      <c r="Z8" s="57"/>
      <c r="AA8" s="57"/>
      <c r="AB8" s="57"/>
      <c r="AC8" s="57"/>
      <c r="AD8" s="59"/>
      <c r="AE8" s="59"/>
      <c r="AF8" s="59"/>
      <c r="AG8" s="59"/>
      <c r="AH8" s="59"/>
      <c r="AI8" s="59"/>
      <c r="AJ8" s="59"/>
      <c r="AK8" s="59"/>
      <c r="AL8" s="59"/>
      <c r="AM8" s="59"/>
      <c r="AN8" s="59"/>
    </row>
    <row r="9" spans="1:40" s="7" customFormat="1" ht="48.75" customHeight="1" x14ac:dyDescent="0.35">
      <c r="A9" s="107"/>
      <c r="B9" s="106"/>
      <c r="C9" s="23">
        <v>6</v>
      </c>
      <c r="D9" s="47" t="s">
        <v>59</v>
      </c>
      <c r="E9" s="28" t="s">
        <v>53</v>
      </c>
      <c r="F9" s="24" t="s">
        <v>50</v>
      </c>
      <c r="G9" s="25">
        <v>73.08</v>
      </c>
      <c r="H9" s="32">
        <v>4</v>
      </c>
      <c r="I9" s="34">
        <f t="shared" si="0"/>
        <v>1</v>
      </c>
      <c r="J9" s="34">
        <f t="shared" si="1"/>
        <v>1</v>
      </c>
      <c r="K9" s="36"/>
      <c r="L9" s="37">
        <f t="shared" si="2"/>
        <v>1</v>
      </c>
      <c r="M9" s="36"/>
      <c r="N9" s="36"/>
      <c r="O9" s="36"/>
      <c r="P9" s="50">
        <f t="shared" si="3"/>
        <v>3</v>
      </c>
      <c r="Q9" s="49" t="str">
        <f t="shared" si="4"/>
        <v>OK</v>
      </c>
      <c r="R9" s="19">
        <v>1</v>
      </c>
      <c r="S9" s="57"/>
      <c r="T9" s="57"/>
      <c r="U9" s="57"/>
      <c r="V9" s="57"/>
      <c r="W9" s="57"/>
      <c r="X9" s="57"/>
      <c r="Y9" s="57"/>
      <c r="Z9" s="57"/>
      <c r="AA9" s="57"/>
      <c r="AB9" s="57"/>
      <c r="AC9" s="57"/>
      <c r="AD9" s="59"/>
      <c r="AE9" s="59"/>
      <c r="AF9" s="59"/>
      <c r="AG9" s="59"/>
      <c r="AH9" s="59"/>
      <c r="AI9" s="59"/>
      <c r="AJ9" s="59"/>
      <c r="AK9" s="59"/>
      <c r="AL9" s="59"/>
      <c r="AM9" s="59"/>
      <c r="AN9" s="59"/>
    </row>
    <row r="10" spans="1:40" s="7" customFormat="1" ht="48.75" customHeight="1" x14ac:dyDescent="0.35">
      <c r="A10" s="107"/>
      <c r="B10" s="106"/>
      <c r="C10" s="21">
        <v>7</v>
      </c>
      <c r="D10" s="47" t="s">
        <v>60</v>
      </c>
      <c r="E10" s="28" t="s">
        <v>53</v>
      </c>
      <c r="F10" s="24" t="s">
        <v>50</v>
      </c>
      <c r="G10" s="25">
        <v>43.85</v>
      </c>
      <c r="H10" s="32">
        <v>4</v>
      </c>
      <c r="I10" s="34">
        <f t="shared" si="0"/>
        <v>1</v>
      </c>
      <c r="J10" s="34">
        <f t="shared" si="1"/>
        <v>1</v>
      </c>
      <c r="K10" s="36"/>
      <c r="L10" s="37">
        <f t="shared" si="2"/>
        <v>1</v>
      </c>
      <c r="M10" s="36"/>
      <c r="N10" s="36"/>
      <c r="O10" s="36"/>
      <c r="P10" s="50">
        <f t="shared" si="3"/>
        <v>3</v>
      </c>
      <c r="Q10" s="49" t="str">
        <f t="shared" si="4"/>
        <v>OK</v>
      </c>
      <c r="R10" s="19">
        <v>1</v>
      </c>
      <c r="S10" s="57"/>
      <c r="T10" s="57"/>
      <c r="U10" s="57"/>
      <c r="V10" s="57"/>
      <c r="W10" s="57"/>
      <c r="X10" s="57"/>
      <c r="Y10" s="57"/>
      <c r="Z10" s="57"/>
      <c r="AA10" s="57"/>
      <c r="AB10" s="57"/>
      <c r="AC10" s="57"/>
      <c r="AD10" s="59"/>
      <c r="AE10" s="59"/>
      <c r="AF10" s="59"/>
      <c r="AG10" s="59"/>
      <c r="AH10" s="59"/>
      <c r="AI10" s="59"/>
      <c r="AJ10" s="59"/>
      <c r="AK10" s="59"/>
      <c r="AL10" s="59"/>
      <c r="AM10" s="59"/>
      <c r="AN10" s="59"/>
    </row>
    <row r="11" spans="1:40" s="7" customFormat="1" ht="48.75" customHeight="1" x14ac:dyDescent="0.35">
      <c r="A11" s="107"/>
      <c r="B11" s="106"/>
      <c r="C11" s="23">
        <v>8</v>
      </c>
      <c r="D11" s="47" t="s">
        <v>61</v>
      </c>
      <c r="E11" s="28" t="s">
        <v>53</v>
      </c>
      <c r="F11" s="24" t="s">
        <v>50</v>
      </c>
      <c r="G11" s="25">
        <v>102.32</v>
      </c>
      <c r="H11" s="32">
        <v>4</v>
      </c>
      <c r="I11" s="34">
        <f t="shared" si="0"/>
        <v>1</v>
      </c>
      <c r="J11" s="34">
        <f t="shared" si="1"/>
        <v>1</v>
      </c>
      <c r="K11" s="36"/>
      <c r="L11" s="37">
        <f t="shared" si="2"/>
        <v>1</v>
      </c>
      <c r="M11" s="36"/>
      <c r="N11" s="36"/>
      <c r="O11" s="36"/>
      <c r="P11" s="50">
        <f t="shared" si="3"/>
        <v>3</v>
      </c>
      <c r="Q11" s="49" t="str">
        <f t="shared" si="4"/>
        <v>OK</v>
      </c>
      <c r="R11" s="19">
        <v>1</v>
      </c>
      <c r="S11" s="57"/>
      <c r="T11" s="57"/>
      <c r="U11" s="57"/>
      <c r="V11" s="57"/>
      <c r="W11" s="57"/>
      <c r="X11" s="57"/>
      <c r="Y11" s="57"/>
      <c r="Z11" s="57"/>
      <c r="AA11" s="57"/>
      <c r="AB11" s="57"/>
      <c r="AC11" s="57"/>
      <c r="AD11" s="59"/>
      <c r="AE11" s="59"/>
      <c r="AF11" s="59"/>
      <c r="AG11" s="59"/>
      <c r="AH11" s="59"/>
      <c r="AI11" s="59"/>
      <c r="AJ11" s="59"/>
      <c r="AK11" s="59"/>
      <c r="AL11" s="59"/>
      <c r="AM11" s="59"/>
      <c r="AN11" s="59"/>
    </row>
    <row r="12" spans="1:40" s="7" customFormat="1" ht="48.75" customHeight="1" x14ac:dyDescent="0.35">
      <c r="A12" s="107"/>
      <c r="B12" s="106"/>
      <c r="C12" s="21">
        <v>9</v>
      </c>
      <c r="D12" s="47" t="s">
        <v>62</v>
      </c>
      <c r="E12" s="28" t="s">
        <v>53</v>
      </c>
      <c r="F12" s="24" t="s">
        <v>50</v>
      </c>
      <c r="G12" s="25">
        <v>102.32</v>
      </c>
      <c r="H12" s="32">
        <v>4</v>
      </c>
      <c r="I12" s="34">
        <f t="shared" si="0"/>
        <v>1</v>
      </c>
      <c r="J12" s="34">
        <f t="shared" si="1"/>
        <v>1</v>
      </c>
      <c r="K12" s="36"/>
      <c r="L12" s="37">
        <f t="shared" si="2"/>
        <v>1</v>
      </c>
      <c r="M12" s="36"/>
      <c r="N12" s="36"/>
      <c r="O12" s="36"/>
      <c r="P12" s="50">
        <f t="shared" si="3"/>
        <v>3</v>
      </c>
      <c r="Q12" s="49" t="str">
        <f t="shared" si="4"/>
        <v>OK</v>
      </c>
      <c r="R12" s="19">
        <v>1</v>
      </c>
      <c r="S12" s="57"/>
      <c r="T12" s="57"/>
      <c r="U12" s="57"/>
      <c r="V12" s="57"/>
      <c r="W12" s="57"/>
      <c r="X12" s="57"/>
      <c r="Y12" s="57"/>
      <c r="Z12" s="57"/>
      <c r="AA12" s="57"/>
      <c r="AB12" s="57"/>
      <c r="AC12" s="57"/>
      <c r="AD12" s="59"/>
      <c r="AE12" s="59"/>
      <c r="AF12" s="59"/>
      <c r="AG12" s="59"/>
      <c r="AH12" s="59"/>
      <c r="AI12" s="59"/>
      <c r="AJ12" s="59"/>
      <c r="AK12" s="59"/>
      <c r="AL12" s="59"/>
      <c r="AM12" s="59"/>
      <c r="AN12" s="59"/>
    </row>
    <row r="13" spans="1:40" s="7" customFormat="1" ht="48.75" customHeight="1" x14ac:dyDescent="0.35">
      <c r="A13" s="107"/>
      <c r="B13" s="106"/>
      <c r="C13" s="23">
        <v>10</v>
      </c>
      <c r="D13" s="47" t="s">
        <v>63</v>
      </c>
      <c r="E13" s="28" t="s">
        <v>53</v>
      </c>
      <c r="F13" s="24" t="s">
        <v>50</v>
      </c>
      <c r="G13" s="25">
        <v>102.32</v>
      </c>
      <c r="H13" s="32">
        <v>4</v>
      </c>
      <c r="I13" s="34">
        <f t="shared" si="0"/>
        <v>1</v>
      </c>
      <c r="J13" s="34">
        <f t="shared" si="1"/>
        <v>1</v>
      </c>
      <c r="K13" s="36"/>
      <c r="L13" s="37">
        <f t="shared" si="2"/>
        <v>1</v>
      </c>
      <c r="M13" s="36"/>
      <c r="N13" s="36"/>
      <c r="O13" s="36"/>
      <c r="P13" s="50">
        <f t="shared" si="3"/>
        <v>3</v>
      </c>
      <c r="Q13" s="49" t="str">
        <f t="shared" si="4"/>
        <v>OK</v>
      </c>
      <c r="R13" s="19">
        <v>1</v>
      </c>
      <c r="S13" s="57"/>
      <c r="T13" s="57"/>
      <c r="U13" s="57"/>
      <c r="V13" s="57"/>
      <c r="W13" s="57"/>
      <c r="X13" s="57"/>
      <c r="Y13" s="57"/>
      <c r="Z13" s="57"/>
      <c r="AA13" s="57"/>
      <c r="AB13" s="57"/>
      <c r="AC13" s="57"/>
      <c r="AD13" s="59"/>
      <c r="AE13" s="59"/>
      <c r="AF13" s="59"/>
      <c r="AG13" s="59"/>
      <c r="AH13" s="59"/>
      <c r="AI13" s="59"/>
      <c r="AJ13" s="59"/>
      <c r="AK13" s="59"/>
      <c r="AL13" s="59"/>
      <c r="AM13" s="59"/>
      <c r="AN13" s="59"/>
    </row>
    <row r="14" spans="1:40" s="7" customFormat="1" ht="48.75" customHeight="1" x14ac:dyDescent="0.35">
      <c r="A14" s="107"/>
      <c r="B14" s="106"/>
      <c r="C14" s="21">
        <v>11</v>
      </c>
      <c r="D14" s="47" t="s">
        <v>64</v>
      </c>
      <c r="E14" s="28" t="s">
        <v>53</v>
      </c>
      <c r="F14" s="24" t="s">
        <v>50</v>
      </c>
      <c r="G14" s="25">
        <v>102.32</v>
      </c>
      <c r="H14" s="32">
        <v>2</v>
      </c>
      <c r="I14" s="34">
        <f t="shared" si="0"/>
        <v>1</v>
      </c>
      <c r="J14" s="34">
        <f t="shared" si="1"/>
        <v>1</v>
      </c>
      <c r="K14" s="36"/>
      <c r="L14" s="37">
        <f t="shared" si="2"/>
        <v>0</v>
      </c>
      <c r="M14" s="36"/>
      <c r="N14" s="36"/>
      <c r="O14" s="36"/>
      <c r="P14" s="50">
        <f t="shared" si="3"/>
        <v>1</v>
      </c>
      <c r="Q14" s="49" t="str">
        <f t="shared" si="4"/>
        <v>OK</v>
      </c>
      <c r="R14" s="19">
        <v>1</v>
      </c>
      <c r="S14" s="57"/>
      <c r="T14" s="57"/>
      <c r="U14" s="57"/>
      <c r="V14" s="57"/>
      <c r="W14" s="57"/>
      <c r="X14" s="57"/>
      <c r="Y14" s="57"/>
      <c r="Z14" s="57"/>
      <c r="AA14" s="57"/>
      <c r="AB14" s="57"/>
      <c r="AC14" s="57"/>
      <c r="AD14" s="59"/>
      <c r="AE14" s="59"/>
      <c r="AF14" s="59"/>
      <c r="AG14" s="59"/>
      <c r="AH14" s="59"/>
      <c r="AI14" s="59"/>
      <c r="AJ14" s="59"/>
      <c r="AK14" s="59"/>
      <c r="AL14" s="59"/>
      <c r="AM14" s="59"/>
      <c r="AN14" s="59"/>
    </row>
    <row r="15" spans="1:40" s="7" customFormat="1" ht="48.75" customHeight="1" x14ac:dyDescent="0.35">
      <c r="A15" s="107"/>
      <c r="B15" s="106"/>
      <c r="C15" s="23">
        <v>12</v>
      </c>
      <c r="D15" s="47" t="s">
        <v>65</v>
      </c>
      <c r="E15" s="28" t="s">
        <v>53</v>
      </c>
      <c r="F15" s="24" t="s">
        <v>50</v>
      </c>
      <c r="G15" s="25">
        <v>87.7</v>
      </c>
      <c r="H15" s="32">
        <v>2</v>
      </c>
      <c r="I15" s="34">
        <f t="shared" si="0"/>
        <v>0</v>
      </c>
      <c r="J15" s="34">
        <f t="shared" si="1"/>
        <v>0</v>
      </c>
      <c r="K15" s="36"/>
      <c r="L15" s="37">
        <f t="shared" si="2"/>
        <v>0</v>
      </c>
      <c r="M15" s="36"/>
      <c r="N15" s="36"/>
      <c r="O15" s="36"/>
      <c r="P15" s="50">
        <f t="shared" si="3"/>
        <v>2</v>
      </c>
      <c r="Q15" s="49" t="str">
        <f t="shared" si="4"/>
        <v>OK</v>
      </c>
      <c r="R15" s="19"/>
      <c r="S15" s="57"/>
      <c r="T15" s="57"/>
      <c r="U15" s="57"/>
      <c r="V15" s="57"/>
      <c r="W15" s="57"/>
      <c r="X15" s="57"/>
      <c r="Y15" s="57"/>
      <c r="Z15" s="57"/>
      <c r="AA15" s="57"/>
      <c r="AB15" s="57"/>
      <c r="AC15" s="57"/>
      <c r="AD15" s="59"/>
      <c r="AE15" s="59"/>
      <c r="AF15" s="59"/>
      <c r="AG15" s="59"/>
      <c r="AH15" s="59"/>
      <c r="AI15" s="59"/>
      <c r="AJ15" s="59"/>
      <c r="AK15" s="59"/>
      <c r="AL15" s="59"/>
      <c r="AM15" s="59"/>
      <c r="AN15" s="59"/>
    </row>
    <row r="16" spans="1:40" s="7" customFormat="1" ht="48.75" customHeight="1" x14ac:dyDescent="0.35">
      <c r="A16" s="107"/>
      <c r="B16" s="106"/>
      <c r="C16" s="21">
        <v>13</v>
      </c>
      <c r="D16" s="47" t="s">
        <v>66</v>
      </c>
      <c r="E16" s="28" t="s">
        <v>53</v>
      </c>
      <c r="F16" s="24" t="s">
        <v>50</v>
      </c>
      <c r="G16" s="25">
        <v>73.08</v>
      </c>
      <c r="H16" s="32">
        <v>2</v>
      </c>
      <c r="I16" s="34">
        <f t="shared" si="0"/>
        <v>0</v>
      </c>
      <c r="J16" s="34">
        <f t="shared" si="1"/>
        <v>0</v>
      </c>
      <c r="K16" s="36"/>
      <c r="L16" s="37">
        <f t="shared" si="2"/>
        <v>0</v>
      </c>
      <c r="M16" s="36"/>
      <c r="N16" s="36"/>
      <c r="O16" s="36"/>
      <c r="P16" s="50">
        <f t="shared" si="3"/>
        <v>2</v>
      </c>
      <c r="Q16" s="49" t="str">
        <f t="shared" si="4"/>
        <v>OK</v>
      </c>
      <c r="R16" s="19"/>
      <c r="S16" s="57"/>
      <c r="T16" s="57"/>
      <c r="U16" s="57"/>
      <c r="V16" s="57"/>
      <c r="W16" s="57"/>
      <c r="X16" s="57"/>
      <c r="Y16" s="57"/>
      <c r="Z16" s="57"/>
      <c r="AA16" s="57"/>
      <c r="AB16" s="57"/>
      <c r="AC16" s="57"/>
      <c r="AD16" s="59"/>
      <c r="AE16" s="59"/>
      <c r="AF16" s="59"/>
      <c r="AG16" s="59"/>
      <c r="AH16" s="59"/>
      <c r="AI16" s="59"/>
      <c r="AJ16" s="59"/>
      <c r="AK16" s="59"/>
      <c r="AL16" s="59"/>
      <c r="AM16" s="59"/>
      <c r="AN16" s="59"/>
    </row>
    <row r="17" spans="1:40" s="7" customFormat="1" ht="48.75" customHeight="1" x14ac:dyDescent="0.35">
      <c r="A17" s="107"/>
      <c r="B17" s="106"/>
      <c r="C17" s="23">
        <v>14</v>
      </c>
      <c r="D17" s="47" t="s">
        <v>67</v>
      </c>
      <c r="E17" s="28" t="s">
        <v>53</v>
      </c>
      <c r="F17" s="24" t="s">
        <v>50</v>
      </c>
      <c r="G17" s="25">
        <v>43.85</v>
      </c>
      <c r="H17" s="32">
        <v>6</v>
      </c>
      <c r="I17" s="34">
        <f t="shared" si="0"/>
        <v>0</v>
      </c>
      <c r="J17" s="34">
        <f t="shared" si="1"/>
        <v>0</v>
      </c>
      <c r="K17" s="36"/>
      <c r="L17" s="37">
        <f t="shared" si="2"/>
        <v>1</v>
      </c>
      <c r="M17" s="36"/>
      <c r="N17" s="36"/>
      <c r="O17" s="36"/>
      <c r="P17" s="50">
        <f t="shared" si="3"/>
        <v>6</v>
      </c>
      <c r="Q17" s="49" t="str">
        <f t="shared" si="4"/>
        <v>OK</v>
      </c>
      <c r="R17" s="19"/>
      <c r="S17" s="57"/>
      <c r="T17" s="57"/>
      <c r="U17" s="57"/>
      <c r="V17" s="57"/>
      <c r="W17" s="57"/>
      <c r="X17" s="57"/>
      <c r="Y17" s="57"/>
      <c r="Z17" s="57"/>
      <c r="AA17" s="57"/>
      <c r="AB17" s="57"/>
      <c r="AC17" s="57"/>
      <c r="AD17" s="59"/>
      <c r="AE17" s="59"/>
      <c r="AF17" s="59"/>
      <c r="AG17" s="59"/>
      <c r="AH17" s="59"/>
      <c r="AI17" s="59"/>
      <c r="AJ17" s="59"/>
      <c r="AK17" s="59"/>
      <c r="AL17" s="59"/>
      <c r="AM17" s="59"/>
      <c r="AN17" s="59"/>
    </row>
    <row r="18" spans="1:40" s="7" customFormat="1" ht="48.75" customHeight="1" x14ac:dyDescent="0.35">
      <c r="A18" s="107"/>
      <c r="B18" s="106"/>
      <c r="C18" s="23">
        <v>15</v>
      </c>
      <c r="D18" s="47" t="s">
        <v>113</v>
      </c>
      <c r="E18" s="28" t="s">
        <v>53</v>
      </c>
      <c r="F18" s="24" t="s">
        <v>50</v>
      </c>
      <c r="G18" s="25">
        <v>52.62</v>
      </c>
      <c r="H18" s="32">
        <v>200</v>
      </c>
      <c r="I18" s="34">
        <f t="shared" si="0"/>
        <v>77</v>
      </c>
      <c r="J18" s="34">
        <f t="shared" si="1"/>
        <v>77</v>
      </c>
      <c r="K18" s="36"/>
      <c r="L18" s="37">
        <f t="shared" si="2"/>
        <v>50</v>
      </c>
      <c r="M18" s="36"/>
      <c r="N18" s="36"/>
      <c r="O18" s="36"/>
      <c r="P18" s="50">
        <f t="shared" si="3"/>
        <v>123</v>
      </c>
      <c r="Q18" s="49" t="str">
        <f t="shared" si="4"/>
        <v>OK</v>
      </c>
      <c r="R18" s="19">
        <v>38</v>
      </c>
      <c r="S18" s="57"/>
      <c r="T18" s="57">
        <v>31</v>
      </c>
      <c r="U18" s="57">
        <v>8</v>
      </c>
      <c r="V18" s="57"/>
      <c r="W18" s="57"/>
      <c r="X18" s="57"/>
      <c r="Y18" s="57"/>
      <c r="Z18" s="57"/>
      <c r="AA18" s="57"/>
      <c r="AB18" s="57"/>
      <c r="AC18" s="57"/>
      <c r="AD18" s="59"/>
      <c r="AE18" s="59"/>
      <c r="AF18" s="59"/>
      <c r="AG18" s="59"/>
      <c r="AH18" s="59"/>
      <c r="AI18" s="59"/>
      <c r="AJ18" s="59"/>
      <c r="AK18" s="59"/>
      <c r="AL18" s="59"/>
      <c r="AM18" s="59"/>
      <c r="AN18" s="5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9"/>
      <c r="S19" s="57"/>
      <c r="T19" s="57"/>
      <c r="U19" s="57"/>
      <c r="V19" s="57"/>
      <c r="W19" s="57"/>
      <c r="X19" s="57"/>
      <c r="Y19" s="57"/>
      <c r="Z19" s="57"/>
      <c r="AA19" s="57"/>
      <c r="AB19" s="57"/>
      <c r="AC19" s="57"/>
      <c r="AD19" s="59"/>
      <c r="AE19" s="59"/>
      <c r="AF19" s="59"/>
      <c r="AG19" s="59"/>
      <c r="AH19" s="59"/>
      <c r="AI19" s="59"/>
      <c r="AJ19" s="59"/>
      <c r="AK19" s="59"/>
      <c r="AL19" s="59"/>
      <c r="AM19" s="59"/>
      <c r="AN19" s="59"/>
    </row>
    <row r="20" spans="1:40" s="7" customFormat="1" ht="48.75" customHeight="1" x14ac:dyDescent="0.35">
      <c r="A20" s="96" t="s">
        <v>48</v>
      </c>
      <c r="B20" s="94" t="s">
        <v>49</v>
      </c>
      <c r="C20" s="20">
        <v>17</v>
      </c>
      <c r="D20" s="48" t="s">
        <v>70</v>
      </c>
      <c r="E20" s="30" t="s">
        <v>53</v>
      </c>
      <c r="F20" s="26" t="s">
        <v>51</v>
      </c>
      <c r="G20" s="27">
        <v>288.12</v>
      </c>
      <c r="H20" s="32">
        <v>5</v>
      </c>
      <c r="I20" s="34">
        <f t="shared" si="0"/>
        <v>0</v>
      </c>
      <c r="J20" s="34">
        <f t="shared" si="1"/>
        <v>0</v>
      </c>
      <c r="K20" s="36"/>
      <c r="L20" s="37">
        <f t="shared" si="2"/>
        <v>1</v>
      </c>
      <c r="M20" s="36"/>
      <c r="N20" s="36"/>
      <c r="O20" s="36"/>
      <c r="P20" s="50">
        <f t="shared" si="3"/>
        <v>5</v>
      </c>
      <c r="Q20" s="49" t="str">
        <f t="shared" si="4"/>
        <v>OK</v>
      </c>
      <c r="R20" s="19"/>
      <c r="S20" s="57"/>
      <c r="T20" s="57"/>
      <c r="U20" s="57"/>
      <c r="V20" s="57"/>
      <c r="W20" s="57"/>
      <c r="X20" s="57"/>
      <c r="Y20" s="57"/>
      <c r="Z20" s="57"/>
      <c r="AA20" s="57"/>
      <c r="AB20" s="57"/>
      <c r="AC20" s="57"/>
      <c r="AD20" s="59"/>
      <c r="AE20" s="59"/>
      <c r="AF20" s="59"/>
      <c r="AG20" s="59"/>
      <c r="AH20" s="59"/>
      <c r="AI20" s="59"/>
      <c r="AJ20" s="59"/>
      <c r="AK20" s="59"/>
      <c r="AL20" s="59"/>
      <c r="AM20" s="59"/>
      <c r="AN20" s="59"/>
    </row>
    <row r="21" spans="1:40" s="7" customFormat="1" ht="48.75" customHeight="1" x14ac:dyDescent="0.35">
      <c r="A21" s="97"/>
      <c r="B21" s="95"/>
      <c r="C21" s="20">
        <v>18</v>
      </c>
      <c r="D21" s="48" t="s">
        <v>83</v>
      </c>
      <c r="E21" s="30" t="s">
        <v>53</v>
      </c>
      <c r="F21" s="26" t="s">
        <v>52</v>
      </c>
      <c r="G21" s="27">
        <v>51.86</v>
      </c>
      <c r="H21" s="32">
        <v>40</v>
      </c>
      <c r="I21" s="34">
        <f t="shared" si="0"/>
        <v>2</v>
      </c>
      <c r="J21" s="34">
        <f t="shared" si="1"/>
        <v>2</v>
      </c>
      <c r="K21" s="36">
        <v>2</v>
      </c>
      <c r="L21" s="37">
        <f t="shared" si="2"/>
        <v>10</v>
      </c>
      <c r="M21" s="36"/>
      <c r="N21" s="36"/>
      <c r="O21" s="36"/>
      <c r="P21" s="50">
        <f t="shared" si="3"/>
        <v>40</v>
      </c>
      <c r="Q21" s="49" t="str">
        <f t="shared" si="4"/>
        <v>OK</v>
      </c>
      <c r="R21" s="19"/>
      <c r="S21" s="57">
        <v>2</v>
      </c>
      <c r="T21" s="57"/>
      <c r="U21" s="57"/>
      <c r="V21" s="57"/>
      <c r="W21" s="57"/>
      <c r="X21" s="57"/>
      <c r="Y21" s="57"/>
      <c r="Z21" s="57"/>
      <c r="AA21" s="57"/>
      <c r="AB21" s="57"/>
      <c r="AC21" s="57"/>
      <c r="AD21" s="59"/>
      <c r="AE21" s="59"/>
      <c r="AF21" s="59"/>
      <c r="AG21" s="59"/>
      <c r="AH21" s="59"/>
      <c r="AI21" s="59"/>
      <c r="AJ21" s="59"/>
      <c r="AK21" s="59"/>
      <c r="AL21" s="59"/>
      <c r="AM21" s="59"/>
      <c r="AN21" s="59"/>
    </row>
    <row r="22" spans="1:40" x14ac:dyDescent="0.35">
      <c r="H22" s="33">
        <f>SUM(H4:H21)</f>
        <v>2801</v>
      </c>
      <c r="I22" s="33"/>
      <c r="J22" s="33"/>
      <c r="K22" s="33"/>
      <c r="L22" s="33"/>
      <c r="M22" s="33"/>
      <c r="N22" s="33"/>
      <c r="O22" s="33"/>
      <c r="P22" s="33">
        <f>SUM(P4:P21)</f>
        <v>1202</v>
      </c>
      <c r="R22" s="14">
        <f t="shared" ref="R22:AN22" si="5">SUMPRODUCT($G$4:$G$21,R4:R21)</f>
        <v>9094.81</v>
      </c>
      <c r="S22" s="14">
        <f t="shared" si="5"/>
        <v>103.72</v>
      </c>
      <c r="T22" s="14">
        <f t="shared" si="5"/>
        <v>4352.9399999999996</v>
      </c>
      <c r="U22" s="14">
        <f t="shared" si="5"/>
        <v>420.96</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32257.979999999996</v>
      </c>
      <c r="I24" s="44">
        <f>SUMPRODUCT($G$4:$G$21,I4:I21)</f>
        <v>13972.429999999998</v>
      </c>
      <c r="J24" s="44">
        <f>SUMPRODUCT($G$4:$G$21,J4:J21)</f>
        <v>13972.429999999998</v>
      </c>
      <c r="T24" s="93"/>
    </row>
    <row r="25" spans="1:40" x14ac:dyDescent="0.35">
      <c r="T25" s="93"/>
    </row>
  </sheetData>
  <autoFilter ref="A3:AN22" xr:uid="{00000000-0001-0000-0200-000000000000}"/>
  <mergeCells count="9">
    <mergeCell ref="B20:B21"/>
    <mergeCell ref="A20:A21"/>
    <mergeCell ref="I2:Q2"/>
    <mergeCell ref="A2:H2"/>
    <mergeCell ref="A1:C1"/>
    <mergeCell ref="D1:H1"/>
    <mergeCell ref="I1:Q1"/>
    <mergeCell ref="B4:B19"/>
    <mergeCell ref="A4:A19"/>
  </mergeCells>
  <conditionalFormatting sqref="G4:G21">
    <cfRule type="expression" dxfId="65" priority="5">
      <formula>#REF!&lt;0.25</formula>
    </cfRule>
  </conditionalFormatting>
  <conditionalFormatting sqref="P4:P21">
    <cfRule type="cellIs" dxfId="64" priority="4" operator="lessThan">
      <formula>0</formula>
    </cfRule>
  </conditionalFormatting>
  <conditionalFormatting sqref="Q4:Q21">
    <cfRule type="containsText" dxfId="63" priority="2" operator="containsText" text="ATENÇÃO">
      <formula>NOT(ISERROR(SEARCH("ATENÇÃO",Q4)))</formula>
    </cfRule>
  </conditionalFormatting>
  <conditionalFormatting sqref="R4:AN21">
    <cfRule type="cellIs" dxfId="62"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28E7C-130B-487D-BFF1-8621E93DC5BD}">
  <dimension ref="A1:AN24"/>
  <sheetViews>
    <sheetView topLeftCell="A13" zoomScale="70" zoomScaleNormal="70" workbookViewId="0">
      <selection activeCell="S5" sqref="S5"/>
    </sheetView>
  </sheetViews>
  <sheetFormatPr defaultColWidth="9.7265625" defaultRowHeight="14.5" x14ac:dyDescent="0.35"/>
  <cols>
    <col min="1" max="1" width="6.1796875" style="1" customWidth="1"/>
    <col min="2" max="2" width="13.7265625" style="1" customWidth="1"/>
    <col min="3" max="3" width="10.26953125" style="1" customWidth="1"/>
    <col min="4" max="4" width="38.90625" style="12" customWidth="1"/>
    <col min="5" max="5" width="11.1796875" style="1" customWidth="1"/>
    <col min="6" max="6" width="16" style="1" customWidth="1"/>
    <col min="7" max="7" width="12.7265625" style="1" customWidth="1"/>
    <col min="8" max="15" width="7.81640625" style="6" customWidth="1"/>
    <col min="16" max="16" width="7.81640625" style="13" customWidth="1"/>
    <col min="17" max="17" width="7.81640625" style="4" customWidth="1"/>
    <col min="18" max="18" width="12.7265625" style="181" customWidth="1"/>
    <col min="19"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71" t="s">
        <v>125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30</v>
      </c>
      <c r="B2" s="102"/>
      <c r="C2" s="102"/>
      <c r="D2" s="102"/>
      <c r="E2" s="102"/>
      <c r="F2" s="102"/>
      <c r="G2" s="102"/>
      <c r="H2" s="103"/>
      <c r="I2" s="98" t="s">
        <v>75</v>
      </c>
      <c r="J2" s="99"/>
      <c r="K2" s="99"/>
      <c r="L2" s="99"/>
      <c r="M2" s="99"/>
      <c r="N2" s="99"/>
      <c r="O2" s="99"/>
      <c r="P2" s="99"/>
      <c r="Q2" s="100"/>
      <c r="R2" s="171" t="s">
        <v>126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80" t="s">
        <v>127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76"/>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76"/>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390</v>
      </c>
      <c r="I6" s="34">
        <f t="shared" si="0"/>
        <v>0</v>
      </c>
      <c r="J6" s="34">
        <f t="shared" si="1"/>
        <v>0</v>
      </c>
      <c r="K6" s="36"/>
      <c r="L6" s="37">
        <f t="shared" si="2"/>
        <v>97</v>
      </c>
      <c r="M6" s="36"/>
      <c r="N6" s="36"/>
      <c r="O6" s="36"/>
      <c r="P6" s="50">
        <f t="shared" si="3"/>
        <v>390</v>
      </c>
      <c r="Q6" s="49" t="str">
        <f t="shared" si="4"/>
        <v>OK</v>
      </c>
      <c r="R6" s="176"/>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76"/>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76"/>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0</v>
      </c>
      <c r="I9" s="34">
        <f t="shared" si="0"/>
        <v>0</v>
      </c>
      <c r="J9" s="34">
        <f t="shared" si="1"/>
        <v>0</v>
      </c>
      <c r="K9" s="36"/>
      <c r="L9" s="37">
        <f t="shared" si="2"/>
        <v>0</v>
      </c>
      <c r="M9" s="36"/>
      <c r="N9" s="36"/>
      <c r="O9" s="36"/>
      <c r="P9" s="50">
        <f t="shared" si="3"/>
        <v>0</v>
      </c>
      <c r="Q9" s="49" t="str">
        <f t="shared" si="4"/>
        <v>OK</v>
      </c>
      <c r="R9" s="176"/>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20</v>
      </c>
      <c r="I10" s="34">
        <f t="shared" si="0"/>
        <v>0</v>
      </c>
      <c r="J10" s="34">
        <f t="shared" si="1"/>
        <v>0</v>
      </c>
      <c r="K10" s="36"/>
      <c r="L10" s="37">
        <f t="shared" si="2"/>
        <v>5</v>
      </c>
      <c r="M10" s="36"/>
      <c r="N10" s="36"/>
      <c r="O10" s="36"/>
      <c r="P10" s="50">
        <f t="shared" si="3"/>
        <v>20</v>
      </c>
      <c r="Q10" s="49" t="str">
        <f t="shared" si="4"/>
        <v>OK</v>
      </c>
      <c r="R10" s="176"/>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76"/>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76"/>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76"/>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76"/>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76"/>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76"/>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76"/>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76"/>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3</v>
      </c>
      <c r="I19" s="34">
        <f t="shared" si="0"/>
        <v>0</v>
      </c>
      <c r="J19" s="34">
        <f t="shared" si="1"/>
        <v>0</v>
      </c>
      <c r="K19" s="36"/>
      <c r="L19" s="37">
        <f t="shared" si="2"/>
        <v>0</v>
      </c>
      <c r="M19" s="36"/>
      <c r="N19" s="36"/>
      <c r="O19" s="36"/>
      <c r="P19" s="50">
        <f t="shared" si="3"/>
        <v>3</v>
      </c>
      <c r="Q19" s="49" t="str">
        <f t="shared" si="4"/>
        <v>OK</v>
      </c>
      <c r="R19" s="176"/>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0</v>
      </c>
      <c r="I20" s="34">
        <f t="shared" si="0"/>
        <v>0</v>
      </c>
      <c r="J20" s="34">
        <f t="shared" si="1"/>
        <v>0</v>
      </c>
      <c r="K20" s="36"/>
      <c r="L20" s="37">
        <f t="shared" si="2"/>
        <v>0</v>
      </c>
      <c r="M20" s="36"/>
      <c r="N20" s="36"/>
      <c r="O20" s="36"/>
      <c r="P20" s="50">
        <f t="shared" si="3"/>
        <v>0</v>
      </c>
      <c r="Q20" s="49" t="str">
        <f t="shared" si="4"/>
        <v>OK</v>
      </c>
      <c r="R20" s="176"/>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42</v>
      </c>
      <c r="I21" s="34">
        <f t="shared" si="0"/>
        <v>6</v>
      </c>
      <c r="J21" s="34">
        <f t="shared" si="1"/>
        <v>6</v>
      </c>
      <c r="K21" s="36"/>
      <c r="L21" s="37">
        <f t="shared" si="2"/>
        <v>10</v>
      </c>
      <c r="M21" s="36"/>
      <c r="N21" s="36"/>
      <c r="O21" s="36"/>
      <c r="P21" s="50">
        <f t="shared" si="3"/>
        <v>36</v>
      </c>
      <c r="Q21" s="49" t="str">
        <f t="shared" si="4"/>
        <v>OK</v>
      </c>
      <c r="R21" s="177">
        <v>6</v>
      </c>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455</v>
      </c>
      <c r="I22" s="33"/>
      <c r="J22" s="33"/>
      <c r="K22" s="33"/>
      <c r="L22" s="33"/>
      <c r="M22" s="33"/>
      <c r="N22" s="33"/>
      <c r="O22" s="33"/>
      <c r="P22" s="33">
        <f>SUM(P4:P21)</f>
        <v>449</v>
      </c>
      <c r="R22" s="178">
        <v>311.16000000000003</v>
      </c>
      <c r="S22" s="14">
        <f t="shared" ref="R22:AN22" si="5">SUMPRODUCT($G$4:$G$21,S4:S21)</f>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9"/>
    </row>
    <row r="24" spans="1:40" x14ac:dyDescent="0.35">
      <c r="H24" s="44">
        <f>SUMPRODUCT($G$4:$G$21,H4:H21)</f>
        <v>5752.78</v>
      </c>
      <c r="I24" s="44">
        <f>SUMPRODUCT($G$4:$G$21,I4:I21)</f>
        <v>311.15999999999997</v>
      </c>
      <c r="J24" s="44">
        <f>SUMPRODUCT($G$4:$G$21,J4:J21)</f>
        <v>311.15999999999997</v>
      </c>
      <c r="R24" s="179"/>
    </row>
  </sheetData>
  <mergeCells count="9">
    <mergeCell ref="A20:A21"/>
    <mergeCell ref="B20:B21"/>
    <mergeCell ref="A1:C1"/>
    <mergeCell ref="D1:H1"/>
    <mergeCell ref="I1:Q1"/>
    <mergeCell ref="A4:A19"/>
    <mergeCell ref="B4:B19"/>
    <mergeCell ref="A2:H2"/>
    <mergeCell ref="I2:Q2"/>
  </mergeCells>
  <conditionalFormatting sqref="G4:G21">
    <cfRule type="expression" dxfId="29" priority="4">
      <formula>#REF!&lt;0.25</formula>
    </cfRule>
  </conditionalFormatting>
  <conditionalFormatting sqref="P4:P21">
    <cfRule type="cellIs" dxfId="28" priority="3" operator="lessThan">
      <formula>0</formula>
    </cfRule>
  </conditionalFormatting>
  <conditionalFormatting sqref="Q4:Q21">
    <cfRule type="containsText" dxfId="27" priority="2" operator="containsText" text="ATENÇÃO">
      <formula>NOT(ISERROR(SEARCH("ATENÇÃO",Q4)))</formula>
    </cfRule>
  </conditionalFormatting>
  <conditionalFormatting sqref="S4:AN21">
    <cfRule type="cellIs" dxfId="26"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AB29-CC12-4ADC-A1CF-DA2AC77334AF}">
  <dimension ref="A1:AN24"/>
  <sheetViews>
    <sheetView zoomScale="70" zoomScaleNormal="70" workbookViewId="0">
      <selection activeCell="F8" sqref="F8"/>
    </sheetView>
  </sheetViews>
  <sheetFormatPr defaultColWidth="9.7265625" defaultRowHeight="14.5" x14ac:dyDescent="0.35"/>
  <cols>
    <col min="1" max="1" width="6.1796875" style="1" customWidth="1"/>
    <col min="2" max="2" width="13.7265625" style="1" customWidth="1"/>
    <col min="3" max="3" width="10.26953125" style="1" customWidth="1"/>
    <col min="4" max="4" width="32.54296875" style="12" customWidth="1"/>
    <col min="5" max="5" width="11.1796875" style="1" customWidth="1"/>
    <col min="6" max="6" width="16" style="1" customWidth="1"/>
    <col min="7" max="7" width="12.7265625" style="1" customWidth="1"/>
    <col min="8" max="15" width="9" style="6" customWidth="1"/>
    <col min="16" max="16" width="9" style="13" customWidth="1"/>
    <col min="17" max="17" width="9"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76</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50</v>
      </c>
      <c r="I4" s="34">
        <f>IF(SUM(R4:AN4)&gt;H4+K4,H4+K4,SUM(R4:AN4))</f>
        <v>0</v>
      </c>
      <c r="J4" s="34">
        <f>(SUM(R4:AN4))</f>
        <v>0</v>
      </c>
      <c r="K4" s="35"/>
      <c r="L4" s="37">
        <f>ROUND(IF(H4*0.25-0.5&lt;0,0,H4*0.25-0.5),0)-O4-M4</f>
        <v>12</v>
      </c>
      <c r="M4" s="35"/>
      <c r="N4" s="35"/>
      <c r="O4" s="35"/>
      <c r="P4" s="50">
        <f>H4-(SUM(R4:AN4))+K4+M4+N4-O4</f>
        <v>50</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0</v>
      </c>
      <c r="I6" s="34">
        <f t="shared" si="0"/>
        <v>0</v>
      </c>
      <c r="J6" s="34">
        <f t="shared" si="1"/>
        <v>0</v>
      </c>
      <c r="K6" s="36"/>
      <c r="L6" s="37">
        <f t="shared" si="2"/>
        <v>0</v>
      </c>
      <c r="M6" s="36"/>
      <c r="N6" s="36"/>
      <c r="O6" s="36"/>
      <c r="P6" s="50">
        <f t="shared" si="3"/>
        <v>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0</v>
      </c>
      <c r="I9" s="34">
        <f t="shared" si="0"/>
        <v>0</v>
      </c>
      <c r="J9" s="34">
        <f t="shared" si="1"/>
        <v>0</v>
      </c>
      <c r="K9" s="36"/>
      <c r="L9" s="37">
        <f t="shared" si="2"/>
        <v>0</v>
      </c>
      <c r="M9" s="36"/>
      <c r="N9" s="36"/>
      <c r="O9" s="36"/>
      <c r="P9" s="50">
        <f t="shared" si="3"/>
        <v>0</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0</v>
      </c>
      <c r="I10" s="34">
        <f t="shared" si="0"/>
        <v>0</v>
      </c>
      <c r="J10" s="34">
        <f t="shared" si="1"/>
        <v>0</v>
      </c>
      <c r="K10" s="36"/>
      <c r="L10" s="37">
        <f t="shared" si="2"/>
        <v>0</v>
      </c>
      <c r="M10" s="36"/>
      <c r="N10" s="36"/>
      <c r="O10" s="36"/>
      <c r="P10" s="50">
        <f t="shared" si="3"/>
        <v>0</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2</v>
      </c>
      <c r="I20" s="34">
        <f t="shared" si="0"/>
        <v>0</v>
      </c>
      <c r="J20" s="34">
        <f t="shared" si="1"/>
        <v>0</v>
      </c>
      <c r="K20" s="36"/>
      <c r="L20" s="37">
        <f t="shared" si="2"/>
        <v>0</v>
      </c>
      <c r="M20" s="36"/>
      <c r="N20" s="36"/>
      <c r="O20" s="36"/>
      <c r="P20" s="50">
        <f t="shared" si="3"/>
        <v>2</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50</v>
      </c>
      <c r="I21" s="34">
        <f t="shared" si="0"/>
        <v>0</v>
      </c>
      <c r="J21" s="34">
        <f t="shared" si="1"/>
        <v>0</v>
      </c>
      <c r="K21" s="36">
        <v>-30</v>
      </c>
      <c r="L21" s="37">
        <f t="shared" si="2"/>
        <v>12</v>
      </c>
      <c r="M21" s="36"/>
      <c r="N21" s="36"/>
      <c r="O21" s="36"/>
      <c r="P21" s="50">
        <f t="shared" si="3"/>
        <v>20</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102</v>
      </c>
      <c r="I22" s="33"/>
      <c r="J22" s="33"/>
      <c r="K22" s="33"/>
      <c r="L22" s="33"/>
      <c r="M22" s="33"/>
      <c r="N22" s="33"/>
      <c r="O22" s="33"/>
      <c r="P22" s="33">
        <f>SUM(P4:P21)</f>
        <v>72</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3461.24</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25" priority="4">
      <formula>#REF!&lt;0.25</formula>
    </cfRule>
  </conditionalFormatting>
  <conditionalFormatting sqref="P4:P21">
    <cfRule type="cellIs" dxfId="24" priority="3" operator="lessThan">
      <formula>0</formula>
    </cfRule>
  </conditionalFormatting>
  <conditionalFormatting sqref="Q4:Q21">
    <cfRule type="containsText" dxfId="23" priority="2" operator="containsText" text="ATENÇÃO">
      <formula>NOT(ISERROR(SEARCH("ATENÇÃO",Q4)))</formula>
    </cfRule>
  </conditionalFormatting>
  <conditionalFormatting sqref="R4:AN21">
    <cfRule type="cellIs" dxfId="22"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8A3B9-69B6-4814-A591-7391E64B7C40}">
  <dimension ref="A1:AN24"/>
  <sheetViews>
    <sheetView topLeftCell="A10" zoomScale="80" zoomScaleNormal="80" workbookViewId="0">
      <selection activeCell="K24" sqref="K24"/>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8" width="13.26953125" style="6" customWidth="1"/>
    <col min="9" max="9" width="12.81640625" style="6" customWidth="1"/>
    <col min="10" max="10" width="13.7265625" style="6" customWidth="1"/>
    <col min="11" max="11" width="14.7265625" style="6" customWidth="1"/>
    <col min="12" max="13" width="13.7265625" style="6" customWidth="1"/>
    <col min="14" max="14" width="12.453125" style="6" customWidth="1"/>
    <col min="15" max="15" width="11.81640625" style="6" customWidth="1"/>
    <col min="16" max="16" width="11.81640625" style="13" customWidth="1"/>
    <col min="17" max="17" width="11.7265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28</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1">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1">
        <v>0</v>
      </c>
      <c r="I6" s="34">
        <f t="shared" si="0"/>
        <v>0</v>
      </c>
      <c r="J6" s="34">
        <f t="shared" si="1"/>
        <v>0</v>
      </c>
      <c r="K6" s="36"/>
      <c r="L6" s="37">
        <f t="shared" si="2"/>
        <v>0</v>
      </c>
      <c r="M6" s="36"/>
      <c r="N6" s="36"/>
      <c r="O6" s="36"/>
      <c r="P6" s="50">
        <f t="shared" si="3"/>
        <v>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1">
        <v>0</v>
      </c>
      <c r="I7" s="34">
        <f t="shared" si="0"/>
        <v>0</v>
      </c>
      <c r="J7" s="34">
        <f t="shared" si="1"/>
        <v>0</v>
      </c>
      <c r="K7" s="36"/>
      <c r="L7" s="37">
        <f t="shared" si="2"/>
        <v>0</v>
      </c>
      <c r="M7" s="36"/>
      <c r="N7" s="36"/>
      <c r="O7" s="36"/>
      <c r="P7" s="50">
        <f t="shared" si="3"/>
        <v>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1">
        <v>0</v>
      </c>
      <c r="I8" s="34">
        <f t="shared" si="0"/>
        <v>0</v>
      </c>
      <c r="J8" s="34">
        <f t="shared" si="1"/>
        <v>0</v>
      </c>
      <c r="K8" s="36"/>
      <c r="L8" s="37">
        <f t="shared" si="2"/>
        <v>0</v>
      </c>
      <c r="M8" s="36"/>
      <c r="N8" s="36"/>
      <c r="O8" s="36"/>
      <c r="P8" s="50">
        <f t="shared" si="3"/>
        <v>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1">
        <v>0</v>
      </c>
      <c r="I9" s="34">
        <f t="shared" si="0"/>
        <v>0</v>
      </c>
      <c r="J9" s="34">
        <f t="shared" si="1"/>
        <v>0</v>
      </c>
      <c r="K9" s="36"/>
      <c r="L9" s="37">
        <f t="shared" si="2"/>
        <v>0</v>
      </c>
      <c r="M9" s="36"/>
      <c r="N9" s="36"/>
      <c r="O9" s="36"/>
      <c r="P9" s="50">
        <f t="shared" si="3"/>
        <v>0</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1">
        <v>0</v>
      </c>
      <c r="I10" s="34">
        <f t="shared" si="0"/>
        <v>0</v>
      </c>
      <c r="J10" s="34">
        <f t="shared" si="1"/>
        <v>0</v>
      </c>
      <c r="K10" s="36"/>
      <c r="L10" s="37">
        <f t="shared" si="2"/>
        <v>0</v>
      </c>
      <c r="M10" s="36"/>
      <c r="N10" s="36"/>
      <c r="O10" s="36"/>
      <c r="P10" s="50">
        <f t="shared" si="3"/>
        <v>0</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1">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1">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1">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1">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1">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1">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1">
        <v>0</v>
      </c>
      <c r="I17" s="34">
        <f t="shared" si="0"/>
        <v>0</v>
      </c>
      <c r="J17" s="34">
        <f t="shared" si="1"/>
        <v>0</v>
      </c>
      <c r="K17" s="36"/>
      <c r="L17" s="37">
        <f t="shared" si="2"/>
        <v>0</v>
      </c>
      <c r="M17" s="36"/>
      <c r="N17" s="36"/>
      <c r="O17" s="36"/>
      <c r="P17" s="50">
        <f t="shared" si="3"/>
        <v>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1">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1">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1">
        <v>0</v>
      </c>
      <c r="I20" s="34">
        <f t="shared" si="0"/>
        <v>0</v>
      </c>
      <c r="J20" s="34">
        <f t="shared" si="1"/>
        <v>0</v>
      </c>
      <c r="K20" s="36"/>
      <c r="L20" s="37">
        <f t="shared" si="2"/>
        <v>0</v>
      </c>
      <c r="M20" s="36"/>
      <c r="N20" s="36"/>
      <c r="O20" s="36"/>
      <c r="P20" s="50">
        <f t="shared" si="3"/>
        <v>0</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25</v>
      </c>
      <c r="I21" s="34">
        <f t="shared" si="0"/>
        <v>0</v>
      </c>
      <c r="J21" s="34">
        <f t="shared" si="1"/>
        <v>0</v>
      </c>
      <c r="K21" s="36">
        <v>-2</v>
      </c>
      <c r="L21" s="37">
        <f t="shared" si="2"/>
        <v>6</v>
      </c>
      <c r="M21" s="36"/>
      <c r="N21" s="36"/>
      <c r="O21" s="36"/>
      <c r="P21" s="50">
        <f t="shared" si="3"/>
        <v>23</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25</v>
      </c>
      <c r="I22" s="33"/>
      <c r="J22" s="33"/>
      <c r="K22" s="33"/>
      <c r="L22" s="33"/>
      <c r="M22" s="33"/>
      <c r="N22" s="33"/>
      <c r="O22" s="33"/>
      <c r="P22" s="33">
        <f>SUM(P4:P21)</f>
        <v>23</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1296.5</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21" priority="4">
      <formula>#REF!&lt;0.25</formula>
    </cfRule>
  </conditionalFormatting>
  <conditionalFormatting sqref="P4:P21">
    <cfRule type="cellIs" dxfId="20" priority="3" operator="lessThan">
      <formula>0</formula>
    </cfRule>
  </conditionalFormatting>
  <conditionalFormatting sqref="Q4:Q21">
    <cfRule type="containsText" dxfId="19" priority="2" operator="containsText" text="ATENÇÃO">
      <formula>NOT(ISERROR(SEARCH("ATENÇÃO",Q4)))</formula>
    </cfRule>
  </conditionalFormatting>
  <conditionalFormatting sqref="R4:AN21">
    <cfRule type="cellIs" dxfId="18"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4123-E97A-49B9-9788-95DD7110457A}">
  <dimension ref="A1:AN24"/>
  <sheetViews>
    <sheetView zoomScale="80" zoomScaleNormal="80" workbookViewId="0">
      <selection activeCell="A2" sqref="A2:H2"/>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8" width="13.26953125" style="6" customWidth="1"/>
    <col min="9" max="9" width="12.81640625" style="6" customWidth="1"/>
    <col min="10" max="10" width="13.7265625" style="6" customWidth="1"/>
    <col min="11" max="11" width="14.7265625" style="6" customWidth="1"/>
    <col min="12" max="13" width="13.7265625" style="6" customWidth="1"/>
    <col min="14" max="14" width="12.453125" style="6" customWidth="1"/>
    <col min="15" max="15" width="11.81640625" style="6" customWidth="1"/>
    <col min="16" max="16" width="11.81640625" style="13" customWidth="1"/>
    <col min="17" max="17" width="11.7265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32</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1">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1">
        <v>0</v>
      </c>
      <c r="I6" s="34">
        <f t="shared" si="0"/>
        <v>0</v>
      </c>
      <c r="J6" s="34">
        <f t="shared" si="1"/>
        <v>0</v>
      </c>
      <c r="K6" s="36"/>
      <c r="L6" s="37">
        <f t="shared" si="2"/>
        <v>0</v>
      </c>
      <c r="M6" s="36"/>
      <c r="N6" s="36"/>
      <c r="O6" s="36"/>
      <c r="P6" s="50">
        <f t="shared" si="3"/>
        <v>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1">
        <v>0</v>
      </c>
      <c r="I7" s="34">
        <f t="shared" si="0"/>
        <v>0</v>
      </c>
      <c r="J7" s="34">
        <f t="shared" si="1"/>
        <v>0</v>
      </c>
      <c r="K7" s="36"/>
      <c r="L7" s="37">
        <f t="shared" si="2"/>
        <v>0</v>
      </c>
      <c r="M7" s="36"/>
      <c r="N7" s="36"/>
      <c r="O7" s="36"/>
      <c r="P7" s="50">
        <f t="shared" si="3"/>
        <v>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1">
        <v>0</v>
      </c>
      <c r="I8" s="34">
        <f t="shared" si="0"/>
        <v>0</v>
      </c>
      <c r="J8" s="34">
        <f t="shared" si="1"/>
        <v>0</v>
      </c>
      <c r="K8" s="36"/>
      <c r="L8" s="37">
        <f t="shared" si="2"/>
        <v>0</v>
      </c>
      <c r="M8" s="36"/>
      <c r="N8" s="36"/>
      <c r="O8" s="36"/>
      <c r="P8" s="50">
        <f t="shared" si="3"/>
        <v>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1">
        <v>0</v>
      </c>
      <c r="I9" s="34">
        <f t="shared" si="0"/>
        <v>0</v>
      </c>
      <c r="J9" s="34">
        <f t="shared" si="1"/>
        <v>0</v>
      </c>
      <c r="K9" s="36"/>
      <c r="L9" s="37">
        <f t="shared" si="2"/>
        <v>0</v>
      </c>
      <c r="M9" s="36"/>
      <c r="N9" s="36"/>
      <c r="O9" s="36"/>
      <c r="P9" s="50">
        <f t="shared" si="3"/>
        <v>0</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1">
        <v>0</v>
      </c>
      <c r="I10" s="34">
        <f t="shared" si="0"/>
        <v>0</v>
      </c>
      <c r="J10" s="34">
        <f t="shared" si="1"/>
        <v>0</v>
      </c>
      <c r="K10" s="36"/>
      <c r="L10" s="37">
        <f t="shared" si="2"/>
        <v>0</v>
      </c>
      <c r="M10" s="36"/>
      <c r="N10" s="36"/>
      <c r="O10" s="36"/>
      <c r="P10" s="50">
        <f t="shared" si="3"/>
        <v>0</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1">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1">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1">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1">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1">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1">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1">
        <v>0</v>
      </c>
      <c r="I17" s="34">
        <f t="shared" si="0"/>
        <v>0</v>
      </c>
      <c r="J17" s="34">
        <f t="shared" si="1"/>
        <v>0</v>
      </c>
      <c r="K17" s="36"/>
      <c r="L17" s="37">
        <f t="shared" si="2"/>
        <v>0</v>
      </c>
      <c r="M17" s="36"/>
      <c r="N17" s="36"/>
      <c r="O17" s="36"/>
      <c r="P17" s="50">
        <f t="shared" si="3"/>
        <v>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1">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1">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1">
        <v>2</v>
      </c>
      <c r="I20" s="34">
        <f t="shared" si="0"/>
        <v>0</v>
      </c>
      <c r="J20" s="34">
        <f t="shared" si="1"/>
        <v>0</v>
      </c>
      <c r="K20" s="36"/>
      <c r="L20" s="37">
        <f t="shared" si="2"/>
        <v>0</v>
      </c>
      <c r="M20" s="36"/>
      <c r="N20" s="36"/>
      <c r="O20" s="36"/>
      <c r="P20" s="50">
        <f t="shared" si="3"/>
        <v>2</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25</v>
      </c>
      <c r="I21" s="34">
        <f t="shared" si="0"/>
        <v>0</v>
      </c>
      <c r="J21" s="34">
        <f t="shared" si="1"/>
        <v>0</v>
      </c>
      <c r="K21" s="36"/>
      <c r="L21" s="37">
        <f t="shared" si="2"/>
        <v>6</v>
      </c>
      <c r="M21" s="36"/>
      <c r="N21" s="36"/>
      <c r="O21" s="36"/>
      <c r="P21" s="50">
        <f t="shared" si="3"/>
        <v>25</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27</v>
      </c>
      <c r="I22" s="33"/>
      <c r="J22" s="33"/>
      <c r="K22" s="33"/>
      <c r="L22" s="33"/>
      <c r="M22" s="33"/>
      <c r="N22" s="33"/>
      <c r="O22" s="33"/>
      <c r="P22" s="33">
        <f>SUM(P4:P21)</f>
        <v>27</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1872.74</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17" priority="4">
      <formula>#REF!&lt;0.25</formula>
    </cfRule>
  </conditionalFormatting>
  <conditionalFormatting sqref="P4:P21">
    <cfRule type="cellIs" dxfId="16" priority="3" operator="lessThan">
      <formula>0</formula>
    </cfRule>
  </conditionalFormatting>
  <conditionalFormatting sqref="Q4:Q21">
    <cfRule type="containsText" dxfId="15" priority="2" operator="containsText" text="ATENÇÃO">
      <formula>NOT(ISERROR(SEARCH("ATENÇÃO",Q4)))</formula>
    </cfRule>
  </conditionalFormatting>
  <conditionalFormatting sqref="R4:AN21">
    <cfRule type="cellIs" dxfId="14"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58EE-749B-4C78-B93C-1CB949D1B236}">
  <dimension ref="A1:AN24"/>
  <sheetViews>
    <sheetView topLeftCell="A13" zoomScale="70" zoomScaleNormal="70" workbookViewId="0">
      <selection activeCell="D26" sqref="D26"/>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15" width="7.54296875" style="6" customWidth="1"/>
    <col min="16" max="16" width="7.54296875" style="13" customWidth="1"/>
    <col min="17" max="17" width="7.5429687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71" t="s">
        <v>117</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29</v>
      </c>
      <c r="B2" s="102"/>
      <c r="C2" s="102"/>
      <c r="D2" s="102"/>
      <c r="E2" s="102"/>
      <c r="F2" s="102"/>
      <c r="G2" s="102"/>
      <c r="H2" s="103"/>
      <c r="I2" s="98" t="s">
        <v>75</v>
      </c>
      <c r="J2" s="99"/>
      <c r="K2" s="99"/>
      <c r="L2" s="99"/>
      <c r="M2" s="99"/>
      <c r="N2" s="99"/>
      <c r="O2" s="99"/>
      <c r="P2" s="99"/>
      <c r="Q2" s="100"/>
      <c r="R2" s="171" t="s">
        <v>116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72">
        <v>45811</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20</v>
      </c>
      <c r="I4" s="34">
        <f>IF(SUM(R4:AN4)&gt;H4+K4,H4+K4,SUM(R4:AN4))</f>
        <v>0</v>
      </c>
      <c r="J4" s="34">
        <f>(SUM(R4:AN4))</f>
        <v>0</v>
      </c>
      <c r="K4" s="35"/>
      <c r="L4" s="37">
        <f>ROUND(IF(H4*0.25-0.5&lt;0,0,H4*0.25-0.5),0)-O4-M4</f>
        <v>5</v>
      </c>
      <c r="M4" s="35"/>
      <c r="N4" s="35"/>
      <c r="O4" s="35"/>
      <c r="P4" s="50">
        <f>H4-(SUM(R4:AN4))+K4+M4+N4-O4</f>
        <v>20</v>
      </c>
      <c r="Q4" s="49" t="str">
        <f>IF(P4&lt;0,"ATENÇÃO","OK")</f>
        <v>OK</v>
      </c>
      <c r="R4" s="173"/>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1">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73"/>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1">
        <v>400</v>
      </c>
      <c r="I6" s="34">
        <f t="shared" si="0"/>
        <v>0</v>
      </c>
      <c r="J6" s="34">
        <f t="shared" si="1"/>
        <v>0</v>
      </c>
      <c r="K6" s="36"/>
      <c r="L6" s="37">
        <f t="shared" si="2"/>
        <v>100</v>
      </c>
      <c r="M6" s="36"/>
      <c r="N6" s="36"/>
      <c r="O6" s="36"/>
      <c r="P6" s="50">
        <f t="shared" si="3"/>
        <v>400</v>
      </c>
      <c r="Q6" s="49" t="str">
        <f t="shared" si="4"/>
        <v>OK</v>
      </c>
      <c r="R6" s="173"/>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1">
        <v>0</v>
      </c>
      <c r="I7" s="34">
        <f t="shared" si="0"/>
        <v>0</v>
      </c>
      <c r="J7" s="34">
        <f t="shared" si="1"/>
        <v>0</v>
      </c>
      <c r="K7" s="36"/>
      <c r="L7" s="37">
        <f t="shared" si="2"/>
        <v>0</v>
      </c>
      <c r="M7" s="36"/>
      <c r="N7" s="36"/>
      <c r="O7" s="36"/>
      <c r="P7" s="50">
        <f t="shared" si="3"/>
        <v>0</v>
      </c>
      <c r="Q7" s="49" t="str">
        <f t="shared" si="4"/>
        <v>OK</v>
      </c>
      <c r="R7" s="173"/>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1">
        <v>0</v>
      </c>
      <c r="I8" s="34">
        <f t="shared" si="0"/>
        <v>0</v>
      </c>
      <c r="J8" s="34">
        <f t="shared" si="1"/>
        <v>0</v>
      </c>
      <c r="K8" s="36"/>
      <c r="L8" s="37">
        <f t="shared" si="2"/>
        <v>0</v>
      </c>
      <c r="M8" s="36"/>
      <c r="N8" s="36"/>
      <c r="O8" s="36"/>
      <c r="P8" s="50">
        <f t="shared" si="3"/>
        <v>0</v>
      </c>
      <c r="Q8" s="49" t="str">
        <f t="shared" si="4"/>
        <v>OK</v>
      </c>
      <c r="R8" s="173"/>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1">
        <v>0</v>
      </c>
      <c r="I9" s="34">
        <f t="shared" si="0"/>
        <v>0</v>
      </c>
      <c r="J9" s="34">
        <f t="shared" si="1"/>
        <v>0</v>
      </c>
      <c r="K9" s="36"/>
      <c r="L9" s="37">
        <f t="shared" si="2"/>
        <v>0</v>
      </c>
      <c r="M9" s="36"/>
      <c r="N9" s="36"/>
      <c r="O9" s="36"/>
      <c r="P9" s="50">
        <f t="shared" si="3"/>
        <v>0</v>
      </c>
      <c r="Q9" s="49" t="str">
        <f t="shared" si="4"/>
        <v>OK</v>
      </c>
      <c r="R9" s="173"/>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1">
        <v>0</v>
      </c>
      <c r="I10" s="34">
        <f t="shared" si="0"/>
        <v>0</v>
      </c>
      <c r="J10" s="34">
        <f t="shared" si="1"/>
        <v>0</v>
      </c>
      <c r="K10" s="36"/>
      <c r="L10" s="37">
        <f t="shared" si="2"/>
        <v>0</v>
      </c>
      <c r="M10" s="36"/>
      <c r="N10" s="36"/>
      <c r="O10" s="36"/>
      <c r="P10" s="50">
        <f t="shared" si="3"/>
        <v>0</v>
      </c>
      <c r="Q10" s="49" t="str">
        <f t="shared" si="4"/>
        <v>OK</v>
      </c>
      <c r="R10" s="173"/>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1">
        <v>0</v>
      </c>
      <c r="I11" s="34">
        <f t="shared" si="0"/>
        <v>0</v>
      </c>
      <c r="J11" s="34">
        <f t="shared" si="1"/>
        <v>0</v>
      </c>
      <c r="K11" s="36"/>
      <c r="L11" s="37">
        <f t="shared" si="2"/>
        <v>0</v>
      </c>
      <c r="M11" s="36"/>
      <c r="N11" s="36"/>
      <c r="O11" s="36"/>
      <c r="P11" s="50">
        <f t="shared" si="3"/>
        <v>0</v>
      </c>
      <c r="Q11" s="49" t="str">
        <f t="shared" si="4"/>
        <v>OK</v>
      </c>
      <c r="R11" s="173"/>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1">
        <v>0</v>
      </c>
      <c r="I12" s="34">
        <f t="shared" si="0"/>
        <v>0</v>
      </c>
      <c r="J12" s="34">
        <f t="shared" si="1"/>
        <v>0</v>
      </c>
      <c r="K12" s="36"/>
      <c r="L12" s="37">
        <f t="shared" si="2"/>
        <v>0</v>
      </c>
      <c r="M12" s="36"/>
      <c r="N12" s="36"/>
      <c r="O12" s="36"/>
      <c r="P12" s="50">
        <f t="shared" si="3"/>
        <v>0</v>
      </c>
      <c r="Q12" s="49" t="str">
        <f t="shared" si="4"/>
        <v>OK</v>
      </c>
      <c r="R12" s="173"/>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1">
        <v>0</v>
      </c>
      <c r="I13" s="34">
        <f t="shared" si="0"/>
        <v>0</v>
      </c>
      <c r="J13" s="34">
        <f t="shared" si="1"/>
        <v>0</v>
      </c>
      <c r="K13" s="36"/>
      <c r="L13" s="37">
        <f t="shared" si="2"/>
        <v>0</v>
      </c>
      <c r="M13" s="36"/>
      <c r="N13" s="36"/>
      <c r="O13" s="36"/>
      <c r="P13" s="50">
        <f t="shared" si="3"/>
        <v>0</v>
      </c>
      <c r="Q13" s="49" t="str">
        <f t="shared" si="4"/>
        <v>OK</v>
      </c>
      <c r="R13" s="173"/>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1">
        <v>0</v>
      </c>
      <c r="I14" s="34">
        <f t="shared" si="0"/>
        <v>0</v>
      </c>
      <c r="J14" s="34">
        <f t="shared" si="1"/>
        <v>0</v>
      </c>
      <c r="K14" s="36"/>
      <c r="L14" s="37">
        <f t="shared" si="2"/>
        <v>0</v>
      </c>
      <c r="M14" s="36"/>
      <c r="N14" s="36"/>
      <c r="O14" s="36"/>
      <c r="P14" s="50">
        <f t="shared" si="3"/>
        <v>0</v>
      </c>
      <c r="Q14" s="49" t="str">
        <f t="shared" si="4"/>
        <v>OK</v>
      </c>
      <c r="R14" s="173"/>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1">
        <v>0</v>
      </c>
      <c r="I15" s="34">
        <f t="shared" si="0"/>
        <v>0</v>
      </c>
      <c r="J15" s="34">
        <f t="shared" si="1"/>
        <v>0</v>
      </c>
      <c r="K15" s="36"/>
      <c r="L15" s="37">
        <f t="shared" si="2"/>
        <v>0</v>
      </c>
      <c r="M15" s="36"/>
      <c r="N15" s="36"/>
      <c r="O15" s="36"/>
      <c r="P15" s="50">
        <f t="shared" si="3"/>
        <v>0</v>
      </c>
      <c r="Q15" s="49" t="str">
        <f t="shared" si="4"/>
        <v>OK</v>
      </c>
      <c r="R15" s="173"/>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1">
        <v>0</v>
      </c>
      <c r="I16" s="34">
        <f t="shared" si="0"/>
        <v>0</v>
      </c>
      <c r="J16" s="34">
        <f t="shared" si="1"/>
        <v>0</v>
      </c>
      <c r="K16" s="36"/>
      <c r="L16" s="37">
        <f t="shared" si="2"/>
        <v>0</v>
      </c>
      <c r="M16" s="36"/>
      <c r="N16" s="36"/>
      <c r="O16" s="36"/>
      <c r="P16" s="50">
        <f t="shared" si="3"/>
        <v>0</v>
      </c>
      <c r="Q16" s="49" t="str">
        <f t="shared" si="4"/>
        <v>OK</v>
      </c>
      <c r="R16" s="173"/>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1">
        <v>0</v>
      </c>
      <c r="I17" s="34">
        <f t="shared" si="0"/>
        <v>0</v>
      </c>
      <c r="J17" s="34">
        <f t="shared" si="1"/>
        <v>0</v>
      </c>
      <c r="K17" s="36"/>
      <c r="L17" s="37">
        <f t="shared" si="2"/>
        <v>0</v>
      </c>
      <c r="M17" s="36"/>
      <c r="N17" s="36"/>
      <c r="O17" s="36"/>
      <c r="P17" s="50">
        <f t="shared" si="3"/>
        <v>0</v>
      </c>
      <c r="Q17" s="49" t="str">
        <f t="shared" si="4"/>
        <v>OK</v>
      </c>
      <c r="R17" s="173"/>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1">
        <v>0</v>
      </c>
      <c r="I18" s="34">
        <f t="shared" si="0"/>
        <v>0</v>
      </c>
      <c r="J18" s="34">
        <f t="shared" si="1"/>
        <v>0</v>
      </c>
      <c r="K18" s="36"/>
      <c r="L18" s="37">
        <f t="shared" si="2"/>
        <v>0</v>
      </c>
      <c r="M18" s="36"/>
      <c r="N18" s="36"/>
      <c r="O18" s="36"/>
      <c r="P18" s="50">
        <f t="shared" si="3"/>
        <v>0</v>
      </c>
      <c r="Q18" s="49" t="str">
        <f t="shared" si="4"/>
        <v>OK</v>
      </c>
      <c r="R18" s="173"/>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1">
        <v>0</v>
      </c>
      <c r="I19" s="34">
        <f t="shared" si="0"/>
        <v>0</v>
      </c>
      <c r="J19" s="34">
        <f t="shared" si="1"/>
        <v>0</v>
      </c>
      <c r="K19" s="36"/>
      <c r="L19" s="37">
        <f t="shared" si="2"/>
        <v>0</v>
      </c>
      <c r="M19" s="36"/>
      <c r="N19" s="36"/>
      <c r="O19" s="36"/>
      <c r="P19" s="50">
        <f t="shared" si="3"/>
        <v>0</v>
      </c>
      <c r="Q19" s="49" t="str">
        <f t="shared" si="4"/>
        <v>OK</v>
      </c>
      <c r="R19" s="173"/>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1">
        <v>2</v>
      </c>
      <c r="I20" s="34">
        <f t="shared" si="0"/>
        <v>2</v>
      </c>
      <c r="J20" s="34">
        <f t="shared" si="1"/>
        <v>2</v>
      </c>
      <c r="K20" s="36"/>
      <c r="L20" s="37">
        <f t="shared" si="2"/>
        <v>0</v>
      </c>
      <c r="M20" s="36"/>
      <c r="N20" s="36"/>
      <c r="O20" s="36"/>
      <c r="P20" s="50">
        <f t="shared" si="3"/>
        <v>0</v>
      </c>
      <c r="Q20" s="49" t="str">
        <f t="shared" si="4"/>
        <v>OK</v>
      </c>
      <c r="R20" s="166">
        <v>2</v>
      </c>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25</v>
      </c>
      <c r="I21" s="34">
        <f t="shared" si="0"/>
        <v>30</v>
      </c>
      <c r="J21" s="34">
        <f t="shared" si="1"/>
        <v>30</v>
      </c>
      <c r="K21" s="36">
        <v>5</v>
      </c>
      <c r="L21" s="37">
        <f t="shared" si="2"/>
        <v>6</v>
      </c>
      <c r="M21" s="36"/>
      <c r="N21" s="36"/>
      <c r="O21" s="36"/>
      <c r="P21" s="50">
        <f t="shared" si="3"/>
        <v>0</v>
      </c>
      <c r="Q21" s="49" t="str">
        <f t="shared" si="4"/>
        <v>OK</v>
      </c>
      <c r="R21" s="166">
        <v>30</v>
      </c>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447</v>
      </c>
      <c r="I22" s="33"/>
      <c r="J22" s="33"/>
      <c r="K22" s="33"/>
      <c r="L22" s="33"/>
      <c r="M22" s="33"/>
      <c r="N22" s="33"/>
      <c r="O22" s="33"/>
      <c r="P22" s="33">
        <f>SUM(P4:P21)</f>
        <v>420</v>
      </c>
      <c r="R22" s="174">
        <v>2132.04</v>
      </c>
      <c r="S22" s="14">
        <f t="shared" ref="R22:AN22" si="5">SUMPRODUCT($G$4:$G$21,S4:S21)</f>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5"/>
    </row>
    <row r="24" spans="1:40" x14ac:dyDescent="0.35">
      <c r="H24" s="44">
        <f>SUMPRODUCT($G$4:$G$21,H4:H21)</f>
        <v>4441.54</v>
      </c>
      <c r="I24" s="44">
        <f>SUMPRODUCT($G$4:$G$21,I4:I21)</f>
        <v>2132.04</v>
      </c>
      <c r="J24" s="44">
        <f>SUMPRODUCT($G$4:$G$21,J4:J21)</f>
        <v>2132.04</v>
      </c>
      <c r="R24" s="175"/>
    </row>
  </sheetData>
  <mergeCells count="9">
    <mergeCell ref="A20:A21"/>
    <mergeCell ref="B20:B21"/>
    <mergeCell ref="A1:C1"/>
    <mergeCell ref="D1:H1"/>
    <mergeCell ref="I1:Q1"/>
    <mergeCell ref="A4:A19"/>
    <mergeCell ref="B4:B19"/>
    <mergeCell ref="A2:H2"/>
    <mergeCell ref="I2:Q2"/>
  </mergeCells>
  <conditionalFormatting sqref="G4:G21">
    <cfRule type="expression" dxfId="13" priority="4">
      <formula>#REF!&lt;0.25</formula>
    </cfRule>
  </conditionalFormatting>
  <conditionalFormatting sqref="P4:P21">
    <cfRule type="cellIs" dxfId="12" priority="3" operator="lessThan">
      <formula>0</formula>
    </cfRule>
  </conditionalFormatting>
  <conditionalFormatting sqref="Q4:Q21">
    <cfRule type="containsText" dxfId="11" priority="2" operator="containsText" text="ATENÇÃO">
      <formula>NOT(ISERROR(SEARCH("ATENÇÃO",Q4)))</formula>
    </cfRule>
  </conditionalFormatting>
  <conditionalFormatting sqref="S4:AN21">
    <cfRule type="cellIs" dxfId="10"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P32"/>
  <sheetViews>
    <sheetView tabSelected="1" zoomScale="70" zoomScaleNormal="70" workbookViewId="0">
      <selection activeCell="G31" sqref="G31"/>
    </sheetView>
  </sheetViews>
  <sheetFormatPr defaultColWidth="9.7265625" defaultRowHeight="14.5" x14ac:dyDescent="0.35"/>
  <cols>
    <col min="1" max="1" width="6.1796875" style="1" customWidth="1"/>
    <col min="2" max="2" width="13.26953125" style="1" customWidth="1"/>
    <col min="3" max="3" width="10.26953125" style="1" customWidth="1"/>
    <col min="4" max="4" width="32.54296875" style="12" customWidth="1"/>
    <col min="5" max="5" width="10.26953125" style="1" customWidth="1"/>
    <col min="6" max="6" width="15.81640625" style="1" customWidth="1"/>
    <col min="7" max="7" width="13.7265625" style="6" customWidth="1"/>
    <col min="8" max="8" width="12.81640625" style="6" customWidth="1"/>
    <col min="9" max="11" width="13.7265625" style="6" customWidth="1"/>
    <col min="12" max="13" width="13.26953125" style="13" customWidth="1"/>
    <col min="14" max="14" width="15.26953125" style="13" customWidth="1"/>
    <col min="15" max="15" width="14.453125" style="13" customWidth="1"/>
    <col min="16" max="16" width="17.453125" style="4" customWidth="1"/>
    <col min="17" max="16384" width="9.7265625" style="2"/>
  </cols>
  <sheetData>
    <row r="1" spans="1:16" ht="54.75" customHeight="1" x14ac:dyDescent="0.35">
      <c r="A1" s="127" t="s">
        <v>74</v>
      </c>
      <c r="B1" s="127"/>
      <c r="C1" s="127"/>
      <c r="D1" s="114" t="s">
        <v>73</v>
      </c>
      <c r="E1" s="115"/>
      <c r="F1" s="115"/>
      <c r="G1" s="115"/>
      <c r="H1" s="115"/>
      <c r="I1" s="116"/>
      <c r="J1" s="114" t="s">
        <v>72</v>
      </c>
      <c r="K1" s="115"/>
      <c r="L1" s="115"/>
      <c r="M1" s="115"/>
      <c r="N1" s="115"/>
      <c r="O1" s="115"/>
      <c r="P1" s="116"/>
    </row>
    <row r="2" spans="1:16" ht="21.75" customHeight="1" x14ac:dyDescent="0.35">
      <c r="A2" s="128" t="s">
        <v>12</v>
      </c>
      <c r="B2" s="128"/>
      <c r="C2" s="128"/>
      <c r="D2" s="128"/>
      <c r="E2" s="128"/>
      <c r="F2" s="128"/>
      <c r="G2" s="128"/>
      <c r="H2" s="128"/>
      <c r="I2" s="128"/>
      <c r="J2" s="128"/>
      <c r="K2" s="128"/>
      <c r="L2" s="128"/>
      <c r="M2" s="128"/>
      <c r="N2" s="128"/>
      <c r="O2" s="128"/>
      <c r="P2" s="128"/>
    </row>
    <row r="3" spans="1:16" s="3" customFormat="1" ht="43.5" x14ac:dyDescent="0.25">
      <c r="A3" s="9" t="s">
        <v>1</v>
      </c>
      <c r="B3" s="9" t="s">
        <v>10</v>
      </c>
      <c r="C3" s="9" t="s">
        <v>9</v>
      </c>
      <c r="D3" s="9" t="s">
        <v>13</v>
      </c>
      <c r="E3" s="9" t="s">
        <v>25</v>
      </c>
      <c r="F3" s="9" t="s">
        <v>14</v>
      </c>
      <c r="G3" s="10" t="s">
        <v>3</v>
      </c>
      <c r="H3" s="10" t="s">
        <v>23</v>
      </c>
      <c r="I3" s="10" t="s">
        <v>24</v>
      </c>
      <c r="J3" s="10" t="s">
        <v>19</v>
      </c>
      <c r="K3" s="10" t="s">
        <v>37</v>
      </c>
      <c r="L3" s="11" t="s">
        <v>4</v>
      </c>
      <c r="M3" s="11" t="s">
        <v>38</v>
      </c>
      <c r="N3" s="11" t="s">
        <v>39</v>
      </c>
      <c r="O3" s="11" t="s">
        <v>40</v>
      </c>
      <c r="P3" s="8" t="s">
        <v>5</v>
      </c>
    </row>
    <row r="4" spans="1:16" ht="48.75" customHeight="1" x14ac:dyDescent="0.35">
      <c r="A4" s="131" t="s">
        <v>46</v>
      </c>
      <c r="B4" s="129" t="s">
        <v>47</v>
      </c>
      <c r="C4" s="21">
        <v>1</v>
      </c>
      <c r="D4" s="22" t="s">
        <v>54</v>
      </c>
      <c r="E4" s="28" t="s">
        <v>53</v>
      </c>
      <c r="F4" s="24" t="s">
        <v>50</v>
      </c>
      <c r="G4" s="31">
        <f>'REITORIA-PROEX'!H4+ESAG!H4+CCT!H4+CAV!H4+CEO!H4+CESMO!H4+CEAD!H4+CEPLAN!H4+CEART!H4+CEAVI!H4+CERES!H4+CESFI!H4+FAED!H4+CEFID!H4</f>
        <v>351</v>
      </c>
      <c r="H4" s="34">
        <f>'REITORIA-PROEX'!I4+ESAG!I4+CCT!I4+CAV!I4+CEO!I4+CESMO!I4+CEAD!I4+CEPLAN!I4+CEART!I4+CEAVI!I4+CERES!I4+CESFI!I4+FAED!I4+CEFID!I4</f>
        <v>8</v>
      </c>
      <c r="I4" s="34">
        <f>'REITORIA-PROEX'!J4+ESAG!J4+CCT!J4+CAV!J4+CEO!J4+CESMO!J4+CEAD!J4+CEPLAN!J4+CEART!J4+CEAVI!J4+CERES!J4+CESFI!J4+FAED!J4+CEFID!J4</f>
        <v>8</v>
      </c>
      <c r="J4" s="35">
        <f>G4*0.25-0.5-K4</f>
        <v>87.25</v>
      </c>
      <c r="K4" s="37">
        <f>'REITORIA-PROEX'!M4+'REITORIA-PROEX'!N4+ESAG!M4+ESAG!N4+CCT!M4+CCT!N4+CAV!M4+CAV!N4+CEO!M4+CEO!N4+CESMO!M4+CESMO!N4+CEAD!M4+CEAD!N4+CEPLAN!M4+CEPLAN!N4+CEART!M4+CEART!N4+CEAVI!M4+CEAVI!N4+CERES!M4+CERES!N4+CESFI!M4+CESFI!N4+FAED!M4+FAED!N4+CEFID!M4+CEFID!N4</f>
        <v>0</v>
      </c>
      <c r="L4" s="46">
        <f>G4+K4-I4</f>
        <v>343</v>
      </c>
      <c r="M4" s="42">
        <v>5.84</v>
      </c>
      <c r="N4" s="42">
        <f>G4*M4</f>
        <v>2049.84</v>
      </c>
      <c r="O4" s="42">
        <f>K4*M4</f>
        <v>0</v>
      </c>
      <c r="P4" s="43">
        <f>I4*M4</f>
        <v>46.72</v>
      </c>
    </row>
    <row r="5" spans="1:16" s="7" customFormat="1" ht="48.75" customHeight="1" x14ac:dyDescent="0.35">
      <c r="A5" s="134"/>
      <c r="B5" s="133"/>
      <c r="C5" s="23">
        <v>2</v>
      </c>
      <c r="D5" s="22" t="s">
        <v>55</v>
      </c>
      <c r="E5" s="28" t="s">
        <v>53</v>
      </c>
      <c r="F5" s="24" t="s">
        <v>50</v>
      </c>
      <c r="G5" s="31">
        <f>'REITORIA-PROEX'!H5+ESAG!H5+CCT!H5+CAV!H5+CEO!H5+CESMO!H5+CEAD!H5+CEPLAN!H5+CEART!H5+CEAVI!H5+CERES!H5+CESFI!H5+FAED!H5+CEFID!H5</f>
        <v>1500</v>
      </c>
      <c r="H5" s="34">
        <f>'REITORIA-PROEX'!I5+ESAG!I5+CCT!I5+CAV!I5+CEO!I5+CESMO!I5+CEAD!I5+CEPLAN!I5+CEART!I5+CEAVI!I5+CERES!I5+CESFI!I5+FAED!I5+CEFID!I5</f>
        <v>1064</v>
      </c>
      <c r="I5" s="34">
        <f>'REITORIA-PROEX'!J5+ESAG!J5+CCT!J5+CAV!J5+CEO!J5+CESMO!J5+CEAD!J5+CEPLAN!J5+CEART!J5+CEAVI!J5+CERES!J5+CESFI!J5+FAED!J5+CEFID!J5</f>
        <v>1064</v>
      </c>
      <c r="J5" s="35">
        <f t="shared" ref="J5:J21" si="0">G5*0.25-0.5-K5</f>
        <v>374.5</v>
      </c>
      <c r="K5" s="37">
        <f>'REITORIA-PROEX'!M5+'REITORIA-PROEX'!N5+ESAG!M5+ESAG!N5+CCT!M5+CCT!N5+CAV!M5+CAV!N5+CEO!M5+CEO!N5+CESMO!M5+CESMO!N5+CEAD!M5+CEAD!N5+CEPLAN!M5+CEPLAN!N5+CEART!M5+CEART!N5+CEAVI!M5+CEAVI!N5+CERES!M5+CERES!N5+CESFI!M5+CESFI!N5+FAED!M5+FAED!N5+CEFID!M5+CEFID!N5</f>
        <v>0</v>
      </c>
      <c r="L5" s="46">
        <f t="shared" ref="L5:L21" si="1">G5+K5-I5</f>
        <v>436</v>
      </c>
      <c r="M5" s="42">
        <v>6.13</v>
      </c>
      <c r="N5" s="42">
        <f t="shared" ref="N5:N21" si="2">G5*M5</f>
        <v>9195</v>
      </c>
      <c r="O5" s="42">
        <f t="shared" ref="O5:O21" si="3">K5*M5</f>
        <v>0</v>
      </c>
      <c r="P5" s="43">
        <f t="shared" ref="P5:P21" si="4">I5*M5</f>
        <v>6522.32</v>
      </c>
    </row>
    <row r="6" spans="1:16" s="7" customFormat="1" ht="48.75" customHeight="1" x14ac:dyDescent="0.35">
      <c r="A6" s="134"/>
      <c r="B6" s="133"/>
      <c r="C6" s="23">
        <v>3</v>
      </c>
      <c r="D6" s="22" t="s">
        <v>56</v>
      </c>
      <c r="E6" s="28" t="s">
        <v>53</v>
      </c>
      <c r="F6" s="24" t="s">
        <v>50</v>
      </c>
      <c r="G6" s="31">
        <f>'REITORIA-PROEX'!H6+ESAG!H6+CCT!H6+CAV!H6+CEO!H6+CESMO!H6+CEAD!H6+CEPLAN!H6+CEART!H6+CEAVI!H6+CERES!H6+CESFI!H6+FAED!H6+CEFID!H6</f>
        <v>2865</v>
      </c>
      <c r="H6" s="34">
        <f>'REITORIA-PROEX'!I6+ESAG!I6+CCT!I6+CAV!I6+CEO!I6+CESMO!I6+CEAD!I6+CEPLAN!I6+CEART!I6+CEAVI!I6+CERES!I6+CESFI!I6+FAED!I6+CEFID!I6</f>
        <v>464</v>
      </c>
      <c r="I6" s="34">
        <f>'REITORIA-PROEX'!J6+ESAG!J6+CCT!J6+CAV!J6+CEO!J6+CESMO!J6+CEAD!J6+CEPLAN!J6+CEART!J6+CEAVI!J6+CERES!J6+CESFI!J6+FAED!J6+CEFID!J6</f>
        <v>464</v>
      </c>
      <c r="J6" s="35">
        <f t="shared" si="0"/>
        <v>715.75</v>
      </c>
      <c r="K6" s="37">
        <f>'REITORIA-PROEX'!M6+'REITORIA-PROEX'!N6+ESAG!M6+ESAG!N6+CCT!M6+CCT!N6+CAV!M6+CAV!N6+CEO!M6+CEO!N6+CESMO!M6+CESMO!N6+CEAD!M6+CEAD!N6+CEPLAN!M6+CEPLAN!N6+CEART!M6+CEART!N6+CEAVI!M6+CEAVI!N6+CERES!M6+CERES!N6+CESFI!M6+CESFI!N6+FAED!M6+FAED!N6+CEFID!M6+CEFID!N6</f>
        <v>0</v>
      </c>
      <c r="L6" s="46">
        <f t="shared" si="1"/>
        <v>2401</v>
      </c>
      <c r="M6" s="42">
        <v>6.13</v>
      </c>
      <c r="N6" s="42">
        <f t="shared" si="2"/>
        <v>17562.45</v>
      </c>
      <c r="O6" s="42">
        <f t="shared" si="3"/>
        <v>0</v>
      </c>
      <c r="P6" s="43">
        <f t="shared" si="4"/>
        <v>2844.32</v>
      </c>
    </row>
    <row r="7" spans="1:16" s="7" customFormat="1" ht="48.75" customHeight="1" x14ac:dyDescent="0.35">
      <c r="A7" s="134"/>
      <c r="B7" s="133"/>
      <c r="C7" s="23">
        <v>4</v>
      </c>
      <c r="D7" s="22" t="s">
        <v>57</v>
      </c>
      <c r="E7" s="28" t="s">
        <v>53</v>
      </c>
      <c r="F7" s="24" t="s">
        <v>50</v>
      </c>
      <c r="G7" s="31">
        <f>'REITORIA-PROEX'!H7+ESAG!H7+CCT!H7+CAV!H7+CEO!H7+CESMO!H7+CEAD!H7+CEPLAN!H7+CEART!H7+CEAVI!H7+CERES!H7+CESFI!H7+FAED!H7+CEFID!H7</f>
        <v>1590</v>
      </c>
      <c r="H7" s="34">
        <f>'REITORIA-PROEX'!I7+ESAG!I7+CCT!I7+CAV!I7+CEO!I7+CESMO!I7+CEAD!I7+CEPLAN!I7+CEART!I7+CEAVI!I7+CERES!I7+CESFI!I7+FAED!I7+CEFID!I7</f>
        <v>0</v>
      </c>
      <c r="I7" s="34">
        <f>'REITORIA-PROEX'!J7+ESAG!J7+CCT!J7+CAV!J7+CEO!J7+CESMO!J7+CEAD!J7+CEPLAN!J7+CEART!J7+CEAVI!J7+CERES!J7+CESFI!J7+FAED!J7+CEFID!J7</f>
        <v>0</v>
      </c>
      <c r="J7" s="35">
        <f t="shared" si="0"/>
        <v>397</v>
      </c>
      <c r="K7" s="37">
        <f>'REITORIA-PROEX'!M7+'REITORIA-PROEX'!N7+ESAG!M7+ESAG!N7+CCT!M7+CCT!N7+CAV!M7+CAV!N7+CEO!M7+CEO!N7+CESMO!M7+CESMO!N7+CEAD!M7+CEAD!N7+CEPLAN!M7+CEPLAN!N7+CEART!M7+CEART!N7+CEAVI!M7+CEAVI!N7+CERES!M7+CERES!N7+CESFI!M7+CESFI!N7+FAED!M7+FAED!N7+CEFID!M7+CEFID!N7</f>
        <v>0</v>
      </c>
      <c r="L7" s="46">
        <f t="shared" si="1"/>
        <v>1590</v>
      </c>
      <c r="M7" s="42">
        <v>4.38</v>
      </c>
      <c r="N7" s="42">
        <f t="shared" si="2"/>
        <v>6964.2</v>
      </c>
      <c r="O7" s="42">
        <f t="shared" si="3"/>
        <v>0</v>
      </c>
      <c r="P7" s="43">
        <f t="shared" si="4"/>
        <v>0</v>
      </c>
    </row>
    <row r="8" spans="1:16" s="7" customFormat="1" ht="48.75" customHeight="1" x14ac:dyDescent="0.35">
      <c r="A8" s="134"/>
      <c r="B8" s="133"/>
      <c r="C8" s="23">
        <v>5</v>
      </c>
      <c r="D8" s="22" t="s">
        <v>58</v>
      </c>
      <c r="E8" s="28" t="s">
        <v>53</v>
      </c>
      <c r="F8" s="24" t="s">
        <v>50</v>
      </c>
      <c r="G8" s="31">
        <f>'REITORIA-PROEX'!H8+ESAG!H8+CCT!H8+CAV!H8+CEO!H8+CESMO!H8+CEAD!H8+CEPLAN!H8+CEART!H8+CEAVI!H8+CERES!H8+CESFI!H8+FAED!H8+CEFID!H8</f>
        <v>65</v>
      </c>
      <c r="H8" s="34">
        <f>'REITORIA-PROEX'!I8+ESAG!I8+CCT!I8+CAV!I8+CEO!I8+CESMO!I8+CEAD!I8+CEPLAN!I8+CEART!I8+CEAVI!I8+CERES!I8+CESFI!I8+FAED!I8+CEFID!I8</f>
        <v>4</v>
      </c>
      <c r="I8" s="34">
        <f>'REITORIA-PROEX'!J8+ESAG!J8+CCT!J8+CAV!J8+CEO!J8+CESMO!J8+CEAD!J8+CEPLAN!J8+CEART!J8+CEAVI!J8+CERES!J8+CESFI!J8+FAED!J8+CEFID!J8</f>
        <v>4</v>
      </c>
      <c r="J8" s="35">
        <f t="shared" si="0"/>
        <v>15.75</v>
      </c>
      <c r="K8" s="37">
        <f>'REITORIA-PROEX'!M8+'REITORIA-PROEX'!N8+ESAG!M8+ESAG!N8+CCT!M8+CCT!N8+CAV!M8+CAV!N8+CEO!M8+CEO!N8+CESMO!M8+CESMO!N8+CEAD!M8+CEAD!N8+CEPLAN!M8+CEPLAN!N8+CEART!M8+CEART!N8+CEAVI!M8+CEAVI!N8+CERES!M8+CERES!N8+CESFI!M8+CESFI!N8+FAED!M8+FAED!N8+CEFID!M8+CEFID!N8</f>
        <v>0</v>
      </c>
      <c r="L8" s="46">
        <f t="shared" si="1"/>
        <v>61</v>
      </c>
      <c r="M8" s="42">
        <v>73.08</v>
      </c>
      <c r="N8" s="42">
        <f t="shared" si="2"/>
        <v>4750.2</v>
      </c>
      <c r="O8" s="42">
        <f t="shared" si="3"/>
        <v>0</v>
      </c>
      <c r="P8" s="43">
        <f t="shared" si="4"/>
        <v>292.32</v>
      </c>
    </row>
    <row r="9" spans="1:16" s="7" customFormat="1" ht="48.75" customHeight="1" x14ac:dyDescent="0.35">
      <c r="A9" s="134"/>
      <c r="B9" s="133"/>
      <c r="C9" s="23">
        <v>6</v>
      </c>
      <c r="D9" s="22" t="s">
        <v>59</v>
      </c>
      <c r="E9" s="28" t="s">
        <v>53</v>
      </c>
      <c r="F9" s="24" t="s">
        <v>50</v>
      </c>
      <c r="G9" s="31">
        <f>'REITORIA-PROEX'!H9+ESAG!H9+CCT!H9+CAV!H9+CEO!H9+CESMO!H9+CEAD!H9+CEPLAN!H9+CEART!H9+CEAVI!H9+CERES!H9+CESFI!H9+FAED!H9+CEFID!H9</f>
        <v>80</v>
      </c>
      <c r="H9" s="34">
        <f>'REITORIA-PROEX'!I9+ESAG!I9+CCT!I9+CAV!I9+CEO!I9+CESMO!I9+CEAD!I9+CEPLAN!I9+CEART!I9+CEAVI!I9+CERES!I9+CESFI!I9+FAED!I9+CEFID!I9</f>
        <v>1</v>
      </c>
      <c r="I9" s="34">
        <f>'REITORIA-PROEX'!J9+ESAG!J9+CCT!J9+CAV!J9+CEO!J9+CESMO!J9+CEAD!J9+CEPLAN!J9+CEART!J9+CEAVI!J9+CERES!J9+CESFI!J9+FAED!J9+CEFID!J9</f>
        <v>1</v>
      </c>
      <c r="J9" s="35">
        <f t="shared" si="0"/>
        <v>19.5</v>
      </c>
      <c r="K9" s="37">
        <f>'REITORIA-PROEX'!M9+'REITORIA-PROEX'!N9+ESAG!M9+ESAG!N9+CCT!M9+CCT!N9+CAV!M9+CAV!N9+CEO!M9+CEO!N9+CESMO!M9+CESMO!N9+CEAD!M9+CEAD!N9+CEPLAN!M9+CEPLAN!N9+CEART!M9+CEART!N9+CEAVI!M9+CEAVI!N9+CERES!M9+CERES!N9+CESFI!M9+CESFI!N9+FAED!M9+FAED!N9+CEFID!M9+CEFID!N9</f>
        <v>0</v>
      </c>
      <c r="L9" s="46">
        <f t="shared" si="1"/>
        <v>79</v>
      </c>
      <c r="M9" s="42">
        <v>73.08</v>
      </c>
      <c r="N9" s="42">
        <f t="shared" si="2"/>
        <v>5846.4</v>
      </c>
      <c r="O9" s="42">
        <f t="shared" si="3"/>
        <v>0</v>
      </c>
      <c r="P9" s="43">
        <f t="shared" si="4"/>
        <v>73.08</v>
      </c>
    </row>
    <row r="10" spans="1:16" s="7" customFormat="1" ht="48.75" customHeight="1" x14ac:dyDescent="0.35">
      <c r="A10" s="134"/>
      <c r="B10" s="133"/>
      <c r="C10" s="23">
        <v>7</v>
      </c>
      <c r="D10" s="22" t="s">
        <v>60</v>
      </c>
      <c r="E10" s="28" t="s">
        <v>53</v>
      </c>
      <c r="F10" s="24" t="s">
        <v>50</v>
      </c>
      <c r="G10" s="31">
        <f>'REITORIA-PROEX'!H10+ESAG!H10+CCT!H10+CAV!H10+CEO!H10+CESMO!H10+CEAD!H10+CEPLAN!H10+CEART!H10+CEAVI!H10+CERES!H10+CESFI!H10+FAED!H10+CEFID!H10</f>
        <v>277</v>
      </c>
      <c r="H10" s="34">
        <f>'REITORIA-PROEX'!I10+ESAG!I10+CCT!I10+CAV!I10+CEO!I10+CESMO!I10+CEAD!I10+CEPLAN!I10+CEART!I10+CEAVI!I10+CERES!I10+CESFI!I10+FAED!I10+CEFID!I10</f>
        <v>1</v>
      </c>
      <c r="I10" s="34">
        <f>'REITORIA-PROEX'!J10+ESAG!J10+CCT!J10+CAV!J10+CEO!J10+CESMO!J10+CEAD!J10+CEPLAN!J10+CEART!J10+CEAVI!J10+CERES!J10+CESFI!J10+FAED!J10+CEFID!J10</f>
        <v>1</v>
      </c>
      <c r="J10" s="35">
        <f t="shared" si="0"/>
        <v>68.75</v>
      </c>
      <c r="K10" s="37">
        <f>'REITORIA-PROEX'!M10+'REITORIA-PROEX'!N10+ESAG!M10+ESAG!N10+CCT!M10+CCT!N10+CAV!M10+CAV!N10+CEO!M10+CEO!N10+CESMO!M10+CESMO!N10+CEAD!M10+CEAD!N10+CEPLAN!M10+CEPLAN!N10+CEART!M10+CEART!N10+CEAVI!M10+CEAVI!N10+CERES!M10+CERES!N10+CESFI!M10+CESFI!N10+FAED!M10+FAED!N10+CEFID!M10+CEFID!N10</f>
        <v>0</v>
      </c>
      <c r="L10" s="46">
        <f t="shared" si="1"/>
        <v>276</v>
      </c>
      <c r="M10" s="42">
        <v>43.85</v>
      </c>
      <c r="N10" s="42">
        <f t="shared" si="2"/>
        <v>12146.45</v>
      </c>
      <c r="O10" s="42">
        <f t="shared" si="3"/>
        <v>0</v>
      </c>
      <c r="P10" s="43">
        <f t="shared" si="4"/>
        <v>43.85</v>
      </c>
    </row>
    <row r="11" spans="1:16" s="7" customFormat="1" ht="48.75" customHeight="1" x14ac:dyDescent="0.35">
      <c r="A11" s="134"/>
      <c r="B11" s="133"/>
      <c r="C11" s="23">
        <v>8</v>
      </c>
      <c r="D11" s="22" t="s">
        <v>61</v>
      </c>
      <c r="E11" s="28" t="s">
        <v>53</v>
      </c>
      <c r="F11" s="24" t="s">
        <v>50</v>
      </c>
      <c r="G11" s="31">
        <f>'REITORIA-PROEX'!H11+ESAG!H11+CCT!H11+CAV!H11+CEO!H11+CESMO!H11+CEAD!H11+CEPLAN!H11+CEART!H11+CEAVI!H11+CERES!H11+CESFI!H11+FAED!H11+CEFID!H11</f>
        <v>26</v>
      </c>
      <c r="H11" s="34">
        <f>'REITORIA-PROEX'!I11+ESAG!I11+CCT!I11+CAV!I11+CEO!I11+CESMO!I11+CEAD!I11+CEPLAN!I11+CEART!I11+CEAVI!I11+CERES!I11+CESFI!I11+FAED!I11+CEFID!I11</f>
        <v>1</v>
      </c>
      <c r="I11" s="34">
        <f>'REITORIA-PROEX'!J11+ESAG!J11+CCT!J11+CAV!J11+CEO!J11+CESMO!J11+CEAD!J11+CEPLAN!J11+CEART!J11+CEAVI!J11+CERES!J11+CESFI!J11+FAED!J11+CEFID!J11</f>
        <v>1</v>
      </c>
      <c r="J11" s="35">
        <f t="shared" si="0"/>
        <v>6</v>
      </c>
      <c r="K11" s="37">
        <f>'REITORIA-PROEX'!M11+'REITORIA-PROEX'!N11+ESAG!M11+ESAG!N11+CCT!M11+CCT!N11+CAV!M11+CAV!N11+CEO!M11+CEO!N11+CESMO!M11+CESMO!N11+CEAD!M11+CEAD!N11+CEPLAN!M11+CEPLAN!N11+CEART!M11+CEART!N11+CEAVI!M11+CEAVI!N11+CERES!M11+CERES!N11+CESFI!M11+CESFI!N11+FAED!M11+FAED!N11+CEFID!M11+CEFID!N11</f>
        <v>0</v>
      </c>
      <c r="L11" s="46">
        <f t="shared" si="1"/>
        <v>25</v>
      </c>
      <c r="M11" s="42">
        <v>102.32</v>
      </c>
      <c r="N11" s="42">
        <f t="shared" si="2"/>
        <v>2660.3199999999997</v>
      </c>
      <c r="O11" s="42">
        <f t="shared" si="3"/>
        <v>0</v>
      </c>
      <c r="P11" s="43">
        <f t="shared" si="4"/>
        <v>102.32</v>
      </c>
    </row>
    <row r="12" spans="1:16" s="7" customFormat="1" ht="48.75" customHeight="1" x14ac:dyDescent="0.35">
      <c r="A12" s="134"/>
      <c r="B12" s="133"/>
      <c r="C12" s="23">
        <v>9</v>
      </c>
      <c r="D12" s="22" t="s">
        <v>62</v>
      </c>
      <c r="E12" s="28" t="s">
        <v>53</v>
      </c>
      <c r="F12" s="24" t="s">
        <v>50</v>
      </c>
      <c r="G12" s="31">
        <f>'REITORIA-PROEX'!H12+ESAG!H12+CCT!H12+CAV!H12+CEO!H12+CESMO!H12+CEAD!H12+CEPLAN!H12+CEART!H12+CEAVI!H12+CERES!H12+CESFI!H12+FAED!H12+CEFID!H12</f>
        <v>26</v>
      </c>
      <c r="H12" s="34">
        <f>'REITORIA-PROEX'!I12+ESAG!I12+CCT!I12+CAV!I12+CEO!I12+CESMO!I12+CEAD!I12+CEPLAN!I12+CEART!I12+CEAVI!I12+CERES!I12+CESFI!I12+FAED!I12+CEFID!I12</f>
        <v>1</v>
      </c>
      <c r="I12" s="34">
        <f>'REITORIA-PROEX'!J12+ESAG!J12+CCT!J12+CAV!J12+CEO!J12+CESMO!J12+CEAD!J12+CEPLAN!J12+CEART!J12+CEAVI!J12+CERES!J12+CESFI!J12+FAED!J12+CEFID!J12</f>
        <v>1</v>
      </c>
      <c r="J12" s="35">
        <f t="shared" si="0"/>
        <v>6</v>
      </c>
      <c r="K12" s="37">
        <f>'REITORIA-PROEX'!M12+'REITORIA-PROEX'!N12+ESAG!M12+ESAG!N12+CCT!M12+CCT!N12+CAV!M12+CAV!N12+CEO!M12+CEO!N12+CESMO!M12+CESMO!N12+CEAD!M12+CEAD!N12+CEPLAN!M12+CEPLAN!N12+CEART!M12+CEART!N12+CEAVI!M12+CEAVI!N12+CERES!M12+CERES!N12+CESFI!M12+CESFI!N12+FAED!M12+FAED!N12+CEFID!M12+CEFID!N12</f>
        <v>0</v>
      </c>
      <c r="L12" s="46">
        <f t="shared" si="1"/>
        <v>25</v>
      </c>
      <c r="M12" s="42">
        <v>102.32</v>
      </c>
      <c r="N12" s="42">
        <f t="shared" si="2"/>
        <v>2660.3199999999997</v>
      </c>
      <c r="O12" s="42">
        <f t="shared" si="3"/>
        <v>0</v>
      </c>
      <c r="P12" s="43">
        <f t="shared" si="4"/>
        <v>102.32</v>
      </c>
    </row>
    <row r="13" spans="1:16" s="7" customFormat="1" ht="48.75" customHeight="1" x14ac:dyDescent="0.35">
      <c r="A13" s="134"/>
      <c r="B13" s="133"/>
      <c r="C13" s="23">
        <v>10</v>
      </c>
      <c r="D13" s="22" t="s">
        <v>63</v>
      </c>
      <c r="E13" s="28" t="s">
        <v>53</v>
      </c>
      <c r="F13" s="24" t="s">
        <v>50</v>
      </c>
      <c r="G13" s="31">
        <f>'REITORIA-PROEX'!H13+ESAG!H13+CCT!H13+CAV!H13+CEO!H13+CESMO!H13+CEAD!H13+CEPLAN!H13+CEART!H13+CEAVI!H13+CERES!H13+CESFI!H13+FAED!H13+CEFID!H13</f>
        <v>26</v>
      </c>
      <c r="H13" s="34">
        <f>'REITORIA-PROEX'!I13+ESAG!I13+CCT!I13+CAV!I13+CEO!I13+CESMO!I13+CEAD!I13+CEPLAN!I13+CEART!I13+CEAVI!I13+CERES!I13+CESFI!I13+FAED!I13+CEFID!I13</f>
        <v>1</v>
      </c>
      <c r="I13" s="34">
        <f>'REITORIA-PROEX'!J13+ESAG!J13+CCT!J13+CAV!J13+CEO!J13+CESMO!J13+CEAD!J13+CEPLAN!J13+CEART!J13+CEAVI!J13+CERES!J13+CESFI!J13+FAED!J13+CEFID!J13</f>
        <v>1</v>
      </c>
      <c r="J13" s="35">
        <f t="shared" si="0"/>
        <v>6</v>
      </c>
      <c r="K13" s="37">
        <f>'REITORIA-PROEX'!M13+'REITORIA-PROEX'!N13+ESAG!M13+ESAG!N13+CCT!M13+CCT!N13+CAV!M13+CAV!N13+CEO!M13+CEO!N13+CESMO!M13+CESMO!N13+CEAD!M13+CEAD!N13+CEPLAN!M13+CEPLAN!N13+CEART!M13+CEART!N13+CEAVI!M13+CEAVI!N13+CERES!M13+CERES!N13+CESFI!M13+CESFI!N13+FAED!M13+FAED!N13+CEFID!M13+CEFID!N13</f>
        <v>0</v>
      </c>
      <c r="L13" s="46">
        <f t="shared" si="1"/>
        <v>25</v>
      </c>
      <c r="M13" s="42">
        <v>102.32</v>
      </c>
      <c r="N13" s="42">
        <f t="shared" si="2"/>
        <v>2660.3199999999997</v>
      </c>
      <c r="O13" s="42">
        <f t="shared" si="3"/>
        <v>0</v>
      </c>
      <c r="P13" s="43">
        <f t="shared" si="4"/>
        <v>102.32</v>
      </c>
    </row>
    <row r="14" spans="1:16" s="7" customFormat="1" ht="48.75" customHeight="1" x14ac:dyDescent="0.35">
      <c r="A14" s="134"/>
      <c r="B14" s="133"/>
      <c r="C14" s="23">
        <v>11</v>
      </c>
      <c r="D14" s="22" t="s">
        <v>64</v>
      </c>
      <c r="E14" s="28" t="s">
        <v>53</v>
      </c>
      <c r="F14" s="24" t="s">
        <v>50</v>
      </c>
      <c r="G14" s="31">
        <f>'REITORIA-PROEX'!H14+ESAG!H14+CCT!H14+CAV!H14+CEO!H14+CESMO!H14+CEAD!H14+CEPLAN!H14+CEART!H14+CEAVI!H14+CERES!H14+CESFI!H14+FAED!H14+CEFID!H14</f>
        <v>2</v>
      </c>
      <c r="H14" s="34">
        <f>'REITORIA-PROEX'!I14+ESAG!I14+CCT!I14+CAV!I14+CEO!I14+CESMO!I14+CEAD!I14+CEPLAN!I14+CEART!I14+CEAVI!I14+CERES!I14+CESFI!I14+FAED!I14+CEFID!I14</f>
        <v>1</v>
      </c>
      <c r="I14" s="34">
        <f>'REITORIA-PROEX'!J14+ESAG!J14+CCT!J14+CAV!J14+CEO!J14+CESMO!J14+CEAD!J14+CEPLAN!J14+CEART!J14+CEAVI!J14+CERES!J14+CESFI!J14+FAED!J14+CEFID!J14</f>
        <v>1</v>
      </c>
      <c r="J14" s="35">
        <f t="shared" si="0"/>
        <v>0</v>
      </c>
      <c r="K14" s="37">
        <f>'REITORIA-PROEX'!M14+'REITORIA-PROEX'!N14+ESAG!M14+ESAG!N14+CCT!M14+CCT!N14+CAV!M14+CAV!N14+CEO!M14+CEO!N14+CESMO!M14+CESMO!N14+CEAD!M14+CEAD!N14+CEPLAN!M14+CEPLAN!N14+CEART!M14+CEART!N14+CEAVI!M14+CEAVI!N14+CERES!M14+CERES!N14+CESFI!M14+CESFI!N14+FAED!M14+FAED!N14+CEFID!M14+CEFID!N14</f>
        <v>0</v>
      </c>
      <c r="L14" s="46">
        <f t="shared" si="1"/>
        <v>1</v>
      </c>
      <c r="M14" s="42">
        <v>102.32</v>
      </c>
      <c r="N14" s="42">
        <f t="shared" si="2"/>
        <v>204.64</v>
      </c>
      <c r="O14" s="42">
        <f t="shared" si="3"/>
        <v>0</v>
      </c>
      <c r="P14" s="43">
        <f t="shared" si="4"/>
        <v>102.32</v>
      </c>
    </row>
    <row r="15" spans="1:16" s="7" customFormat="1" ht="48.75" customHeight="1" x14ac:dyDescent="0.35">
      <c r="A15" s="134"/>
      <c r="B15" s="133"/>
      <c r="C15" s="23">
        <v>12</v>
      </c>
      <c r="D15" s="22" t="s">
        <v>65</v>
      </c>
      <c r="E15" s="28" t="s">
        <v>53</v>
      </c>
      <c r="F15" s="24" t="s">
        <v>50</v>
      </c>
      <c r="G15" s="31">
        <f>'REITORIA-PROEX'!H15+ESAG!H15+CCT!H15+CAV!H15+CEO!H15+CESMO!H15+CEAD!H15+CEPLAN!H15+CEART!H15+CEAVI!H15+CERES!H15+CESFI!H15+FAED!H15+CEFID!H15</f>
        <v>2</v>
      </c>
      <c r="H15" s="34">
        <f>'REITORIA-PROEX'!I15+ESAG!I15+CCT!I15+CAV!I15+CEO!I15+CESMO!I15+CEAD!I15+CEPLAN!I15+CEART!I15+CEAVI!I15+CERES!I15+CESFI!I15+FAED!I15+CEFID!I15</f>
        <v>0</v>
      </c>
      <c r="I15" s="34">
        <f>'REITORIA-PROEX'!J15+ESAG!J15+CCT!J15+CAV!J15+CEO!J15+CESMO!J15+CEAD!J15+CEPLAN!J15+CEART!J15+CEAVI!J15+CERES!J15+CESFI!J15+FAED!J15+CEFID!J15</f>
        <v>0</v>
      </c>
      <c r="J15" s="35">
        <f t="shared" si="0"/>
        <v>0</v>
      </c>
      <c r="K15" s="37">
        <f>'REITORIA-PROEX'!M15+'REITORIA-PROEX'!N15+ESAG!M15+ESAG!N15+CCT!M15+CCT!N15+CAV!M15+CAV!N15+CEO!M15+CEO!N15+CESMO!M15+CESMO!N15+CEAD!M15+CEAD!N15+CEPLAN!M15+CEPLAN!N15+CEART!M15+CEART!N15+CEAVI!M15+CEAVI!N15+CERES!M15+CERES!N15+CESFI!M15+CESFI!N15+FAED!M15+FAED!N15+CEFID!M15+CEFID!N15</f>
        <v>0</v>
      </c>
      <c r="L15" s="46">
        <f t="shared" si="1"/>
        <v>2</v>
      </c>
      <c r="M15" s="42">
        <v>87.7</v>
      </c>
      <c r="N15" s="42">
        <f t="shared" si="2"/>
        <v>175.4</v>
      </c>
      <c r="O15" s="42">
        <f t="shared" si="3"/>
        <v>0</v>
      </c>
      <c r="P15" s="43">
        <f t="shared" si="4"/>
        <v>0</v>
      </c>
    </row>
    <row r="16" spans="1:16" s="7" customFormat="1" ht="48.75" customHeight="1" x14ac:dyDescent="0.35">
      <c r="A16" s="134"/>
      <c r="B16" s="133"/>
      <c r="C16" s="51">
        <v>13</v>
      </c>
      <c r="D16" s="52" t="s">
        <v>66</v>
      </c>
      <c r="E16" s="53" t="s">
        <v>53</v>
      </c>
      <c r="F16" s="54" t="s">
        <v>50</v>
      </c>
      <c r="G16" s="31">
        <f>'REITORIA-PROEX'!H16+ESAG!H16+CCT!H16+CAV!H16+CEO!H16+CESMO!H16+CEAD!H16+CEPLAN!H16+CEART!H16+CEAVI!H16+CERES!H16+CESFI!H16+FAED!H16+CEFID!H16</f>
        <v>2</v>
      </c>
      <c r="H16" s="34">
        <f>'REITORIA-PROEX'!I16+ESAG!I16+CCT!I16+CAV!I16+CEO!I16+CESMO!I16+CEAD!I16+CEPLAN!I16+CEART!I16+CEAVI!I16+CERES!I16+CESFI!I16+FAED!I16+CEFID!I16</f>
        <v>0</v>
      </c>
      <c r="I16" s="34">
        <f>'REITORIA-PROEX'!J16+ESAG!J16+CCT!J16+CAV!J16+CEO!J16+CESMO!J16+CEAD!J16+CEPLAN!J16+CEART!J16+CEAVI!J16+CERES!J16+CESFI!J16+FAED!J16+CEFID!J16</f>
        <v>0</v>
      </c>
      <c r="J16" s="35">
        <f t="shared" si="0"/>
        <v>0</v>
      </c>
      <c r="K16" s="37">
        <f>'REITORIA-PROEX'!M16+'REITORIA-PROEX'!N16+ESAG!M16+ESAG!N16+CCT!M16+CCT!N16+CAV!M16+CAV!N16+CEO!M16+CEO!N16+CESMO!M16+CESMO!N16+CEAD!M16+CEAD!N16+CEPLAN!M16+CEPLAN!N16+CEART!M16+CEART!N16+CEAVI!M16+CEAVI!N16+CERES!M16+CERES!N16+CESFI!M16+CESFI!N16+FAED!M16+FAED!N16+CEFID!M16+CEFID!N16</f>
        <v>0</v>
      </c>
      <c r="L16" s="46">
        <f t="shared" si="1"/>
        <v>2</v>
      </c>
      <c r="M16" s="42">
        <v>73.08</v>
      </c>
      <c r="N16" s="42">
        <f t="shared" si="2"/>
        <v>146.16</v>
      </c>
      <c r="O16" s="42">
        <f t="shared" si="3"/>
        <v>0</v>
      </c>
      <c r="P16" s="43">
        <f t="shared" si="4"/>
        <v>0</v>
      </c>
    </row>
    <row r="17" spans="1:16" s="7" customFormat="1" ht="48.75" customHeight="1" x14ac:dyDescent="0.35">
      <c r="A17" s="134"/>
      <c r="B17" s="133"/>
      <c r="C17" s="51">
        <v>14</v>
      </c>
      <c r="D17" s="52" t="s">
        <v>67</v>
      </c>
      <c r="E17" s="53" t="s">
        <v>53</v>
      </c>
      <c r="F17" s="54" t="s">
        <v>50</v>
      </c>
      <c r="G17" s="31">
        <f>'REITORIA-PROEX'!H17+ESAG!H17+CCT!H17+CAV!H17+CEO!H17+CESMO!H17+CEAD!H17+CEPLAN!H17+CEART!H17+CEAVI!H17+CERES!H17+CESFI!H17+FAED!H17+CEFID!H17</f>
        <v>18</v>
      </c>
      <c r="H17" s="34">
        <f>'REITORIA-PROEX'!I17+ESAG!I17+CCT!I17+CAV!I17+CEO!I17+CESMO!I17+CEAD!I17+CEPLAN!I17+CEART!I17+CEAVI!I17+CERES!I17+CESFI!I17+FAED!I17+CEFID!I17</f>
        <v>0</v>
      </c>
      <c r="I17" s="34">
        <f>'REITORIA-PROEX'!J17+ESAG!J17+CCT!J17+CAV!J17+CEO!J17+CESMO!J17+CEAD!J17+CEPLAN!J17+CEART!J17+CEAVI!J17+CERES!J17+CESFI!J17+FAED!J17+CEFID!J17</f>
        <v>0</v>
      </c>
      <c r="J17" s="35">
        <f t="shared" si="0"/>
        <v>4</v>
      </c>
      <c r="K17" s="37">
        <f>'REITORIA-PROEX'!M17+'REITORIA-PROEX'!N17+ESAG!M17+ESAG!N17+CCT!M17+CCT!N17+CAV!M17+CAV!N17+CEO!M17+CEO!N17+CESMO!M17+CESMO!N17+CEAD!M17+CEAD!N17+CEPLAN!M17+CEPLAN!N17+CEART!M17+CEART!N17+CEAVI!M17+CEAVI!N17+CERES!M17+CERES!N17+CESFI!M17+CESFI!N17+FAED!M17+FAED!N17+CEFID!M17+CEFID!N17</f>
        <v>0</v>
      </c>
      <c r="L17" s="46">
        <f t="shared" si="1"/>
        <v>18</v>
      </c>
      <c r="M17" s="42">
        <v>43.85</v>
      </c>
      <c r="N17" s="42">
        <f t="shared" si="2"/>
        <v>789.30000000000007</v>
      </c>
      <c r="O17" s="42">
        <f t="shared" si="3"/>
        <v>0</v>
      </c>
      <c r="P17" s="43">
        <f t="shared" si="4"/>
        <v>0</v>
      </c>
    </row>
    <row r="18" spans="1:16" s="7" customFormat="1" ht="48.75" customHeight="1" x14ac:dyDescent="0.35">
      <c r="A18" s="134"/>
      <c r="B18" s="133"/>
      <c r="C18" s="51">
        <v>15</v>
      </c>
      <c r="D18" s="52" t="s">
        <v>68</v>
      </c>
      <c r="E18" s="53" t="s">
        <v>53</v>
      </c>
      <c r="F18" s="54" t="s">
        <v>50</v>
      </c>
      <c r="G18" s="31">
        <f>'REITORIA-PROEX'!H18+ESAG!H18+CCT!H18+CAV!H18+CEO!H18+CESMO!H18+CEAD!H18+CEPLAN!H18+CEART!H18+CEAVI!H18+CERES!H18+CESFI!H18+FAED!H18+CEFID!H18</f>
        <v>200</v>
      </c>
      <c r="H18" s="34">
        <f>'REITORIA-PROEX'!I18+ESAG!I18+CCT!I18+CAV!I18+CEO!I18+CESMO!I18+CEAD!I18+CEPLAN!I18+CEART!I18+CEAVI!I18+CERES!I18+CESFI!I18+FAED!I18+CEFID!I18</f>
        <v>77</v>
      </c>
      <c r="I18" s="34">
        <f>'REITORIA-PROEX'!J18+ESAG!J18+CCT!J18+CAV!J18+CEO!J18+CESMO!J18+CEAD!J18+CEPLAN!J18+CEART!J18+CEAVI!J18+CERES!J18+CESFI!J18+FAED!J18+CEFID!J18</f>
        <v>77</v>
      </c>
      <c r="J18" s="35">
        <f t="shared" si="0"/>
        <v>49.5</v>
      </c>
      <c r="K18" s="37">
        <f>'REITORIA-PROEX'!M18+'REITORIA-PROEX'!N18+ESAG!M18+ESAG!N18+CCT!M18+CCT!N18+CAV!M18+CAV!N18+CEO!M18+CEO!N18+CESMO!M18+CESMO!N18+CEAD!M18+CEAD!N18+CEPLAN!M18+CEPLAN!N18+CEART!M18+CEART!N18+CEAVI!M18+CEAVI!N18+CERES!M18+CERES!N18+CESFI!M18+CESFI!N18+FAED!M18+FAED!N18+CEFID!M18+CEFID!N18</f>
        <v>0</v>
      </c>
      <c r="L18" s="46">
        <f t="shared" si="1"/>
        <v>123</v>
      </c>
      <c r="M18" s="42">
        <v>52.62</v>
      </c>
      <c r="N18" s="42">
        <f t="shared" si="2"/>
        <v>10524</v>
      </c>
      <c r="O18" s="42">
        <f t="shared" si="3"/>
        <v>0</v>
      </c>
      <c r="P18" s="43">
        <f t="shared" si="4"/>
        <v>4051.74</v>
      </c>
    </row>
    <row r="19" spans="1:16" s="7" customFormat="1" ht="48.75" customHeight="1" x14ac:dyDescent="0.35">
      <c r="A19" s="134"/>
      <c r="B19" s="133"/>
      <c r="C19" s="23">
        <v>16</v>
      </c>
      <c r="D19" s="22" t="s">
        <v>69</v>
      </c>
      <c r="E19" s="29" t="s">
        <v>53</v>
      </c>
      <c r="F19" s="24" t="s">
        <v>50</v>
      </c>
      <c r="G19" s="31">
        <f>'REITORIA-PROEX'!H19+ESAG!H19+CCT!H19+CAV!H19+CEO!H19+CESMO!H19+CEAD!H19+CEPLAN!H19+CEART!H19+CEAVI!H19+CERES!H19+CESFI!H19+FAED!H19+CEFID!H19</f>
        <v>5</v>
      </c>
      <c r="H19" s="34">
        <f>'REITORIA-PROEX'!I19+ESAG!I19+CCT!I19+CAV!I19+CEO!I19+CESMO!I19+CEAD!I19+CEPLAN!I19+CEART!I19+CEAVI!I19+CERES!I19+CESFI!I19+FAED!I19+CEFID!I19</f>
        <v>0</v>
      </c>
      <c r="I19" s="34">
        <f>'REITORIA-PROEX'!J19+ESAG!J19+CCT!J19+CAV!J19+CEO!J19+CESMO!J19+CEAD!J19+CEPLAN!J19+CEART!J19+CEAVI!J19+CERES!J19+CESFI!J19+FAED!J19+CEFID!J19</f>
        <v>0</v>
      </c>
      <c r="J19" s="35">
        <f t="shared" si="0"/>
        <v>0.75</v>
      </c>
      <c r="K19" s="37">
        <f>'REITORIA-PROEX'!M19+'REITORIA-PROEX'!N19+ESAG!M19+ESAG!N19+CCT!M19+CCT!N19+CAV!M19+CAV!N19+CEO!M19+CEO!N19+CESMO!M19+CESMO!N19+CEAD!M19+CEAD!N19+CEPLAN!M19+CEPLAN!N19+CEART!M19+CEART!N19+CEAVI!M19+CEAVI!N19+CERES!M19+CERES!N19+CESFI!M19+CESFI!N19+FAED!M19+FAED!N19+CEFID!M19+CEFID!N19</f>
        <v>0</v>
      </c>
      <c r="L19" s="46">
        <f t="shared" si="1"/>
        <v>5</v>
      </c>
      <c r="M19" s="42">
        <v>102.32</v>
      </c>
      <c r="N19" s="42">
        <f t="shared" si="2"/>
        <v>511.59999999999997</v>
      </c>
      <c r="O19" s="42">
        <f t="shared" si="3"/>
        <v>0</v>
      </c>
      <c r="P19" s="43">
        <f t="shared" si="4"/>
        <v>0</v>
      </c>
    </row>
    <row r="20" spans="1:16" s="7" customFormat="1" ht="48.75" customHeight="1" x14ac:dyDescent="0.35">
      <c r="A20" s="131" t="s">
        <v>48</v>
      </c>
      <c r="B20" s="129" t="s">
        <v>49</v>
      </c>
      <c r="C20" s="23">
        <v>17</v>
      </c>
      <c r="D20" s="22" t="s">
        <v>70</v>
      </c>
      <c r="E20" s="29" t="s">
        <v>53</v>
      </c>
      <c r="F20" s="24" t="s">
        <v>51</v>
      </c>
      <c r="G20" s="31">
        <f>'REITORIA-PROEX'!H20+ESAG!H20+CCT!H20+CAV!H20+CEO!H20+CESMO!H20+CEAD!H20+CEPLAN!H20+CEART!H20+CEAVI!H20+CERES!H20+CESFI!H20+FAED!H20+CEFID!H20</f>
        <v>65</v>
      </c>
      <c r="H20" s="34">
        <f>'REITORIA-PROEX'!I20+ESAG!I20+CCT!I20+CAV!I20+CEO!I20+CESMO!I20+CEAD!I20+CEPLAN!I20+CEART!I20+CEAVI!I20+CERES!I20+CESFI!I20+FAED!I20+CEFID!I20</f>
        <v>4</v>
      </c>
      <c r="I20" s="34">
        <f>'REITORIA-PROEX'!J20+ESAG!J20+CCT!J20+CAV!J20+CEO!J20+CESMO!J20+CEAD!J20+CEPLAN!J20+CEART!J20+CEAVI!J20+CERES!J20+CESFI!J20+FAED!J20+CEFID!J20</f>
        <v>4</v>
      </c>
      <c r="J20" s="35">
        <f t="shared" si="0"/>
        <v>15.75</v>
      </c>
      <c r="K20" s="37">
        <f>'REITORIA-PROEX'!M20+'REITORIA-PROEX'!N20+ESAG!M20+ESAG!N20+CCT!M20+CCT!N20+CAV!M20+CAV!N20+CEO!M20+CEO!N20+CESMO!M20+CESMO!N20+CEAD!M20+CEAD!N20+CEPLAN!M20+CEPLAN!N20+CEART!M20+CEART!N20+CEAVI!M20+CEAVI!N20+CERES!M20+CERES!N20+CESFI!M20+CESFI!N20+FAED!M20+FAED!N20+CEFID!M20+CEFID!N20</f>
        <v>0</v>
      </c>
      <c r="L20" s="46">
        <f t="shared" si="1"/>
        <v>61</v>
      </c>
      <c r="M20" s="42">
        <v>288.12</v>
      </c>
      <c r="N20" s="42">
        <f t="shared" si="2"/>
        <v>18727.8</v>
      </c>
      <c r="O20" s="42">
        <f t="shared" si="3"/>
        <v>0</v>
      </c>
      <c r="P20" s="43">
        <f t="shared" si="4"/>
        <v>1152.48</v>
      </c>
    </row>
    <row r="21" spans="1:16" s="7" customFormat="1" ht="48.75" customHeight="1" x14ac:dyDescent="0.35">
      <c r="A21" s="132"/>
      <c r="B21" s="130"/>
      <c r="C21" s="23">
        <v>18</v>
      </c>
      <c r="D21" s="22" t="s">
        <v>71</v>
      </c>
      <c r="E21" s="29" t="s">
        <v>53</v>
      </c>
      <c r="F21" s="24" t="s">
        <v>52</v>
      </c>
      <c r="G21" s="31">
        <f>'REITORIA-PROEX'!H21+ESAG!H21+CCT!H21+CAV!H21+CEO!H21+CESMO!H21+CEAD!H21+CEPLAN!H21+CEART!H21+CEAVI!H21+CERES!H21+CESFI!H21+FAED!H21+CEFID!H21</f>
        <v>603</v>
      </c>
      <c r="H21" s="34">
        <f>'REITORIA-PROEX'!I21+ESAG!I21+CCT!I21+CAV!I21+CEO!I21+CESMO!I21+CEAD!I21+CEPLAN!I21+CEART!I21+CEAVI!I21+CERES!I21+CESFI!I21+FAED!I21+CEFID!I21</f>
        <v>68</v>
      </c>
      <c r="I21" s="34">
        <f>'REITORIA-PROEX'!J21+ESAG!J21+CCT!J21+CAV!J21+CEO!J21+CESMO!J21+CEAD!J21+CEPLAN!J21+CEART!J21+CEAVI!J21+CERES!J21+CESFI!J21+FAED!J21+CEFID!J21</f>
        <v>68</v>
      </c>
      <c r="J21" s="35">
        <f t="shared" si="0"/>
        <v>150.25</v>
      </c>
      <c r="K21" s="37">
        <f>'REITORIA-PROEX'!M21+'REITORIA-PROEX'!N21+ESAG!M21+ESAG!N21+CCT!M21+CCT!N21+CAV!M21+CAV!N21+CEO!M21+CEO!N21+CESMO!M21+CESMO!N21+CEAD!M21+CEAD!N21+CEPLAN!M21+CEPLAN!N21+CEART!M21+CEART!N21+CEAVI!M21+CEAVI!N21+CERES!M21+CERES!N21+CESFI!M21+CESFI!N21+FAED!M21+FAED!N21+CEFID!M21+CEFID!N21</f>
        <v>0</v>
      </c>
      <c r="L21" s="46">
        <f t="shared" si="1"/>
        <v>535</v>
      </c>
      <c r="M21" s="42">
        <v>51.86</v>
      </c>
      <c r="N21" s="42">
        <f t="shared" si="2"/>
        <v>31271.579999999998</v>
      </c>
      <c r="O21" s="42">
        <f t="shared" si="3"/>
        <v>0</v>
      </c>
      <c r="P21" s="43">
        <f t="shared" si="4"/>
        <v>3526.48</v>
      </c>
    </row>
    <row r="22" spans="1:16" x14ac:dyDescent="0.35">
      <c r="G22" s="6">
        <f>SUM(G4:G21)</f>
        <v>7703</v>
      </c>
      <c r="H22" s="33"/>
      <c r="I22" s="33"/>
      <c r="J22" s="33"/>
      <c r="K22" s="33"/>
      <c r="L22" s="6">
        <f>SUM(L4:L21)</f>
        <v>6008</v>
      </c>
      <c r="M22" s="33"/>
      <c r="N22" s="45">
        <f>SUM(N4:N21)</f>
        <v>128845.98000000001</v>
      </c>
      <c r="O22" s="6"/>
      <c r="P22" s="17">
        <f>SUM(P4:P21)</f>
        <v>18962.59</v>
      </c>
    </row>
    <row r="25" spans="1:16" x14ac:dyDescent="0.35">
      <c r="K25" s="124" t="str">
        <f>A1</f>
        <v>ARP PE 626/2025 - (SGPE DE ORIGEM: 6961/2025)</v>
      </c>
      <c r="L25" s="125"/>
      <c r="M25" s="125"/>
      <c r="N25" s="125"/>
      <c r="O25" s="125"/>
      <c r="P25" s="126"/>
    </row>
    <row r="26" spans="1:16" x14ac:dyDescent="0.35">
      <c r="K26" s="124" t="str">
        <f>D1</f>
        <v>OBJETO:  AQUISIÇÃO DE TROFÉUS, MEDALHAS E PLACAS DESTINADAS AOS EVENTOS, HOMENAGENS</v>
      </c>
      <c r="L26" s="125"/>
      <c r="M26" s="125"/>
      <c r="N26" s="125"/>
      <c r="O26" s="125"/>
      <c r="P26" s="126"/>
    </row>
    <row r="27" spans="1:16" x14ac:dyDescent="0.35">
      <c r="K27" s="124" t="str">
        <f>J1</f>
        <v>VIGÊNCIA DA ATA: 16/04/2025 até 16/04/2026</v>
      </c>
      <c r="L27" s="125"/>
      <c r="M27" s="125"/>
      <c r="N27" s="125"/>
      <c r="O27" s="125"/>
      <c r="P27" s="126"/>
    </row>
    <row r="28" spans="1:16" x14ac:dyDescent="0.35">
      <c r="K28" s="117" t="s">
        <v>11</v>
      </c>
      <c r="L28" s="118"/>
      <c r="M28" s="118"/>
      <c r="N28" s="118"/>
      <c r="O28" s="119">
        <f>N22</f>
        <v>128845.98000000001</v>
      </c>
      <c r="P28" s="120"/>
    </row>
    <row r="29" spans="1:16" x14ac:dyDescent="0.35">
      <c r="K29" s="117" t="s">
        <v>6</v>
      </c>
      <c r="L29" s="118"/>
      <c r="M29" s="118"/>
      <c r="N29" s="118"/>
      <c r="O29" s="119">
        <f>P22</f>
        <v>18962.59</v>
      </c>
      <c r="P29" s="120"/>
    </row>
    <row r="30" spans="1:16" x14ac:dyDescent="0.35">
      <c r="K30" s="117" t="s">
        <v>7</v>
      </c>
      <c r="L30" s="118"/>
      <c r="M30" s="118"/>
      <c r="N30" s="118"/>
      <c r="O30" s="121"/>
      <c r="P30" s="120"/>
    </row>
    <row r="31" spans="1:16" x14ac:dyDescent="0.35">
      <c r="K31" s="117" t="s">
        <v>8</v>
      </c>
      <c r="L31" s="118"/>
      <c r="M31" s="118"/>
      <c r="N31" s="118"/>
      <c r="O31" s="122">
        <f>O29/O28</f>
        <v>0.14717253887160467</v>
      </c>
      <c r="P31" s="123"/>
    </row>
    <row r="32" spans="1:16" x14ac:dyDescent="0.35">
      <c r="K32" s="110" t="s">
        <v>130</v>
      </c>
      <c r="L32" s="111"/>
      <c r="M32" s="111"/>
      <c r="N32" s="111"/>
      <c r="O32" s="112"/>
      <c r="P32" s="113"/>
    </row>
  </sheetData>
  <mergeCells count="21">
    <mergeCell ref="A1:C1"/>
    <mergeCell ref="A2:P2"/>
    <mergeCell ref="B20:B21"/>
    <mergeCell ref="A20:A21"/>
    <mergeCell ref="B4:B19"/>
    <mergeCell ref="A4:A19"/>
    <mergeCell ref="K32:N32"/>
    <mergeCell ref="O32:P32"/>
    <mergeCell ref="D1:I1"/>
    <mergeCell ref="J1:P1"/>
    <mergeCell ref="K29:N29"/>
    <mergeCell ref="O29:P29"/>
    <mergeCell ref="K30:N30"/>
    <mergeCell ref="O30:P30"/>
    <mergeCell ref="K31:N31"/>
    <mergeCell ref="O31:P31"/>
    <mergeCell ref="K25:P25"/>
    <mergeCell ref="K26:P26"/>
    <mergeCell ref="K27:P27"/>
    <mergeCell ref="K28:N28"/>
    <mergeCell ref="O28:P28"/>
  </mergeCells>
  <conditionalFormatting sqref="L4:O21">
    <cfRule type="cellIs" dxfId="9" priority="3" operator="lessThan">
      <formula>0</formula>
    </cfRule>
  </conditionalFormatting>
  <conditionalFormatting sqref="P4:P21">
    <cfRule type="containsText" dxfId="8" priority="2" operator="containsText" text="ATENÇÃO">
      <formula>NOT(ISERROR(SEARCH("ATENÇÃO",P4)))</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8533-7ED7-4C5C-83A9-6C6E955F7224}">
  <sheetPr>
    <tabColor rgb="FF00B0F0"/>
  </sheetPr>
  <dimension ref="A1:AQ30"/>
  <sheetViews>
    <sheetView zoomScale="85" zoomScaleNormal="85" workbookViewId="0">
      <pane xSplit="5" topLeftCell="Q1" activePane="topRight" state="frozen"/>
      <selection pane="topRight" activeCell="X6" sqref="X6"/>
    </sheetView>
  </sheetViews>
  <sheetFormatPr defaultColWidth="9.7265625" defaultRowHeight="21" customHeight="1" x14ac:dyDescent="0.35"/>
  <cols>
    <col min="1" max="1" width="5.453125" style="84" customWidth="1"/>
    <col min="2" max="2" width="14.1796875" style="85" customWidth="1"/>
    <col min="3" max="3" width="30.453125" style="85" customWidth="1"/>
    <col min="4" max="4" width="14.453125" style="85" customWidth="1"/>
    <col min="5" max="5" width="12" style="5" customWidth="1"/>
    <col min="6" max="6" width="12.81640625" style="5" customWidth="1"/>
    <col min="7" max="7" width="12.54296875" style="5" customWidth="1"/>
    <col min="8" max="8" width="11.81640625" style="5" customWidth="1"/>
    <col min="9" max="21" width="12.54296875" style="5" customWidth="1"/>
    <col min="22" max="22" width="16" style="2" customWidth="1"/>
    <col min="23" max="23" width="17.453125" style="2" customWidth="1"/>
    <col min="24" max="43" width="17.1796875" style="5" customWidth="1"/>
    <col min="44" max="16384" width="9.7265625" style="2"/>
  </cols>
  <sheetData>
    <row r="1" spans="1:43" ht="42.75" customHeight="1" x14ac:dyDescent="0.35">
      <c r="A1" s="156" t="s">
        <v>105</v>
      </c>
      <c r="B1" s="157"/>
      <c r="C1" s="155" t="s">
        <v>107</v>
      </c>
      <c r="D1" s="156"/>
      <c r="E1" s="156"/>
      <c r="F1" s="156"/>
      <c r="G1" s="156"/>
      <c r="H1" s="157"/>
      <c r="I1" s="135" t="s">
        <v>106</v>
      </c>
      <c r="J1" s="136"/>
      <c r="K1" s="136"/>
      <c r="L1" s="136"/>
      <c r="M1" s="136"/>
      <c r="N1" s="136"/>
      <c r="O1" s="136"/>
      <c r="P1" s="136"/>
      <c r="Q1" s="136"/>
      <c r="R1" s="136"/>
      <c r="S1" s="136"/>
      <c r="T1" s="136"/>
      <c r="U1" s="136"/>
      <c r="V1" s="136"/>
      <c r="W1" s="137"/>
      <c r="X1" s="18" t="s">
        <v>84</v>
      </c>
      <c r="Y1" s="18" t="s">
        <v>84</v>
      </c>
      <c r="Z1" s="18" t="s">
        <v>84</v>
      </c>
      <c r="AA1" s="18" t="s">
        <v>84</v>
      </c>
      <c r="AB1" s="18" t="s">
        <v>84</v>
      </c>
      <c r="AC1" s="18" t="s">
        <v>84</v>
      </c>
      <c r="AD1" s="18" t="s">
        <v>84</v>
      </c>
      <c r="AE1" s="18" t="s">
        <v>84</v>
      </c>
      <c r="AF1" s="18" t="s">
        <v>84</v>
      </c>
      <c r="AG1" s="18" t="s">
        <v>84</v>
      </c>
      <c r="AH1" s="18" t="s">
        <v>84</v>
      </c>
      <c r="AI1" s="18" t="s">
        <v>84</v>
      </c>
      <c r="AJ1" s="18" t="s">
        <v>84</v>
      </c>
      <c r="AK1" s="18" t="s">
        <v>84</v>
      </c>
      <c r="AL1" s="18" t="s">
        <v>84</v>
      </c>
      <c r="AM1" s="18" t="s">
        <v>84</v>
      </c>
      <c r="AN1" s="18" t="s">
        <v>84</v>
      </c>
      <c r="AO1" s="18" t="s">
        <v>84</v>
      </c>
      <c r="AP1" s="18" t="s">
        <v>84</v>
      </c>
      <c r="AQ1" s="18" t="s">
        <v>84</v>
      </c>
    </row>
    <row r="2" spans="1:43" ht="32.25" customHeight="1" x14ac:dyDescent="0.35">
      <c r="A2" s="152" t="s">
        <v>85</v>
      </c>
      <c r="B2" s="153"/>
      <c r="C2" s="153"/>
      <c r="D2" s="153"/>
      <c r="E2" s="154"/>
      <c r="F2" s="138" t="s">
        <v>109</v>
      </c>
      <c r="G2" s="138"/>
      <c r="H2" s="138"/>
      <c r="I2" s="139" t="s">
        <v>86</v>
      </c>
      <c r="J2" s="139"/>
      <c r="K2" s="139"/>
      <c r="L2" s="140" t="s">
        <v>87</v>
      </c>
      <c r="M2" s="140"/>
      <c r="N2" s="140"/>
      <c r="O2" s="141" t="s">
        <v>88</v>
      </c>
      <c r="P2" s="141"/>
      <c r="Q2" s="141"/>
      <c r="R2" s="142" t="s">
        <v>89</v>
      </c>
      <c r="S2" s="142"/>
      <c r="T2" s="142"/>
      <c r="U2" s="142"/>
      <c r="V2" s="143" t="s">
        <v>90</v>
      </c>
      <c r="W2" s="144"/>
      <c r="X2" s="60" t="s">
        <v>109</v>
      </c>
      <c r="Y2" s="61" t="s">
        <v>91</v>
      </c>
      <c r="Z2" s="61" t="s">
        <v>91</v>
      </c>
      <c r="AA2" s="61" t="s">
        <v>91</v>
      </c>
      <c r="AB2" s="61" t="s">
        <v>91</v>
      </c>
      <c r="AC2" s="61" t="s">
        <v>91</v>
      </c>
      <c r="AD2" s="61" t="s">
        <v>91</v>
      </c>
      <c r="AE2" s="61" t="s">
        <v>91</v>
      </c>
      <c r="AF2" s="61" t="s">
        <v>91</v>
      </c>
      <c r="AG2" s="61" t="s">
        <v>91</v>
      </c>
      <c r="AH2" s="61" t="s">
        <v>91</v>
      </c>
      <c r="AI2" s="61" t="s">
        <v>91</v>
      </c>
      <c r="AJ2" s="61" t="s">
        <v>91</v>
      </c>
      <c r="AK2" s="61" t="s">
        <v>91</v>
      </c>
      <c r="AL2" s="61" t="s">
        <v>91</v>
      </c>
      <c r="AM2" s="61" t="s">
        <v>91</v>
      </c>
      <c r="AN2" s="61" t="s">
        <v>91</v>
      </c>
      <c r="AO2" s="61" t="s">
        <v>91</v>
      </c>
      <c r="AP2" s="61" t="s">
        <v>91</v>
      </c>
      <c r="AQ2" s="61" t="s">
        <v>91</v>
      </c>
    </row>
    <row r="3" spans="1:43" s="73" customFormat="1" ht="55.5" customHeight="1" x14ac:dyDescent="0.25">
      <c r="A3" s="62" t="s">
        <v>92</v>
      </c>
      <c r="B3" s="63" t="s">
        <v>93</v>
      </c>
      <c r="C3" s="62" t="s">
        <v>94</v>
      </c>
      <c r="D3" s="62" t="s">
        <v>25</v>
      </c>
      <c r="E3" s="64" t="s">
        <v>95</v>
      </c>
      <c r="F3" s="65" t="s">
        <v>96</v>
      </c>
      <c r="G3" s="66" t="s">
        <v>97</v>
      </c>
      <c r="H3" s="66" t="s">
        <v>98</v>
      </c>
      <c r="I3" s="67" t="s">
        <v>96</v>
      </c>
      <c r="J3" s="67" t="s">
        <v>97</v>
      </c>
      <c r="K3" s="67" t="s">
        <v>98</v>
      </c>
      <c r="L3" s="68" t="s">
        <v>96</v>
      </c>
      <c r="M3" s="68" t="s">
        <v>97</v>
      </c>
      <c r="N3" s="68" t="s">
        <v>98</v>
      </c>
      <c r="O3" s="69" t="s">
        <v>96</v>
      </c>
      <c r="P3" s="69" t="s">
        <v>97</v>
      </c>
      <c r="Q3" s="69" t="s">
        <v>98</v>
      </c>
      <c r="R3" s="70" t="s">
        <v>96</v>
      </c>
      <c r="S3" s="70" t="s">
        <v>99</v>
      </c>
      <c r="T3" s="70" t="s">
        <v>100</v>
      </c>
      <c r="U3" s="70" t="s">
        <v>98</v>
      </c>
      <c r="V3" s="71" t="s">
        <v>38</v>
      </c>
      <c r="W3" s="71" t="s">
        <v>39</v>
      </c>
      <c r="X3" s="92" t="s">
        <v>110</v>
      </c>
      <c r="Y3" s="72" t="s">
        <v>101</v>
      </c>
      <c r="Z3" s="72" t="s">
        <v>101</v>
      </c>
      <c r="AA3" s="72" t="s">
        <v>101</v>
      </c>
      <c r="AB3" s="72" t="s">
        <v>101</v>
      </c>
      <c r="AC3" s="72" t="s">
        <v>101</v>
      </c>
      <c r="AD3" s="72" t="s">
        <v>101</v>
      </c>
      <c r="AE3" s="72" t="s">
        <v>101</v>
      </c>
      <c r="AF3" s="72" t="s">
        <v>101</v>
      </c>
      <c r="AG3" s="72" t="s">
        <v>101</v>
      </c>
      <c r="AH3" s="72" t="s">
        <v>101</v>
      </c>
      <c r="AI3" s="72" t="s">
        <v>101</v>
      </c>
      <c r="AJ3" s="72" t="s">
        <v>101</v>
      </c>
      <c r="AK3" s="72" t="s">
        <v>101</v>
      </c>
      <c r="AL3" s="72" t="s">
        <v>101</v>
      </c>
      <c r="AM3" s="72" t="s">
        <v>101</v>
      </c>
      <c r="AN3" s="72" t="s">
        <v>101</v>
      </c>
      <c r="AO3" s="72" t="s">
        <v>101</v>
      </c>
      <c r="AP3" s="72" t="s">
        <v>101</v>
      </c>
      <c r="AQ3" s="72" t="s">
        <v>101</v>
      </c>
    </row>
    <row r="4" spans="1:43" ht="33" customHeight="1" x14ac:dyDescent="0.35">
      <c r="A4" s="74">
        <v>1</v>
      </c>
      <c r="B4" s="165" t="s">
        <v>47</v>
      </c>
      <c r="C4" s="22" t="s">
        <v>54</v>
      </c>
      <c r="D4" s="74" t="s">
        <v>53</v>
      </c>
      <c r="E4" s="75">
        <f>GESTOR!G4</f>
        <v>351</v>
      </c>
      <c r="F4" s="76">
        <f t="shared" ref="F4:F21" si="0">IF(ROUNDDOWN($E4*0.5,0)&gt;$U4,$U4+G4,ROUNDDOWN($E4*0.5,0))</f>
        <v>175</v>
      </c>
      <c r="G4" s="76">
        <f t="shared" ref="G4:G21" si="1">SUMIF($V$2:$AE$2,$F$2,V4:AE4)</f>
        <v>0</v>
      </c>
      <c r="H4" s="76">
        <f>F4-G4</f>
        <v>175</v>
      </c>
      <c r="I4" s="77">
        <f t="shared" ref="I4:I21" si="2">IF(ROUNDDOWN($E4*0.5,0)&gt;$U4,$U4+J4,ROUNDDOWN($E4*0.5,0))</f>
        <v>175</v>
      </c>
      <c r="J4" s="77">
        <f t="shared" ref="J4:J21" si="3">SUMIF($V$2:$AE$2,$I$2,V4:AE4)</f>
        <v>0</v>
      </c>
      <c r="K4" s="77">
        <f>I4-J4</f>
        <v>175</v>
      </c>
      <c r="L4" s="78">
        <f t="shared" ref="L4:L21" si="4">IF(ROUNDDOWN($E4*0.5,0)&gt;$U4,$U4+M4,ROUNDDOWN($E4*0.5,0))</f>
        <v>175</v>
      </c>
      <c r="M4" s="78">
        <f t="shared" ref="M4:M21" si="5">SUMIF($V$2:$AE$2,$L$2,V4:AE4)</f>
        <v>0</v>
      </c>
      <c r="N4" s="78">
        <f>L4-M4</f>
        <v>175</v>
      </c>
      <c r="O4" s="79">
        <f t="shared" ref="O4:O21" si="6">IF(ROUNDDOWN($E4*0.5,0)&gt;$U4,$U4+P4,ROUNDDOWN($E4*0.5,0))</f>
        <v>175</v>
      </c>
      <c r="P4" s="79">
        <f t="shared" ref="P4:P21" si="7">SUMIF($V$2:$AE$2,$O$2,V4:AE4)</f>
        <v>0</v>
      </c>
      <c r="Q4" s="79">
        <f>O4-P4</f>
        <v>175</v>
      </c>
      <c r="R4" s="80">
        <f>E4*2</f>
        <v>702</v>
      </c>
      <c r="S4" s="80">
        <v>0</v>
      </c>
      <c r="T4" s="80">
        <f>(SUM(X4:AQ4))</f>
        <v>0</v>
      </c>
      <c r="U4" s="80">
        <f>R4-T4-S4</f>
        <v>702</v>
      </c>
      <c r="V4" s="42">
        <v>5.84</v>
      </c>
      <c r="W4" s="81">
        <f t="shared" ref="W4:W19" si="8">V4*E4</f>
        <v>2049.84</v>
      </c>
      <c r="X4" s="19"/>
      <c r="Y4" s="82"/>
      <c r="Z4" s="19"/>
      <c r="AA4" s="82"/>
      <c r="AB4" s="19"/>
      <c r="AC4" s="82"/>
      <c r="AD4" s="19"/>
      <c r="AE4" s="82"/>
      <c r="AF4" s="19"/>
      <c r="AG4" s="82"/>
      <c r="AH4" s="19"/>
      <c r="AI4" s="82"/>
      <c r="AJ4" s="19"/>
      <c r="AK4" s="82"/>
      <c r="AL4" s="19"/>
      <c r="AM4" s="82"/>
      <c r="AN4" s="19"/>
      <c r="AO4" s="82"/>
      <c r="AP4" s="19"/>
      <c r="AQ4" s="82"/>
    </row>
    <row r="5" spans="1:43" ht="33" customHeight="1" x14ac:dyDescent="0.35">
      <c r="A5" s="74">
        <v>2</v>
      </c>
      <c r="B5" s="158"/>
      <c r="C5" s="22" t="s">
        <v>55</v>
      </c>
      <c r="D5" s="74" t="s">
        <v>53</v>
      </c>
      <c r="E5" s="75">
        <f>GESTOR!G5</f>
        <v>1500</v>
      </c>
      <c r="F5" s="76">
        <f t="shared" si="0"/>
        <v>750</v>
      </c>
      <c r="G5" s="76">
        <f t="shared" si="1"/>
        <v>0</v>
      </c>
      <c r="H5" s="76">
        <f t="shared" ref="H5:H19" si="9">F5-G5</f>
        <v>750</v>
      </c>
      <c r="I5" s="77">
        <f t="shared" si="2"/>
        <v>750</v>
      </c>
      <c r="J5" s="77">
        <f t="shared" si="3"/>
        <v>0</v>
      </c>
      <c r="K5" s="77">
        <f t="shared" ref="K5:K19" si="10">I5-J5</f>
        <v>750</v>
      </c>
      <c r="L5" s="78">
        <f t="shared" si="4"/>
        <v>750</v>
      </c>
      <c r="M5" s="78">
        <f t="shared" si="5"/>
        <v>0</v>
      </c>
      <c r="N5" s="78">
        <f t="shared" ref="N5:N19" si="11">L5-M5</f>
        <v>750</v>
      </c>
      <c r="O5" s="79">
        <f t="shared" si="6"/>
        <v>750</v>
      </c>
      <c r="P5" s="79">
        <f t="shared" si="7"/>
        <v>0</v>
      </c>
      <c r="Q5" s="79">
        <f t="shared" ref="Q5:Q19" si="12">O5-P5</f>
        <v>750</v>
      </c>
      <c r="R5" s="80">
        <f t="shared" ref="R5:R19" si="13">E5*2</f>
        <v>3000</v>
      </c>
      <c r="S5" s="80">
        <v>0</v>
      </c>
      <c r="T5" s="80">
        <f t="shared" ref="T5:T19" si="14">(SUM(X5:AQ5))</f>
        <v>0</v>
      </c>
      <c r="U5" s="80">
        <f t="shared" ref="U5:U19" si="15">R5-T5-S5</f>
        <v>3000</v>
      </c>
      <c r="V5" s="42">
        <v>6.13</v>
      </c>
      <c r="W5" s="81">
        <f t="shared" si="8"/>
        <v>9195</v>
      </c>
      <c r="X5" s="19"/>
      <c r="Y5" s="82"/>
      <c r="Z5" s="19"/>
      <c r="AA5" s="82"/>
      <c r="AB5" s="19"/>
      <c r="AC5" s="82"/>
      <c r="AD5" s="19"/>
      <c r="AE5" s="82"/>
      <c r="AF5" s="19"/>
      <c r="AG5" s="82"/>
      <c r="AH5" s="19"/>
      <c r="AI5" s="82"/>
      <c r="AJ5" s="19"/>
      <c r="AK5" s="82"/>
      <c r="AL5" s="19"/>
      <c r="AM5" s="82"/>
      <c r="AN5" s="19"/>
      <c r="AO5" s="82"/>
      <c r="AP5" s="19"/>
      <c r="AQ5" s="82"/>
    </row>
    <row r="6" spans="1:43" ht="33" customHeight="1" x14ac:dyDescent="0.35">
      <c r="A6" s="74">
        <v>3</v>
      </c>
      <c r="B6" s="158"/>
      <c r="C6" s="22" t="s">
        <v>56</v>
      </c>
      <c r="D6" s="74" t="s">
        <v>53</v>
      </c>
      <c r="E6" s="75">
        <f>GESTOR!G6</f>
        <v>2865</v>
      </c>
      <c r="F6" s="76">
        <f t="shared" si="0"/>
        <v>1432</v>
      </c>
      <c r="G6" s="76">
        <f t="shared" si="1"/>
        <v>0</v>
      </c>
      <c r="H6" s="76">
        <f t="shared" si="9"/>
        <v>1432</v>
      </c>
      <c r="I6" s="77">
        <f t="shared" si="2"/>
        <v>1432</v>
      </c>
      <c r="J6" s="77">
        <f t="shared" si="3"/>
        <v>0</v>
      </c>
      <c r="K6" s="77">
        <f t="shared" si="10"/>
        <v>1432</v>
      </c>
      <c r="L6" s="78">
        <f t="shared" si="4"/>
        <v>1432</v>
      </c>
      <c r="M6" s="78">
        <f t="shared" si="5"/>
        <v>0</v>
      </c>
      <c r="N6" s="78">
        <f t="shared" si="11"/>
        <v>1432</v>
      </c>
      <c r="O6" s="79">
        <f t="shared" si="6"/>
        <v>1432</v>
      </c>
      <c r="P6" s="79">
        <f t="shared" si="7"/>
        <v>0</v>
      </c>
      <c r="Q6" s="79">
        <f t="shared" si="12"/>
        <v>1432</v>
      </c>
      <c r="R6" s="80">
        <f t="shared" si="13"/>
        <v>5730</v>
      </c>
      <c r="S6" s="80">
        <v>0</v>
      </c>
      <c r="T6" s="80">
        <f t="shared" si="14"/>
        <v>0</v>
      </c>
      <c r="U6" s="80">
        <f t="shared" si="15"/>
        <v>5730</v>
      </c>
      <c r="V6" s="42">
        <v>6.13</v>
      </c>
      <c r="W6" s="81">
        <f t="shared" si="8"/>
        <v>17562.45</v>
      </c>
      <c r="X6" s="19"/>
      <c r="Y6" s="82"/>
      <c r="Z6" s="19"/>
      <c r="AA6" s="82"/>
      <c r="AB6" s="19"/>
      <c r="AC6" s="82"/>
      <c r="AD6" s="19"/>
      <c r="AE6" s="82"/>
      <c r="AF6" s="19"/>
      <c r="AG6" s="82"/>
      <c r="AH6" s="19"/>
      <c r="AI6" s="82"/>
      <c r="AJ6" s="19"/>
      <c r="AK6" s="82"/>
      <c r="AL6" s="19"/>
      <c r="AM6" s="82"/>
      <c r="AN6" s="19"/>
      <c r="AO6" s="82"/>
      <c r="AP6" s="19"/>
      <c r="AQ6" s="82"/>
    </row>
    <row r="7" spans="1:43" ht="33" customHeight="1" x14ac:dyDescent="0.35">
      <c r="A7" s="74">
        <v>4</v>
      </c>
      <c r="B7" s="158"/>
      <c r="C7" s="22" t="s">
        <v>57</v>
      </c>
      <c r="D7" s="74" t="s">
        <v>53</v>
      </c>
      <c r="E7" s="75">
        <f>GESTOR!G7</f>
        <v>1590</v>
      </c>
      <c r="F7" s="76">
        <f t="shared" si="0"/>
        <v>795</v>
      </c>
      <c r="G7" s="76">
        <f t="shared" si="1"/>
        <v>0</v>
      </c>
      <c r="H7" s="76">
        <f t="shared" si="9"/>
        <v>795</v>
      </c>
      <c r="I7" s="77">
        <f t="shared" si="2"/>
        <v>795</v>
      </c>
      <c r="J7" s="77">
        <f t="shared" si="3"/>
        <v>0</v>
      </c>
      <c r="K7" s="77">
        <f t="shared" si="10"/>
        <v>795</v>
      </c>
      <c r="L7" s="78">
        <f t="shared" si="4"/>
        <v>795</v>
      </c>
      <c r="M7" s="78">
        <f t="shared" si="5"/>
        <v>0</v>
      </c>
      <c r="N7" s="78">
        <f t="shared" si="11"/>
        <v>795</v>
      </c>
      <c r="O7" s="79">
        <f t="shared" si="6"/>
        <v>795</v>
      </c>
      <c r="P7" s="79">
        <f t="shared" si="7"/>
        <v>0</v>
      </c>
      <c r="Q7" s="79">
        <f t="shared" si="12"/>
        <v>795</v>
      </c>
      <c r="R7" s="80">
        <f t="shared" si="13"/>
        <v>3180</v>
      </c>
      <c r="S7" s="80">
        <v>0</v>
      </c>
      <c r="T7" s="80">
        <f t="shared" si="14"/>
        <v>0</v>
      </c>
      <c r="U7" s="80">
        <f t="shared" si="15"/>
        <v>3180</v>
      </c>
      <c r="V7" s="42">
        <v>4.38</v>
      </c>
      <c r="W7" s="81">
        <f t="shared" si="8"/>
        <v>6964.2</v>
      </c>
      <c r="X7" s="19"/>
      <c r="Y7" s="82"/>
      <c r="Z7" s="19"/>
      <c r="AA7" s="82"/>
      <c r="AB7" s="19"/>
      <c r="AC7" s="82"/>
      <c r="AD7" s="19"/>
      <c r="AE7" s="82"/>
      <c r="AF7" s="19"/>
      <c r="AG7" s="82"/>
      <c r="AH7" s="19"/>
      <c r="AI7" s="82"/>
      <c r="AJ7" s="19"/>
      <c r="AK7" s="82"/>
      <c r="AL7" s="19"/>
      <c r="AM7" s="82"/>
      <c r="AN7" s="19"/>
      <c r="AO7" s="82"/>
      <c r="AP7" s="19"/>
      <c r="AQ7" s="82"/>
    </row>
    <row r="8" spans="1:43" ht="33" customHeight="1" x14ac:dyDescent="0.35">
      <c r="A8" s="74">
        <v>5</v>
      </c>
      <c r="B8" s="158"/>
      <c r="C8" s="22" t="s">
        <v>58</v>
      </c>
      <c r="D8" s="74" t="s">
        <v>53</v>
      </c>
      <c r="E8" s="75">
        <f>GESTOR!G8</f>
        <v>65</v>
      </c>
      <c r="F8" s="76">
        <f t="shared" si="0"/>
        <v>32</v>
      </c>
      <c r="G8" s="76">
        <f t="shared" si="1"/>
        <v>0</v>
      </c>
      <c r="H8" s="76">
        <f t="shared" si="9"/>
        <v>32</v>
      </c>
      <c r="I8" s="77">
        <f t="shared" si="2"/>
        <v>32</v>
      </c>
      <c r="J8" s="77">
        <f t="shared" si="3"/>
        <v>0</v>
      </c>
      <c r="K8" s="77">
        <f t="shared" si="10"/>
        <v>32</v>
      </c>
      <c r="L8" s="78">
        <f t="shared" si="4"/>
        <v>32</v>
      </c>
      <c r="M8" s="78">
        <f t="shared" si="5"/>
        <v>0</v>
      </c>
      <c r="N8" s="78">
        <f t="shared" si="11"/>
        <v>32</v>
      </c>
      <c r="O8" s="79">
        <f t="shared" si="6"/>
        <v>32</v>
      </c>
      <c r="P8" s="79">
        <f t="shared" si="7"/>
        <v>0</v>
      </c>
      <c r="Q8" s="79">
        <f t="shared" si="12"/>
        <v>32</v>
      </c>
      <c r="R8" s="80">
        <f t="shared" si="13"/>
        <v>130</v>
      </c>
      <c r="S8" s="80">
        <v>0</v>
      </c>
      <c r="T8" s="80">
        <f t="shared" si="14"/>
        <v>0</v>
      </c>
      <c r="U8" s="80">
        <f t="shared" si="15"/>
        <v>130</v>
      </c>
      <c r="V8" s="42">
        <v>73.08</v>
      </c>
      <c r="W8" s="81">
        <f t="shared" si="8"/>
        <v>4750.2</v>
      </c>
      <c r="X8" s="19"/>
      <c r="Y8" s="82"/>
      <c r="Z8" s="19"/>
      <c r="AA8" s="82"/>
      <c r="AB8" s="19"/>
      <c r="AC8" s="82"/>
      <c r="AD8" s="19"/>
      <c r="AE8" s="82"/>
      <c r="AF8" s="19"/>
      <c r="AG8" s="82"/>
      <c r="AH8" s="19"/>
      <c r="AI8" s="82"/>
      <c r="AJ8" s="19"/>
      <c r="AK8" s="82"/>
      <c r="AL8" s="19"/>
      <c r="AM8" s="82"/>
      <c r="AN8" s="19"/>
      <c r="AO8" s="82"/>
      <c r="AP8" s="19"/>
      <c r="AQ8" s="82"/>
    </row>
    <row r="9" spans="1:43" ht="33" customHeight="1" x14ac:dyDescent="0.35">
      <c r="A9" s="74">
        <v>6</v>
      </c>
      <c r="B9" s="158"/>
      <c r="C9" s="22" t="s">
        <v>59</v>
      </c>
      <c r="D9" s="74" t="s">
        <v>53</v>
      </c>
      <c r="E9" s="75">
        <f>GESTOR!G9</f>
        <v>80</v>
      </c>
      <c r="F9" s="76">
        <f t="shared" si="0"/>
        <v>40</v>
      </c>
      <c r="G9" s="76">
        <f t="shared" si="1"/>
        <v>0</v>
      </c>
      <c r="H9" s="76">
        <f t="shared" si="9"/>
        <v>40</v>
      </c>
      <c r="I9" s="77">
        <f t="shared" si="2"/>
        <v>40</v>
      </c>
      <c r="J9" s="77">
        <f t="shared" si="3"/>
        <v>0</v>
      </c>
      <c r="K9" s="77">
        <f t="shared" si="10"/>
        <v>40</v>
      </c>
      <c r="L9" s="78">
        <f t="shared" si="4"/>
        <v>40</v>
      </c>
      <c r="M9" s="78">
        <f t="shared" si="5"/>
        <v>0</v>
      </c>
      <c r="N9" s="78">
        <f t="shared" si="11"/>
        <v>40</v>
      </c>
      <c r="O9" s="79">
        <f t="shared" si="6"/>
        <v>40</v>
      </c>
      <c r="P9" s="79">
        <f t="shared" si="7"/>
        <v>0</v>
      </c>
      <c r="Q9" s="79">
        <f t="shared" si="12"/>
        <v>40</v>
      </c>
      <c r="R9" s="80">
        <f t="shared" si="13"/>
        <v>160</v>
      </c>
      <c r="S9" s="80">
        <v>0</v>
      </c>
      <c r="T9" s="80">
        <f t="shared" si="14"/>
        <v>0</v>
      </c>
      <c r="U9" s="80">
        <f t="shared" si="15"/>
        <v>160</v>
      </c>
      <c r="V9" s="42">
        <v>73.08</v>
      </c>
      <c r="W9" s="81">
        <f t="shared" si="8"/>
        <v>5846.4</v>
      </c>
      <c r="X9" s="19"/>
      <c r="Y9" s="82"/>
      <c r="Z9" s="19"/>
      <c r="AA9" s="82"/>
      <c r="AB9" s="19"/>
      <c r="AC9" s="82"/>
      <c r="AD9" s="19"/>
      <c r="AE9" s="82"/>
      <c r="AF9" s="19"/>
      <c r="AG9" s="82"/>
      <c r="AH9" s="19"/>
      <c r="AI9" s="82"/>
      <c r="AJ9" s="19"/>
      <c r="AK9" s="82"/>
      <c r="AL9" s="19"/>
      <c r="AM9" s="82"/>
      <c r="AN9" s="19"/>
      <c r="AO9" s="82"/>
      <c r="AP9" s="19"/>
      <c r="AQ9" s="82"/>
    </row>
    <row r="10" spans="1:43" ht="33" customHeight="1" x14ac:dyDescent="0.35">
      <c r="A10" s="74">
        <v>7</v>
      </c>
      <c r="B10" s="158"/>
      <c r="C10" s="22" t="s">
        <v>60</v>
      </c>
      <c r="D10" s="74" t="s">
        <v>53</v>
      </c>
      <c r="E10" s="75">
        <f>GESTOR!G10</f>
        <v>277</v>
      </c>
      <c r="F10" s="76">
        <f t="shared" si="0"/>
        <v>138</v>
      </c>
      <c r="G10" s="76">
        <f t="shared" si="1"/>
        <v>0</v>
      </c>
      <c r="H10" s="76">
        <f t="shared" si="9"/>
        <v>138</v>
      </c>
      <c r="I10" s="77">
        <f t="shared" si="2"/>
        <v>138</v>
      </c>
      <c r="J10" s="77">
        <f t="shared" si="3"/>
        <v>0</v>
      </c>
      <c r="K10" s="77">
        <f t="shared" si="10"/>
        <v>138</v>
      </c>
      <c r="L10" s="78">
        <f t="shared" si="4"/>
        <v>138</v>
      </c>
      <c r="M10" s="78">
        <f t="shared" si="5"/>
        <v>0</v>
      </c>
      <c r="N10" s="78">
        <f t="shared" si="11"/>
        <v>138</v>
      </c>
      <c r="O10" s="79">
        <f t="shared" si="6"/>
        <v>138</v>
      </c>
      <c r="P10" s="79">
        <f t="shared" si="7"/>
        <v>0</v>
      </c>
      <c r="Q10" s="79">
        <f t="shared" si="12"/>
        <v>138</v>
      </c>
      <c r="R10" s="80">
        <f t="shared" si="13"/>
        <v>554</v>
      </c>
      <c r="S10" s="80">
        <v>0</v>
      </c>
      <c r="T10" s="80">
        <f t="shared" si="14"/>
        <v>0</v>
      </c>
      <c r="U10" s="80">
        <f t="shared" si="15"/>
        <v>554</v>
      </c>
      <c r="V10" s="42">
        <v>43.85</v>
      </c>
      <c r="W10" s="81">
        <f t="shared" si="8"/>
        <v>12146.45</v>
      </c>
      <c r="X10" s="19"/>
      <c r="Y10" s="82"/>
      <c r="Z10" s="19"/>
      <c r="AA10" s="82"/>
      <c r="AB10" s="19"/>
      <c r="AC10" s="82"/>
      <c r="AD10" s="19"/>
      <c r="AE10" s="82"/>
      <c r="AF10" s="19"/>
      <c r="AG10" s="82"/>
      <c r="AH10" s="19"/>
      <c r="AI10" s="82"/>
      <c r="AJ10" s="19"/>
      <c r="AK10" s="82"/>
      <c r="AL10" s="19"/>
      <c r="AM10" s="82"/>
      <c r="AN10" s="19"/>
      <c r="AO10" s="82"/>
      <c r="AP10" s="19"/>
      <c r="AQ10" s="82"/>
    </row>
    <row r="11" spans="1:43" ht="33" customHeight="1" x14ac:dyDescent="0.35">
      <c r="A11" s="74">
        <v>8</v>
      </c>
      <c r="B11" s="158"/>
      <c r="C11" s="22" t="s">
        <v>61</v>
      </c>
      <c r="D11" s="74" t="s">
        <v>53</v>
      </c>
      <c r="E11" s="75">
        <f>GESTOR!G11</f>
        <v>26</v>
      </c>
      <c r="F11" s="76">
        <f t="shared" si="0"/>
        <v>13</v>
      </c>
      <c r="G11" s="76">
        <f t="shared" si="1"/>
        <v>0</v>
      </c>
      <c r="H11" s="76">
        <f t="shared" si="9"/>
        <v>13</v>
      </c>
      <c r="I11" s="77">
        <f t="shared" si="2"/>
        <v>13</v>
      </c>
      <c r="J11" s="77">
        <f t="shared" si="3"/>
        <v>0</v>
      </c>
      <c r="K11" s="77">
        <f t="shared" si="10"/>
        <v>13</v>
      </c>
      <c r="L11" s="78">
        <f t="shared" si="4"/>
        <v>13</v>
      </c>
      <c r="M11" s="78">
        <f t="shared" si="5"/>
        <v>0</v>
      </c>
      <c r="N11" s="78">
        <f t="shared" si="11"/>
        <v>13</v>
      </c>
      <c r="O11" s="79">
        <f t="shared" si="6"/>
        <v>13</v>
      </c>
      <c r="P11" s="79">
        <f t="shared" si="7"/>
        <v>0</v>
      </c>
      <c r="Q11" s="79">
        <f t="shared" si="12"/>
        <v>13</v>
      </c>
      <c r="R11" s="80">
        <f t="shared" si="13"/>
        <v>52</v>
      </c>
      <c r="S11" s="80">
        <v>0</v>
      </c>
      <c r="T11" s="80">
        <f t="shared" si="14"/>
        <v>0</v>
      </c>
      <c r="U11" s="80">
        <f t="shared" si="15"/>
        <v>52</v>
      </c>
      <c r="V11" s="42">
        <v>102.32</v>
      </c>
      <c r="W11" s="81">
        <f t="shared" si="8"/>
        <v>2660.3199999999997</v>
      </c>
      <c r="X11" s="19"/>
      <c r="Y11" s="82"/>
      <c r="Z11" s="19"/>
      <c r="AA11" s="82"/>
      <c r="AB11" s="19"/>
      <c r="AC11" s="82"/>
      <c r="AD11" s="19"/>
      <c r="AE11" s="82"/>
      <c r="AF11" s="19"/>
      <c r="AG11" s="82"/>
      <c r="AH11" s="19"/>
      <c r="AI11" s="82"/>
      <c r="AJ11" s="19"/>
      <c r="AK11" s="82"/>
      <c r="AL11" s="19"/>
      <c r="AM11" s="82"/>
      <c r="AN11" s="19"/>
      <c r="AO11" s="82"/>
      <c r="AP11" s="19"/>
      <c r="AQ11" s="82"/>
    </row>
    <row r="12" spans="1:43" ht="33" customHeight="1" x14ac:dyDescent="0.35">
      <c r="A12" s="74">
        <v>9</v>
      </c>
      <c r="B12" s="158"/>
      <c r="C12" s="22" t="s">
        <v>62</v>
      </c>
      <c r="D12" s="74" t="s">
        <v>53</v>
      </c>
      <c r="E12" s="75">
        <f>GESTOR!G12</f>
        <v>26</v>
      </c>
      <c r="F12" s="76">
        <f t="shared" si="0"/>
        <v>13</v>
      </c>
      <c r="G12" s="76">
        <f t="shared" si="1"/>
        <v>0</v>
      </c>
      <c r="H12" s="76">
        <f t="shared" si="9"/>
        <v>13</v>
      </c>
      <c r="I12" s="77">
        <f t="shared" si="2"/>
        <v>13</v>
      </c>
      <c r="J12" s="77">
        <f t="shared" si="3"/>
        <v>0</v>
      </c>
      <c r="K12" s="77">
        <f t="shared" si="10"/>
        <v>13</v>
      </c>
      <c r="L12" s="78">
        <f t="shared" si="4"/>
        <v>13</v>
      </c>
      <c r="M12" s="78">
        <f t="shared" si="5"/>
        <v>0</v>
      </c>
      <c r="N12" s="78">
        <f t="shared" si="11"/>
        <v>13</v>
      </c>
      <c r="O12" s="79">
        <f t="shared" si="6"/>
        <v>13</v>
      </c>
      <c r="P12" s="79">
        <f t="shared" si="7"/>
        <v>0</v>
      </c>
      <c r="Q12" s="79">
        <f t="shared" si="12"/>
        <v>13</v>
      </c>
      <c r="R12" s="80">
        <f t="shared" si="13"/>
        <v>52</v>
      </c>
      <c r="S12" s="80">
        <v>0</v>
      </c>
      <c r="T12" s="80">
        <f t="shared" si="14"/>
        <v>0</v>
      </c>
      <c r="U12" s="80">
        <f t="shared" si="15"/>
        <v>52</v>
      </c>
      <c r="V12" s="42">
        <v>102.32</v>
      </c>
      <c r="W12" s="81">
        <f t="shared" si="8"/>
        <v>2660.3199999999997</v>
      </c>
      <c r="X12" s="19"/>
      <c r="Y12" s="82"/>
      <c r="Z12" s="19"/>
      <c r="AA12" s="82"/>
      <c r="AB12" s="19"/>
      <c r="AC12" s="82"/>
      <c r="AD12" s="19"/>
      <c r="AE12" s="82"/>
      <c r="AF12" s="19"/>
      <c r="AG12" s="82"/>
      <c r="AH12" s="19"/>
      <c r="AI12" s="82"/>
      <c r="AJ12" s="19"/>
      <c r="AK12" s="82"/>
      <c r="AL12" s="19"/>
      <c r="AM12" s="82"/>
      <c r="AN12" s="19"/>
      <c r="AO12" s="82"/>
      <c r="AP12" s="19"/>
      <c r="AQ12" s="82"/>
    </row>
    <row r="13" spans="1:43" ht="33" customHeight="1" x14ac:dyDescent="0.35">
      <c r="A13" s="74">
        <v>10</v>
      </c>
      <c r="B13" s="158"/>
      <c r="C13" s="22" t="s">
        <v>63</v>
      </c>
      <c r="D13" s="74" t="s">
        <v>53</v>
      </c>
      <c r="E13" s="75">
        <f>GESTOR!G13</f>
        <v>26</v>
      </c>
      <c r="F13" s="76">
        <f t="shared" si="0"/>
        <v>13</v>
      </c>
      <c r="G13" s="76">
        <f t="shared" si="1"/>
        <v>0</v>
      </c>
      <c r="H13" s="76">
        <f t="shared" si="9"/>
        <v>13</v>
      </c>
      <c r="I13" s="77">
        <f t="shared" si="2"/>
        <v>13</v>
      </c>
      <c r="J13" s="77">
        <f t="shared" si="3"/>
        <v>0</v>
      </c>
      <c r="K13" s="77">
        <f t="shared" si="10"/>
        <v>13</v>
      </c>
      <c r="L13" s="78">
        <f t="shared" si="4"/>
        <v>13</v>
      </c>
      <c r="M13" s="78">
        <f t="shared" si="5"/>
        <v>0</v>
      </c>
      <c r="N13" s="78">
        <f t="shared" si="11"/>
        <v>13</v>
      </c>
      <c r="O13" s="79">
        <f t="shared" si="6"/>
        <v>13</v>
      </c>
      <c r="P13" s="79">
        <f t="shared" si="7"/>
        <v>0</v>
      </c>
      <c r="Q13" s="79">
        <f t="shared" si="12"/>
        <v>13</v>
      </c>
      <c r="R13" s="80">
        <f t="shared" si="13"/>
        <v>52</v>
      </c>
      <c r="S13" s="80">
        <v>0</v>
      </c>
      <c r="T13" s="80">
        <f t="shared" si="14"/>
        <v>0</v>
      </c>
      <c r="U13" s="80">
        <f t="shared" si="15"/>
        <v>52</v>
      </c>
      <c r="V13" s="42">
        <v>102.32</v>
      </c>
      <c r="W13" s="81">
        <f t="shared" si="8"/>
        <v>2660.3199999999997</v>
      </c>
      <c r="X13" s="19"/>
      <c r="Y13" s="19"/>
      <c r="Z13" s="19"/>
      <c r="AA13" s="19"/>
      <c r="AB13" s="19"/>
      <c r="AC13" s="19"/>
      <c r="AD13" s="19"/>
      <c r="AE13" s="19"/>
      <c r="AF13" s="19"/>
      <c r="AG13" s="19"/>
      <c r="AH13" s="19"/>
      <c r="AI13" s="19"/>
      <c r="AJ13" s="19"/>
      <c r="AK13" s="19"/>
      <c r="AL13" s="19"/>
      <c r="AM13" s="19"/>
      <c r="AN13" s="19"/>
      <c r="AO13" s="19"/>
      <c r="AP13" s="19"/>
      <c r="AQ13" s="19"/>
    </row>
    <row r="14" spans="1:43" ht="33" customHeight="1" x14ac:dyDescent="0.35">
      <c r="A14" s="74">
        <v>11</v>
      </c>
      <c r="B14" s="158"/>
      <c r="C14" s="22" t="s">
        <v>64</v>
      </c>
      <c r="D14" s="74" t="s">
        <v>53</v>
      </c>
      <c r="E14" s="75">
        <f>GESTOR!G14</f>
        <v>2</v>
      </c>
      <c r="F14" s="76">
        <f t="shared" si="0"/>
        <v>1</v>
      </c>
      <c r="G14" s="76">
        <f t="shared" si="1"/>
        <v>0</v>
      </c>
      <c r="H14" s="76">
        <f t="shared" si="9"/>
        <v>1</v>
      </c>
      <c r="I14" s="77">
        <f t="shared" si="2"/>
        <v>1</v>
      </c>
      <c r="J14" s="77">
        <f t="shared" si="3"/>
        <v>0</v>
      </c>
      <c r="K14" s="77">
        <f t="shared" si="10"/>
        <v>1</v>
      </c>
      <c r="L14" s="78">
        <f t="shared" si="4"/>
        <v>1</v>
      </c>
      <c r="M14" s="78">
        <f t="shared" si="5"/>
        <v>0</v>
      </c>
      <c r="N14" s="78">
        <f t="shared" si="11"/>
        <v>1</v>
      </c>
      <c r="O14" s="79">
        <f t="shared" si="6"/>
        <v>1</v>
      </c>
      <c r="P14" s="79">
        <f t="shared" si="7"/>
        <v>0</v>
      </c>
      <c r="Q14" s="79">
        <f t="shared" si="12"/>
        <v>1</v>
      </c>
      <c r="R14" s="80">
        <f t="shared" si="13"/>
        <v>4</v>
      </c>
      <c r="S14" s="80">
        <v>0</v>
      </c>
      <c r="T14" s="80">
        <f t="shared" si="14"/>
        <v>0</v>
      </c>
      <c r="U14" s="80">
        <f t="shared" si="15"/>
        <v>4</v>
      </c>
      <c r="V14" s="42">
        <v>102.32</v>
      </c>
      <c r="W14" s="81">
        <f t="shared" si="8"/>
        <v>204.64</v>
      </c>
      <c r="X14" s="19"/>
      <c r="Y14" s="19"/>
      <c r="Z14" s="19"/>
      <c r="AA14" s="19"/>
      <c r="AB14" s="19"/>
      <c r="AC14" s="19"/>
      <c r="AD14" s="19"/>
      <c r="AE14" s="19"/>
      <c r="AF14" s="19"/>
      <c r="AG14" s="19"/>
      <c r="AH14" s="19"/>
      <c r="AI14" s="19"/>
      <c r="AJ14" s="19"/>
      <c r="AK14" s="19"/>
      <c r="AL14" s="19"/>
      <c r="AM14" s="19"/>
      <c r="AN14" s="19"/>
      <c r="AO14" s="19"/>
      <c r="AP14" s="19"/>
      <c r="AQ14" s="19"/>
    </row>
    <row r="15" spans="1:43" ht="33" customHeight="1" x14ac:dyDescent="0.35">
      <c r="A15" s="74">
        <v>12</v>
      </c>
      <c r="B15" s="158"/>
      <c r="C15" s="22" t="s">
        <v>65</v>
      </c>
      <c r="D15" s="74" t="s">
        <v>53</v>
      </c>
      <c r="E15" s="75">
        <f>GESTOR!G15</f>
        <v>2</v>
      </c>
      <c r="F15" s="76">
        <f t="shared" si="0"/>
        <v>1</v>
      </c>
      <c r="G15" s="76">
        <f t="shared" si="1"/>
        <v>0</v>
      </c>
      <c r="H15" s="76">
        <f t="shared" si="9"/>
        <v>1</v>
      </c>
      <c r="I15" s="77">
        <f t="shared" si="2"/>
        <v>1</v>
      </c>
      <c r="J15" s="77">
        <f t="shared" si="3"/>
        <v>0</v>
      </c>
      <c r="K15" s="77">
        <f t="shared" si="10"/>
        <v>1</v>
      </c>
      <c r="L15" s="78">
        <f t="shared" si="4"/>
        <v>1</v>
      </c>
      <c r="M15" s="78">
        <f t="shared" si="5"/>
        <v>0</v>
      </c>
      <c r="N15" s="78">
        <f t="shared" si="11"/>
        <v>1</v>
      </c>
      <c r="O15" s="79">
        <f t="shared" si="6"/>
        <v>1</v>
      </c>
      <c r="P15" s="79">
        <f t="shared" si="7"/>
        <v>0</v>
      </c>
      <c r="Q15" s="79">
        <f t="shared" si="12"/>
        <v>1</v>
      </c>
      <c r="R15" s="80">
        <f t="shared" si="13"/>
        <v>4</v>
      </c>
      <c r="S15" s="80">
        <v>0</v>
      </c>
      <c r="T15" s="80">
        <f t="shared" si="14"/>
        <v>0</v>
      </c>
      <c r="U15" s="80">
        <f t="shared" si="15"/>
        <v>4</v>
      </c>
      <c r="V15" s="42">
        <v>87.7</v>
      </c>
      <c r="W15" s="81">
        <f t="shared" si="8"/>
        <v>175.4</v>
      </c>
      <c r="X15" s="19"/>
      <c r="Y15" s="19"/>
      <c r="Z15" s="19"/>
      <c r="AA15" s="19"/>
      <c r="AB15" s="19"/>
      <c r="AC15" s="19"/>
      <c r="AD15" s="19"/>
      <c r="AE15" s="19"/>
      <c r="AF15" s="19"/>
      <c r="AG15" s="19"/>
      <c r="AH15" s="19"/>
      <c r="AI15" s="19"/>
      <c r="AJ15" s="19"/>
      <c r="AK15" s="19"/>
      <c r="AL15" s="19"/>
      <c r="AM15" s="19"/>
      <c r="AN15" s="19"/>
      <c r="AO15" s="19"/>
      <c r="AP15" s="19"/>
      <c r="AQ15" s="19"/>
    </row>
    <row r="16" spans="1:43" ht="33" customHeight="1" x14ac:dyDescent="0.35">
      <c r="A16" s="74">
        <v>13</v>
      </c>
      <c r="B16" s="158"/>
      <c r="C16" s="52" t="s">
        <v>66</v>
      </c>
      <c r="D16" s="74" t="s">
        <v>53</v>
      </c>
      <c r="E16" s="75">
        <f>GESTOR!G16</f>
        <v>2</v>
      </c>
      <c r="F16" s="76">
        <f t="shared" si="0"/>
        <v>1</v>
      </c>
      <c r="G16" s="76">
        <f t="shared" si="1"/>
        <v>0</v>
      </c>
      <c r="H16" s="76">
        <f t="shared" si="9"/>
        <v>1</v>
      </c>
      <c r="I16" s="77">
        <f t="shared" si="2"/>
        <v>1</v>
      </c>
      <c r="J16" s="77">
        <f t="shared" si="3"/>
        <v>0</v>
      </c>
      <c r="K16" s="77">
        <f t="shared" si="10"/>
        <v>1</v>
      </c>
      <c r="L16" s="78">
        <f t="shared" si="4"/>
        <v>1</v>
      </c>
      <c r="M16" s="78">
        <f t="shared" si="5"/>
        <v>0</v>
      </c>
      <c r="N16" s="78">
        <f t="shared" si="11"/>
        <v>1</v>
      </c>
      <c r="O16" s="79">
        <f t="shared" si="6"/>
        <v>1</v>
      </c>
      <c r="P16" s="79">
        <f t="shared" si="7"/>
        <v>0</v>
      </c>
      <c r="Q16" s="79">
        <f t="shared" si="12"/>
        <v>1</v>
      </c>
      <c r="R16" s="80">
        <f t="shared" si="13"/>
        <v>4</v>
      </c>
      <c r="S16" s="80">
        <v>0</v>
      </c>
      <c r="T16" s="80">
        <f t="shared" si="14"/>
        <v>0</v>
      </c>
      <c r="U16" s="80">
        <f t="shared" si="15"/>
        <v>4</v>
      </c>
      <c r="V16" s="42">
        <v>73.08</v>
      </c>
      <c r="W16" s="81">
        <f t="shared" si="8"/>
        <v>146.16</v>
      </c>
      <c r="X16" s="19"/>
      <c r="Y16" s="19"/>
      <c r="Z16" s="19"/>
      <c r="AA16" s="19"/>
      <c r="AB16" s="19"/>
      <c r="AC16" s="19"/>
      <c r="AD16" s="19"/>
      <c r="AE16" s="19"/>
      <c r="AF16" s="19"/>
      <c r="AG16" s="19"/>
      <c r="AH16" s="19"/>
      <c r="AI16" s="19"/>
      <c r="AJ16" s="19"/>
      <c r="AK16" s="19"/>
      <c r="AL16" s="19"/>
      <c r="AM16" s="19"/>
      <c r="AN16" s="19"/>
      <c r="AO16" s="19"/>
      <c r="AP16" s="19"/>
      <c r="AQ16" s="19"/>
    </row>
    <row r="17" spans="1:43" ht="33" customHeight="1" x14ac:dyDescent="0.35">
      <c r="A17" s="74">
        <v>14</v>
      </c>
      <c r="B17" s="158"/>
      <c r="C17" s="52" t="s">
        <v>67</v>
      </c>
      <c r="D17" s="74" t="s">
        <v>53</v>
      </c>
      <c r="E17" s="75">
        <f>GESTOR!G17</f>
        <v>18</v>
      </c>
      <c r="F17" s="76">
        <f t="shared" si="0"/>
        <v>9</v>
      </c>
      <c r="G17" s="76">
        <f t="shared" si="1"/>
        <v>0</v>
      </c>
      <c r="H17" s="76">
        <f t="shared" si="9"/>
        <v>9</v>
      </c>
      <c r="I17" s="77">
        <f t="shared" si="2"/>
        <v>9</v>
      </c>
      <c r="J17" s="77">
        <f t="shared" si="3"/>
        <v>0</v>
      </c>
      <c r="K17" s="77">
        <f t="shared" si="10"/>
        <v>9</v>
      </c>
      <c r="L17" s="78">
        <f t="shared" si="4"/>
        <v>9</v>
      </c>
      <c r="M17" s="78">
        <f t="shared" si="5"/>
        <v>0</v>
      </c>
      <c r="N17" s="78">
        <f t="shared" si="11"/>
        <v>9</v>
      </c>
      <c r="O17" s="79">
        <f t="shared" si="6"/>
        <v>9</v>
      </c>
      <c r="P17" s="79">
        <f t="shared" si="7"/>
        <v>0</v>
      </c>
      <c r="Q17" s="79">
        <f t="shared" si="12"/>
        <v>9</v>
      </c>
      <c r="R17" s="80">
        <f t="shared" si="13"/>
        <v>36</v>
      </c>
      <c r="S17" s="80">
        <v>0</v>
      </c>
      <c r="T17" s="80">
        <f t="shared" si="14"/>
        <v>0</v>
      </c>
      <c r="U17" s="80">
        <f t="shared" si="15"/>
        <v>36</v>
      </c>
      <c r="V17" s="42">
        <v>43.85</v>
      </c>
      <c r="W17" s="81">
        <f t="shared" si="8"/>
        <v>789.30000000000007</v>
      </c>
      <c r="X17" s="19"/>
      <c r="Y17" s="19"/>
      <c r="Z17" s="19"/>
      <c r="AA17" s="19"/>
      <c r="AB17" s="19"/>
      <c r="AC17" s="19"/>
      <c r="AD17" s="19"/>
      <c r="AE17" s="19"/>
      <c r="AF17" s="19"/>
      <c r="AG17" s="19"/>
      <c r="AH17" s="19"/>
      <c r="AI17" s="19"/>
      <c r="AJ17" s="19"/>
      <c r="AK17" s="19"/>
      <c r="AL17" s="19"/>
      <c r="AM17" s="19"/>
      <c r="AN17" s="19"/>
      <c r="AO17" s="19"/>
      <c r="AP17" s="19"/>
      <c r="AQ17" s="19"/>
    </row>
    <row r="18" spans="1:43" ht="33" customHeight="1" x14ac:dyDescent="0.35">
      <c r="A18" s="74">
        <v>15</v>
      </c>
      <c r="B18" s="158"/>
      <c r="C18" s="52" t="s">
        <v>68</v>
      </c>
      <c r="D18" s="74" t="s">
        <v>53</v>
      </c>
      <c r="E18" s="75">
        <f>GESTOR!G18</f>
        <v>200</v>
      </c>
      <c r="F18" s="76">
        <f t="shared" si="0"/>
        <v>100</v>
      </c>
      <c r="G18" s="76">
        <f t="shared" si="1"/>
        <v>0</v>
      </c>
      <c r="H18" s="76">
        <f t="shared" si="9"/>
        <v>100</v>
      </c>
      <c r="I18" s="77">
        <f t="shared" si="2"/>
        <v>100</v>
      </c>
      <c r="J18" s="77">
        <f t="shared" si="3"/>
        <v>0</v>
      </c>
      <c r="K18" s="77">
        <f t="shared" si="10"/>
        <v>100</v>
      </c>
      <c r="L18" s="78">
        <f t="shared" si="4"/>
        <v>100</v>
      </c>
      <c r="M18" s="78">
        <f t="shared" si="5"/>
        <v>0</v>
      </c>
      <c r="N18" s="78">
        <f t="shared" si="11"/>
        <v>100</v>
      </c>
      <c r="O18" s="79">
        <f t="shared" si="6"/>
        <v>100</v>
      </c>
      <c r="P18" s="79">
        <f t="shared" si="7"/>
        <v>0</v>
      </c>
      <c r="Q18" s="79">
        <f t="shared" si="12"/>
        <v>100</v>
      </c>
      <c r="R18" s="80">
        <f t="shared" si="13"/>
        <v>400</v>
      </c>
      <c r="S18" s="80">
        <v>0</v>
      </c>
      <c r="T18" s="80">
        <f t="shared" si="14"/>
        <v>0</v>
      </c>
      <c r="U18" s="80">
        <f t="shared" si="15"/>
        <v>400</v>
      </c>
      <c r="V18" s="42">
        <v>52.62</v>
      </c>
      <c r="W18" s="81">
        <f t="shared" si="8"/>
        <v>10524</v>
      </c>
      <c r="X18" s="19"/>
      <c r="Y18" s="19"/>
      <c r="Z18" s="19"/>
      <c r="AA18" s="19"/>
      <c r="AB18" s="19"/>
      <c r="AC18" s="19"/>
      <c r="AD18" s="19"/>
      <c r="AE18" s="19"/>
      <c r="AF18" s="19"/>
      <c r="AG18" s="19"/>
      <c r="AH18" s="19"/>
      <c r="AI18" s="19"/>
      <c r="AJ18" s="19"/>
      <c r="AK18" s="19"/>
      <c r="AL18" s="19"/>
      <c r="AM18" s="19"/>
      <c r="AN18" s="19"/>
      <c r="AO18" s="19"/>
      <c r="AP18" s="19"/>
      <c r="AQ18" s="19"/>
    </row>
    <row r="19" spans="1:43" ht="33" customHeight="1" x14ac:dyDescent="0.35">
      <c r="A19" s="74">
        <v>16</v>
      </c>
      <c r="B19" s="159"/>
      <c r="C19" s="22" t="s">
        <v>69</v>
      </c>
      <c r="D19" s="74" t="s">
        <v>53</v>
      </c>
      <c r="E19" s="75">
        <f>GESTOR!G19</f>
        <v>5</v>
      </c>
      <c r="F19" s="76">
        <f t="shared" si="0"/>
        <v>2</v>
      </c>
      <c r="G19" s="76">
        <f t="shared" si="1"/>
        <v>0</v>
      </c>
      <c r="H19" s="76">
        <f t="shared" si="9"/>
        <v>2</v>
      </c>
      <c r="I19" s="77">
        <f t="shared" si="2"/>
        <v>2</v>
      </c>
      <c r="J19" s="77">
        <f t="shared" si="3"/>
        <v>0</v>
      </c>
      <c r="K19" s="77">
        <f t="shared" si="10"/>
        <v>2</v>
      </c>
      <c r="L19" s="78">
        <f t="shared" si="4"/>
        <v>2</v>
      </c>
      <c r="M19" s="78">
        <f t="shared" si="5"/>
        <v>0</v>
      </c>
      <c r="N19" s="78">
        <f t="shared" si="11"/>
        <v>2</v>
      </c>
      <c r="O19" s="79">
        <f t="shared" si="6"/>
        <v>2</v>
      </c>
      <c r="P19" s="79">
        <f t="shared" si="7"/>
        <v>0</v>
      </c>
      <c r="Q19" s="79">
        <f t="shared" si="12"/>
        <v>2</v>
      </c>
      <c r="R19" s="80">
        <f t="shared" si="13"/>
        <v>10</v>
      </c>
      <c r="S19" s="80">
        <v>0</v>
      </c>
      <c r="T19" s="80">
        <f t="shared" si="14"/>
        <v>0</v>
      </c>
      <c r="U19" s="80">
        <f t="shared" si="15"/>
        <v>10</v>
      </c>
      <c r="V19" s="42">
        <v>102.32</v>
      </c>
      <c r="W19" s="81">
        <f t="shared" si="8"/>
        <v>511.59999999999997</v>
      </c>
      <c r="X19" s="19"/>
      <c r="Y19" s="19"/>
      <c r="Z19" s="19"/>
      <c r="AA19" s="19"/>
      <c r="AB19" s="19"/>
      <c r="AC19" s="19"/>
      <c r="AD19" s="19"/>
      <c r="AE19" s="19"/>
      <c r="AF19" s="19"/>
      <c r="AG19" s="19"/>
      <c r="AH19" s="19"/>
      <c r="AI19" s="19"/>
      <c r="AJ19" s="19"/>
      <c r="AK19" s="19"/>
      <c r="AL19" s="19"/>
      <c r="AM19" s="19"/>
      <c r="AN19" s="19"/>
      <c r="AO19" s="19"/>
      <c r="AP19" s="19"/>
      <c r="AQ19" s="19"/>
    </row>
    <row r="20" spans="1:43" ht="33" customHeight="1" x14ac:dyDescent="0.35">
      <c r="A20" s="74">
        <v>17</v>
      </c>
      <c r="B20" s="158" t="s">
        <v>49</v>
      </c>
      <c r="C20" s="22" t="s">
        <v>70</v>
      </c>
      <c r="D20" s="74" t="s">
        <v>53</v>
      </c>
      <c r="E20" s="75">
        <f>GESTOR!G20</f>
        <v>65</v>
      </c>
      <c r="F20" s="76">
        <f t="shared" si="0"/>
        <v>32</v>
      </c>
      <c r="G20" s="76">
        <f t="shared" si="1"/>
        <v>0</v>
      </c>
      <c r="H20" s="76">
        <f t="shared" ref="H20:H21" si="16">F20-G20</f>
        <v>32</v>
      </c>
      <c r="I20" s="77">
        <f t="shared" si="2"/>
        <v>32</v>
      </c>
      <c r="J20" s="77">
        <f t="shared" si="3"/>
        <v>0</v>
      </c>
      <c r="K20" s="77">
        <f t="shared" ref="K20:K21" si="17">I20-J20</f>
        <v>32</v>
      </c>
      <c r="L20" s="78">
        <f t="shared" si="4"/>
        <v>32</v>
      </c>
      <c r="M20" s="78">
        <f t="shared" si="5"/>
        <v>0</v>
      </c>
      <c r="N20" s="78">
        <f t="shared" ref="N20:N21" si="18">L20-M20</f>
        <v>32</v>
      </c>
      <c r="O20" s="79">
        <f t="shared" si="6"/>
        <v>32</v>
      </c>
      <c r="P20" s="79">
        <f t="shared" si="7"/>
        <v>0</v>
      </c>
      <c r="Q20" s="79">
        <f t="shared" ref="Q20:Q21" si="19">O20-P20</f>
        <v>32</v>
      </c>
      <c r="R20" s="80">
        <f t="shared" ref="R20:R21" si="20">E20*2</f>
        <v>130</v>
      </c>
      <c r="S20" s="80">
        <v>0</v>
      </c>
      <c r="T20" s="80">
        <f t="shared" ref="T20:T21" si="21">(SUM(X20:AQ20))</f>
        <v>0</v>
      </c>
      <c r="U20" s="80">
        <f t="shared" ref="U20:U21" si="22">R20-T20-S20</f>
        <v>130</v>
      </c>
      <c r="V20" s="42">
        <v>288.12</v>
      </c>
      <c r="W20" s="81">
        <f t="shared" ref="W20:W21" si="23">V20*E20</f>
        <v>18727.8</v>
      </c>
      <c r="X20" s="19"/>
      <c r="Y20" s="19"/>
      <c r="Z20" s="19"/>
      <c r="AA20" s="19"/>
      <c r="AB20" s="19"/>
      <c r="AC20" s="19"/>
      <c r="AD20" s="19"/>
      <c r="AE20" s="19"/>
      <c r="AF20" s="19"/>
      <c r="AG20" s="19"/>
      <c r="AH20" s="19"/>
      <c r="AI20" s="19"/>
      <c r="AJ20" s="19"/>
      <c r="AK20" s="19"/>
      <c r="AL20" s="19"/>
      <c r="AM20" s="19"/>
      <c r="AN20" s="19"/>
      <c r="AO20" s="19"/>
      <c r="AP20" s="19"/>
      <c r="AQ20" s="19"/>
    </row>
    <row r="21" spans="1:43" ht="33" customHeight="1" x14ac:dyDescent="0.35">
      <c r="A21" s="83">
        <v>18</v>
      </c>
      <c r="B21" s="159"/>
      <c r="C21" s="22" t="s">
        <v>71</v>
      </c>
      <c r="D21" s="74" t="s">
        <v>53</v>
      </c>
      <c r="E21" s="75">
        <f>GESTOR!G21</f>
        <v>603</v>
      </c>
      <c r="F21" s="76">
        <f t="shared" si="0"/>
        <v>301</v>
      </c>
      <c r="G21" s="76">
        <f t="shared" si="1"/>
        <v>0</v>
      </c>
      <c r="H21" s="76">
        <f t="shared" si="16"/>
        <v>301</v>
      </c>
      <c r="I21" s="77">
        <f t="shared" si="2"/>
        <v>301</v>
      </c>
      <c r="J21" s="77">
        <f t="shared" si="3"/>
        <v>0</v>
      </c>
      <c r="K21" s="77">
        <f t="shared" si="17"/>
        <v>301</v>
      </c>
      <c r="L21" s="78">
        <f t="shared" si="4"/>
        <v>301</v>
      </c>
      <c r="M21" s="78">
        <f t="shared" si="5"/>
        <v>0</v>
      </c>
      <c r="N21" s="78">
        <f t="shared" si="18"/>
        <v>301</v>
      </c>
      <c r="O21" s="79">
        <f t="shared" si="6"/>
        <v>301</v>
      </c>
      <c r="P21" s="79">
        <f t="shared" si="7"/>
        <v>0</v>
      </c>
      <c r="Q21" s="79">
        <f t="shared" si="19"/>
        <v>301</v>
      </c>
      <c r="R21" s="80">
        <f t="shared" si="20"/>
        <v>1206</v>
      </c>
      <c r="S21" s="80">
        <v>0</v>
      </c>
      <c r="T21" s="80">
        <f t="shared" si="21"/>
        <v>0</v>
      </c>
      <c r="U21" s="80">
        <f t="shared" si="22"/>
        <v>1206</v>
      </c>
      <c r="V21" s="42">
        <v>51.86</v>
      </c>
      <c r="W21" s="81">
        <f t="shared" si="23"/>
        <v>31271.579999999998</v>
      </c>
      <c r="X21" s="19">
        <f>19-19</f>
        <v>0</v>
      </c>
      <c r="Y21" s="19"/>
      <c r="Z21" s="19"/>
      <c r="AA21" s="19"/>
      <c r="AB21" s="19"/>
      <c r="AC21" s="19"/>
      <c r="AD21" s="19"/>
      <c r="AE21" s="19"/>
      <c r="AF21" s="19"/>
      <c r="AG21" s="19"/>
      <c r="AH21" s="19"/>
      <c r="AI21" s="19"/>
      <c r="AJ21" s="19"/>
      <c r="AK21" s="19"/>
      <c r="AL21" s="19"/>
      <c r="AM21" s="19"/>
      <c r="AN21" s="19"/>
      <c r="AO21" s="19"/>
      <c r="AP21" s="19"/>
      <c r="AQ21" s="19"/>
    </row>
    <row r="22" spans="1:43" ht="21" customHeight="1" x14ac:dyDescent="0.35">
      <c r="V22" s="86"/>
      <c r="W22" s="91">
        <f>SUM(W4:W21)</f>
        <v>128845.98000000001</v>
      </c>
      <c r="X22" s="14">
        <f t="shared" ref="X22:AQ22" si="24">SUMPRODUCT($V$4:$V$21,X4:X21)</f>
        <v>0</v>
      </c>
      <c r="Y22" s="87">
        <f t="shared" si="24"/>
        <v>0</v>
      </c>
      <c r="Z22" s="14">
        <f t="shared" si="24"/>
        <v>0</v>
      </c>
      <c r="AA22" s="14">
        <f t="shared" si="24"/>
        <v>0</v>
      </c>
      <c r="AB22" s="14">
        <f t="shared" si="24"/>
        <v>0</v>
      </c>
      <c r="AC22" s="14">
        <f t="shared" si="24"/>
        <v>0</v>
      </c>
      <c r="AD22" s="14">
        <f t="shared" si="24"/>
        <v>0</v>
      </c>
      <c r="AE22" s="14">
        <f t="shared" si="24"/>
        <v>0</v>
      </c>
      <c r="AF22" s="14">
        <f t="shared" si="24"/>
        <v>0</v>
      </c>
      <c r="AG22" s="14">
        <f t="shared" si="24"/>
        <v>0</v>
      </c>
      <c r="AH22" s="14">
        <f t="shared" si="24"/>
        <v>0</v>
      </c>
      <c r="AI22" s="14">
        <f t="shared" si="24"/>
        <v>0</v>
      </c>
      <c r="AJ22" s="14">
        <f t="shared" si="24"/>
        <v>0</v>
      </c>
      <c r="AK22" s="14">
        <f t="shared" si="24"/>
        <v>0</v>
      </c>
      <c r="AL22" s="14">
        <f t="shared" si="24"/>
        <v>0</v>
      </c>
      <c r="AM22" s="14">
        <f t="shared" si="24"/>
        <v>0</v>
      </c>
      <c r="AN22" s="14">
        <f t="shared" si="24"/>
        <v>0</v>
      </c>
      <c r="AO22" s="14">
        <f t="shared" si="24"/>
        <v>0</v>
      </c>
      <c r="AP22" s="14">
        <f t="shared" si="24"/>
        <v>0</v>
      </c>
      <c r="AQ22" s="14">
        <f t="shared" si="24"/>
        <v>0</v>
      </c>
    </row>
    <row r="23" spans="1:43" ht="21" customHeight="1" x14ac:dyDescent="0.35">
      <c r="V23" s="86"/>
      <c r="W23" s="91"/>
      <c r="X23" s="14"/>
      <c r="Y23" s="87"/>
      <c r="Z23" s="14"/>
      <c r="AA23" s="14"/>
      <c r="AB23" s="14"/>
      <c r="AC23" s="14"/>
      <c r="AD23" s="14"/>
      <c r="AE23" s="14"/>
      <c r="AF23" s="14"/>
      <c r="AG23" s="14"/>
      <c r="AH23" s="14"/>
      <c r="AI23" s="14"/>
      <c r="AJ23" s="14"/>
      <c r="AK23" s="14"/>
      <c r="AL23" s="14"/>
      <c r="AM23" s="14"/>
      <c r="AN23" s="14"/>
      <c r="AO23" s="14"/>
      <c r="AP23" s="14"/>
      <c r="AQ23" s="14"/>
    </row>
    <row r="24" spans="1:43" ht="21" customHeight="1" x14ac:dyDescent="0.35">
      <c r="C24" s="160" t="str">
        <f>A1</f>
        <v>ARP PE 626/2025 - (SGPE DE ORIGEM: 6961/2025)</v>
      </c>
      <c r="D24" s="161"/>
      <c r="E24" s="162"/>
    </row>
    <row r="25" spans="1:43" ht="27" customHeight="1" x14ac:dyDescent="0.35">
      <c r="C25" s="160" t="str">
        <f>C1</f>
        <v>OBJETO:  AQUISIÇÃO DE TROFÉUS, MEDALHAS E PLACAS DESTINADAS AOS EVENTOS, HOMENAGENS</v>
      </c>
      <c r="D25" s="161"/>
      <c r="E25" s="162"/>
    </row>
    <row r="26" spans="1:43" ht="21" customHeight="1" x14ac:dyDescent="0.35">
      <c r="C26" s="160" t="str">
        <f>I1</f>
        <v>VIGÊNCIA DA ATA: 16/04/2025 até 16/04/2026</v>
      </c>
      <c r="D26" s="161"/>
      <c r="E26" s="162"/>
    </row>
    <row r="27" spans="1:43" ht="21" customHeight="1" x14ac:dyDescent="0.35">
      <c r="C27" s="88" t="s">
        <v>102</v>
      </c>
      <c r="D27" s="163">
        <f>W22</f>
        <v>128845.98000000001</v>
      </c>
      <c r="E27" s="164"/>
    </row>
    <row r="28" spans="1:43" ht="21" customHeight="1" x14ac:dyDescent="0.35">
      <c r="C28" s="89" t="s">
        <v>103</v>
      </c>
      <c r="D28" s="145">
        <f>SUM(X22:AQ22)</f>
        <v>0</v>
      </c>
      <c r="E28" s="146"/>
    </row>
    <row r="29" spans="1:43" ht="21" customHeight="1" x14ac:dyDescent="0.35">
      <c r="C29" s="90" t="s">
        <v>104</v>
      </c>
      <c r="D29" s="150">
        <f>D28/D27</f>
        <v>0</v>
      </c>
      <c r="E29" s="151"/>
    </row>
    <row r="30" spans="1:43" ht="21" customHeight="1" x14ac:dyDescent="0.35">
      <c r="C30" s="147" t="s">
        <v>108</v>
      </c>
      <c r="D30" s="148"/>
      <c r="E30" s="149"/>
    </row>
  </sheetData>
  <autoFilter ref="A3:AQ22" xr:uid="{2EF78533-7ED7-4C5C-83A9-6C6E955F7224}"/>
  <mergeCells count="19">
    <mergeCell ref="D28:E28"/>
    <mergeCell ref="C30:E30"/>
    <mergeCell ref="D29:E29"/>
    <mergeCell ref="A2:E2"/>
    <mergeCell ref="C1:H1"/>
    <mergeCell ref="A1:B1"/>
    <mergeCell ref="B20:B21"/>
    <mergeCell ref="C24:E24"/>
    <mergeCell ref="C25:E25"/>
    <mergeCell ref="C26:E26"/>
    <mergeCell ref="D27:E27"/>
    <mergeCell ref="B4:B19"/>
    <mergeCell ref="I1:W1"/>
    <mergeCell ref="F2:H2"/>
    <mergeCell ref="I2:K2"/>
    <mergeCell ref="L2:N2"/>
    <mergeCell ref="O2:Q2"/>
    <mergeCell ref="R2:U2"/>
    <mergeCell ref="V2:W2"/>
  </mergeCells>
  <conditionalFormatting sqref="H4:H21">
    <cfRule type="cellIs" dxfId="7" priority="2" operator="lessThan">
      <formula>0</formula>
    </cfRule>
    <cfRule type="cellIs" dxfId="6" priority="3" operator="lessThan">
      <formula>0</formula>
    </cfRule>
  </conditionalFormatting>
  <conditionalFormatting sqref="X4:AQ21">
    <cfRule type="cellIs" dxfId="5" priority="4" operator="greaterThan">
      <formula>10</formula>
    </cfRule>
    <cfRule type="cellIs" dxfId="4" priority="5" operator="greaterThan">
      <formula>0</formula>
    </cfRule>
    <cfRule type="cellIs" dxfId="3" priority="6" stopIfTrue="1" operator="greaterThan">
      <formula>0</formula>
    </cfRule>
    <cfRule type="cellIs" dxfId="2" priority="7" stopIfTrue="1" operator="greaterThan">
      <formula>0</formula>
    </cfRule>
    <cfRule type="cellIs" dxfId="1" priority="8" stopIfTrue="1" operator="greaterThan">
      <formula>0</formula>
    </cfRule>
  </conditionalFormatting>
  <conditionalFormatting sqref="V4:V21">
    <cfRule type="cellIs" dxfId="0" priority="1" operator="less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0ACC-65DE-4A0A-B276-CC2FEBC79731}">
  <dimension ref="A1:AN24"/>
  <sheetViews>
    <sheetView zoomScale="70" zoomScaleNormal="70" workbookViewId="0">
      <selection activeCell="U5" sqref="U5:U6"/>
    </sheetView>
  </sheetViews>
  <sheetFormatPr defaultColWidth="9.7265625" defaultRowHeight="14.5" x14ac:dyDescent="0.35"/>
  <cols>
    <col min="1" max="1" width="6.1796875" style="1" customWidth="1"/>
    <col min="2" max="2" width="13.7265625" style="1" customWidth="1"/>
    <col min="3" max="3" width="10.26953125" style="1" customWidth="1"/>
    <col min="4" max="4" width="27.6328125" style="12" customWidth="1"/>
    <col min="5" max="5" width="11.1796875" style="1" customWidth="1"/>
    <col min="6" max="6" width="16" style="1" customWidth="1"/>
    <col min="7" max="7" width="12.7265625" style="1" customWidth="1"/>
    <col min="8" max="15" width="7.54296875" style="6" customWidth="1"/>
    <col min="16" max="16" width="7.54296875" style="13" customWidth="1"/>
    <col min="17" max="17" width="7.5429687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77</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60</v>
      </c>
      <c r="I6" s="34">
        <f t="shared" si="0"/>
        <v>0</v>
      </c>
      <c r="J6" s="34">
        <f t="shared" si="1"/>
        <v>0</v>
      </c>
      <c r="K6" s="36"/>
      <c r="L6" s="37">
        <f t="shared" si="2"/>
        <v>15</v>
      </c>
      <c r="M6" s="36"/>
      <c r="N6" s="36"/>
      <c r="O6" s="36"/>
      <c r="P6" s="50">
        <f t="shared" si="3"/>
        <v>60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290</v>
      </c>
      <c r="I7" s="34">
        <f t="shared" si="0"/>
        <v>0</v>
      </c>
      <c r="J7" s="34">
        <f t="shared" si="1"/>
        <v>0</v>
      </c>
      <c r="K7" s="36"/>
      <c r="L7" s="37">
        <f t="shared" si="2"/>
        <v>72</v>
      </c>
      <c r="M7" s="36"/>
      <c r="N7" s="36"/>
      <c r="O7" s="36"/>
      <c r="P7" s="50">
        <f t="shared" si="3"/>
        <v>290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0</v>
      </c>
      <c r="I9" s="34">
        <f t="shared" si="0"/>
        <v>0</v>
      </c>
      <c r="J9" s="34">
        <f t="shared" si="1"/>
        <v>0</v>
      </c>
      <c r="K9" s="36"/>
      <c r="L9" s="37">
        <f t="shared" si="2"/>
        <v>0</v>
      </c>
      <c r="M9" s="36"/>
      <c r="N9" s="36"/>
      <c r="O9" s="36"/>
      <c r="P9" s="50">
        <f t="shared" si="3"/>
        <v>0</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2</v>
      </c>
      <c r="I10" s="34">
        <f t="shared" si="0"/>
        <v>0</v>
      </c>
      <c r="J10" s="34">
        <f t="shared" si="1"/>
        <v>0</v>
      </c>
      <c r="K10" s="36"/>
      <c r="L10" s="37">
        <f t="shared" si="2"/>
        <v>0</v>
      </c>
      <c r="M10" s="36"/>
      <c r="N10" s="36"/>
      <c r="O10" s="36"/>
      <c r="P10" s="50">
        <f t="shared" si="3"/>
        <v>2</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2</v>
      </c>
      <c r="I11" s="34">
        <f t="shared" si="0"/>
        <v>0</v>
      </c>
      <c r="J11" s="34">
        <f t="shared" si="1"/>
        <v>0</v>
      </c>
      <c r="K11" s="36"/>
      <c r="L11" s="37">
        <f t="shared" si="2"/>
        <v>0</v>
      </c>
      <c r="M11" s="36"/>
      <c r="N11" s="36"/>
      <c r="O11" s="36"/>
      <c r="P11" s="50">
        <f t="shared" si="3"/>
        <v>2</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2</v>
      </c>
      <c r="I12" s="34">
        <f t="shared" si="0"/>
        <v>0</v>
      </c>
      <c r="J12" s="34">
        <f t="shared" si="1"/>
        <v>0</v>
      </c>
      <c r="K12" s="36"/>
      <c r="L12" s="37">
        <f t="shared" si="2"/>
        <v>0</v>
      </c>
      <c r="M12" s="36"/>
      <c r="N12" s="36"/>
      <c r="O12" s="36"/>
      <c r="P12" s="50">
        <f t="shared" si="3"/>
        <v>2</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2</v>
      </c>
      <c r="I13" s="34">
        <f t="shared" si="0"/>
        <v>0</v>
      </c>
      <c r="J13" s="34">
        <f t="shared" si="1"/>
        <v>0</v>
      </c>
      <c r="K13" s="36"/>
      <c r="L13" s="37">
        <f t="shared" si="2"/>
        <v>0</v>
      </c>
      <c r="M13" s="36"/>
      <c r="N13" s="36"/>
      <c r="O13" s="36"/>
      <c r="P13" s="50">
        <f t="shared" si="3"/>
        <v>2</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10</v>
      </c>
      <c r="I17" s="34">
        <f t="shared" si="0"/>
        <v>0</v>
      </c>
      <c r="J17" s="34">
        <f t="shared" si="1"/>
        <v>0</v>
      </c>
      <c r="K17" s="36"/>
      <c r="L17" s="37">
        <f t="shared" si="2"/>
        <v>2</v>
      </c>
      <c r="M17" s="36"/>
      <c r="N17" s="36"/>
      <c r="O17" s="36"/>
      <c r="P17" s="50">
        <f t="shared" si="3"/>
        <v>10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2</v>
      </c>
      <c r="I19" s="34">
        <f t="shared" si="0"/>
        <v>0</v>
      </c>
      <c r="J19" s="34">
        <f t="shared" si="1"/>
        <v>0</v>
      </c>
      <c r="K19" s="36"/>
      <c r="L19" s="37">
        <f t="shared" si="2"/>
        <v>0</v>
      </c>
      <c r="M19" s="36"/>
      <c r="N19" s="36"/>
      <c r="O19" s="36"/>
      <c r="P19" s="50">
        <f t="shared" si="3"/>
        <v>2</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5</v>
      </c>
      <c r="I20" s="34">
        <f t="shared" si="0"/>
        <v>0</v>
      </c>
      <c r="J20" s="34">
        <f t="shared" si="1"/>
        <v>0</v>
      </c>
      <c r="K20" s="36"/>
      <c r="L20" s="37">
        <f t="shared" si="2"/>
        <v>1</v>
      </c>
      <c r="M20" s="36"/>
      <c r="N20" s="36"/>
      <c r="O20" s="36"/>
      <c r="P20" s="50">
        <f t="shared" si="3"/>
        <v>5</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10</v>
      </c>
      <c r="I21" s="34">
        <f t="shared" si="0"/>
        <v>0</v>
      </c>
      <c r="J21" s="34">
        <f t="shared" si="1"/>
        <v>0</v>
      </c>
      <c r="K21" s="36">
        <v>30</v>
      </c>
      <c r="L21" s="37">
        <f t="shared" si="2"/>
        <v>2</v>
      </c>
      <c r="M21" s="36"/>
      <c r="N21" s="36"/>
      <c r="O21" s="36"/>
      <c r="P21" s="50">
        <f t="shared" si="3"/>
        <v>40</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385</v>
      </c>
      <c r="I22" s="33"/>
      <c r="J22" s="33"/>
      <c r="K22" s="33"/>
      <c r="L22" s="33"/>
      <c r="M22" s="33"/>
      <c r="N22" s="33"/>
      <c r="O22" s="33"/>
      <c r="P22" s="33">
        <f>SUM(P4:P21)</f>
        <v>415</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4941.96</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61" priority="4">
      <formula>#REF!&lt;0.25</formula>
    </cfRule>
  </conditionalFormatting>
  <conditionalFormatting sqref="P4:P21">
    <cfRule type="cellIs" dxfId="60" priority="3" operator="lessThan">
      <formula>0</formula>
    </cfRule>
  </conditionalFormatting>
  <conditionalFormatting sqref="Q4:Q21">
    <cfRule type="containsText" dxfId="59" priority="2" operator="containsText" text="ATENÇÃO">
      <formula>NOT(ISERROR(SEARCH("ATENÇÃO",Q4)))</formula>
    </cfRule>
  </conditionalFormatting>
  <conditionalFormatting sqref="R4:AN21">
    <cfRule type="cellIs" dxfId="58"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E33F-F973-4E4F-8602-6687BCD99F66}">
  <dimension ref="A1:AN24"/>
  <sheetViews>
    <sheetView topLeftCell="D19" zoomScale="70" zoomScaleNormal="70" workbookViewId="0">
      <selection activeCell="K21" sqref="K21"/>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15" width="7.81640625" style="6" customWidth="1"/>
    <col min="16" max="16" width="7.81640625" style="13" customWidth="1"/>
    <col min="17" max="17" width="7.81640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71" t="s">
        <v>118</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31</v>
      </c>
      <c r="B2" s="102"/>
      <c r="C2" s="102"/>
      <c r="D2" s="102"/>
      <c r="E2" s="102"/>
      <c r="F2" s="102"/>
      <c r="G2" s="102"/>
      <c r="H2" s="103"/>
      <c r="I2" s="98" t="s">
        <v>75</v>
      </c>
      <c r="J2" s="99"/>
      <c r="K2" s="99"/>
      <c r="L2" s="99"/>
      <c r="M2" s="99"/>
      <c r="N2" s="99"/>
      <c r="O2" s="99"/>
      <c r="P2" s="99"/>
      <c r="Q2" s="100"/>
      <c r="R2" s="171" t="s">
        <v>119</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72">
        <v>45814</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76"/>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76"/>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180</v>
      </c>
      <c r="I6" s="34">
        <f t="shared" si="0"/>
        <v>0</v>
      </c>
      <c r="J6" s="34">
        <f t="shared" si="1"/>
        <v>0</v>
      </c>
      <c r="K6" s="36"/>
      <c r="L6" s="37">
        <f t="shared" si="2"/>
        <v>45</v>
      </c>
      <c r="M6" s="36"/>
      <c r="N6" s="36"/>
      <c r="O6" s="36"/>
      <c r="P6" s="50">
        <f t="shared" si="3"/>
        <v>180</v>
      </c>
      <c r="Q6" s="49" t="str">
        <f t="shared" si="4"/>
        <v>OK</v>
      </c>
      <c r="R6" s="176"/>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300</v>
      </c>
      <c r="I7" s="34">
        <f t="shared" si="0"/>
        <v>0</v>
      </c>
      <c r="J7" s="34">
        <f t="shared" si="1"/>
        <v>0</v>
      </c>
      <c r="K7" s="36"/>
      <c r="L7" s="37">
        <f t="shared" si="2"/>
        <v>75</v>
      </c>
      <c r="M7" s="36"/>
      <c r="N7" s="36"/>
      <c r="O7" s="36"/>
      <c r="P7" s="50">
        <f t="shared" si="3"/>
        <v>300</v>
      </c>
      <c r="Q7" s="49" t="str">
        <f t="shared" si="4"/>
        <v>OK</v>
      </c>
      <c r="R7" s="176"/>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1</v>
      </c>
      <c r="I8" s="34">
        <f t="shared" si="0"/>
        <v>0</v>
      </c>
      <c r="J8" s="34">
        <f t="shared" si="1"/>
        <v>0</v>
      </c>
      <c r="K8" s="36"/>
      <c r="L8" s="37">
        <f t="shared" si="2"/>
        <v>0</v>
      </c>
      <c r="M8" s="36"/>
      <c r="N8" s="36"/>
      <c r="O8" s="36"/>
      <c r="P8" s="50">
        <f t="shared" si="3"/>
        <v>1</v>
      </c>
      <c r="Q8" s="49" t="str">
        <f t="shared" si="4"/>
        <v>OK</v>
      </c>
      <c r="R8" s="176"/>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1</v>
      </c>
      <c r="I9" s="34">
        <f t="shared" si="0"/>
        <v>0</v>
      </c>
      <c r="J9" s="34">
        <f t="shared" si="1"/>
        <v>0</v>
      </c>
      <c r="K9" s="36"/>
      <c r="L9" s="37">
        <f t="shared" si="2"/>
        <v>0</v>
      </c>
      <c r="M9" s="36"/>
      <c r="N9" s="36"/>
      <c r="O9" s="36"/>
      <c r="P9" s="50">
        <f t="shared" si="3"/>
        <v>1</v>
      </c>
      <c r="Q9" s="49" t="str">
        <f t="shared" si="4"/>
        <v>OK</v>
      </c>
      <c r="R9" s="176"/>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0</v>
      </c>
      <c r="I10" s="34">
        <f t="shared" si="0"/>
        <v>0</v>
      </c>
      <c r="J10" s="34">
        <f t="shared" si="1"/>
        <v>0</v>
      </c>
      <c r="K10" s="36"/>
      <c r="L10" s="37">
        <f t="shared" si="2"/>
        <v>0</v>
      </c>
      <c r="M10" s="36"/>
      <c r="N10" s="36"/>
      <c r="O10" s="36"/>
      <c r="P10" s="50">
        <f t="shared" si="3"/>
        <v>0</v>
      </c>
      <c r="Q10" s="49" t="str">
        <f t="shared" si="4"/>
        <v>OK</v>
      </c>
      <c r="R10" s="176"/>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20</v>
      </c>
      <c r="I11" s="34">
        <f t="shared" si="0"/>
        <v>0</v>
      </c>
      <c r="J11" s="34">
        <f t="shared" si="1"/>
        <v>0</v>
      </c>
      <c r="K11" s="36"/>
      <c r="L11" s="37">
        <f t="shared" si="2"/>
        <v>5</v>
      </c>
      <c r="M11" s="36"/>
      <c r="N11" s="36"/>
      <c r="O11" s="36"/>
      <c r="P11" s="50">
        <f t="shared" si="3"/>
        <v>20</v>
      </c>
      <c r="Q11" s="49" t="str">
        <f t="shared" si="4"/>
        <v>OK</v>
      </c>
      <c r="R11" s="176"/>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20</v>
      </c>
      <c r="I12" s="34">
        <f t="shared" si="0"/>
        <v>0</v>
      </c>
      <c r="J12" s="34">
        <f t="shared" si="1"/>
        <v>0</v>
      </c>
      <c r="K12" s="36"/>
      <c r="L12" s="37">
        <f t="shared" si="2"/>
        <v>5</v>
      </c>
      <c r="M12" s="36"/>
      <c r="N12" s="36"/>
      <c r="O12" s="36"/>
      <c r="P12" s="50">
        <f t="shared" si="3"/>
        <v>20</v>
      </c>
      <c r="Q12" s="49" t="str">
        <f t="shared" si="4"/>
        <v>OK</v>
      </c>
      <c r="R12" s="176"/>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20</v>
      </c>
      <c r="I13" s="34">
        <f t="shared" si="0"/>
        <v>0</v>
      </c>
      <c r="J13" s="34">
        <f t="shared" si="1"/>
        <v>0</v>
      </c>
      <c r="K13" s="36"/>
      <c r="L13" s="37">
        <f t="shared" si="2"/>
        <v>5</v>
      </c>
      <c r="M13" s="36"/>
      <c r="N13" s="36"/>
      <c r="O13" s="36"/>
      <c r="P13" s="50">
        <f t="shared" si="3"/>
        <v>20</v>
      </c>
      <c r="Q13" s="49" t="str">
        <f t="shared" si="4"/>
        <v>OK</v>
      </c>
      <c r="R13" s="176"/>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76"/>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76"/>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76"/>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76"/>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76"/>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76"/>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5</v>
      </c>
      <c r="I20" s="34">
        <f t="shared" si="0"/>
        <v>0</v>
      </c>
      <c r="J20" s="34">
        <f t="shared" si="1"/>
        <v>0</v>
      </c>
      <c r="K20" s="36"/>
      <c r="L20" s="37">
        <f t="shared" si="2"/>
        <v>1</v>
      </c>
      <c r="M20" s="36"/>
      <c r="N20" s="36"/>
      <c r="O20" s="36"/>
      <c r="P20" s="50">
        <f t="shared" si="3"/>
        <v>5</v>
      </c>
      <c r="Q20" s="49" t="str">
        <f t="shared" si="4"/>
        <v>OK</v>
      </c>
      <c r="R20" s="176"/>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63</v>
      </c>
      <c r="I21" s="34">
        <f t="shared" si="0"/>
        <v>15</v>
      </c>
      <c r="J21" s="34">
        <f t="shared" si="1"/>
        <v>15</v>
      </c>
      <c r="K21" s="36">
        <v>4</v>
      </c>
      <c r="L21" s="37">
        <f t="shared" si="2"/>
        <v>15</v>
      </c>
      <c r="M21" s="36"/>
      <c r="N21" s="36"/>
      <c r="O21" s="36"/>
      <c r="P21" s="50">
        <f t="shared" si="3"/>
        <v>52</v>
      </c>
      <c r="Q21" s="49" t="str">
        <f t="shared" si="4"/>
        <v>OK</v>
      </c>
      <c r="R21" s="177">
        <v>15</v>
      </c>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610</v>
      </c>
      <c r="I22" s="33"/>
      <c r="J22" s="33"/>
      <c r="K22" s="33"/>
      <c r="L22" s="33"/>
      <c r="M22" s="33"/>
      <c r="N22" s="33"/>
      <c r="O22" s="33"/>
      <c r="P22" s="33">
        <f>SUM(P4:P21)</f>
        <v>599</v>
      </c>
      <c r="R22" s="178">
        <v>777.9</v>
      </c>
      <c r="S22" s="14">
        <f t="shared" ref="R22:AN22" si="5">SUMPRODUCT($G$4:$G$21,S4:S21)</f>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9"/>
    </row>
    <row r="24" spans="1:40" x14ac:dyDescent="0.35">
      <c r="H24" s="44">
        <f>SUMPRODUCT($G$4:$G$21,H4:H21)</f>
        <v>13410.54</v>
      </c>
      <c r="I24" s="44">
        <f>SUMPRODUCT($G$4:$G$21,I4:I21)</f>
        <v>777.9</v>
      </c>
      <c r="J24" s="44">
        <f>SUMPRODUCT($G$4:$G$21,J4:J21)</f>
        <v>777.9</v>
      </c>
      <c r="R24" s="179"/>
    </row>
  </sheetData>
  <mergeCells count="9">
    <mergeCell ref="A20:A21"/>
    <mergeCell ref="B20:B21"/>
    <mergeCell ref="A1:C1"/>
    <mergeCell ref="D1:H1"/>
    <mergeCell ref="I1:Q1"/>
    <mergeCell ref="A4:A19"/>
    <mergeCell ref="B4:B19"/>
    <mergeCell ref="A2:H2"/>
    <mergeCell ref="I2:Q2"/>
  </mergeCells>
  <conditionalFormatting sqref="G4:G21">
    <cfRule type="expression" dxfId="57" priority="4">
      <formula>#REF!&lt;0.25</formula>
    </cfRule>
  </conditionalFormatting>
  <conditionalFormatting sqref="P4:P21">
    <cfRule type="cellIs" dxfId="56" priority="3" operator="lessThan">
      <formula>0</formula>
    </cfRule>
  </conditionalFormatting>
  <conditionalFormatting sqref="Q4:Q21">
    <cfRule type="containsText" dxfId="55" priority="2" operator="containsText" text="ATENÇÃO">
      <formula>NOT(ISERROR(SEARCH("ATENÇÃO",Q4)))</formula>
    </cfRule>
  </conditionalFormatting>
  <conditionalFormatting sqref="S4:AN21">
    <cfRule type="cellIs" dxfId="54"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4FDF1-1975-4437-9FBF-B172DC0755BB}">
  <dimension ref="A1:AN24"/>
  <sheetViews>
    <sheetView topLeftCell="A12" zoomScale="70" zoomScaleNormal="70" workbookViewId="0">
      <selection activeCell="K20" sqref="K20"/>
    </sheetView>
  </sheetViews>
  <sheetFormatPr defaultColWidth="9.7265625" defaultRowHeight="14.5" x14ac:dyDescent="0.35"/>
  <cols>
    <col min="1" max="1" width="6.1796875" style="1" customWidth="1"/>
    <col min="2" max="2" width="13.7265625" style="1" customWidth="1"/>
    <col min="3" max="3" width="10.26953125" style="1" customWidth="1"/>
    <col min="4" max="4" width="26" style="12" customWidth="1"/>
    <col min="5" max="5" width="8.54296875" style="1" customWidth="1"/>
    <col min="6" max="6" width="11.54296875" style="1" customWidth="1"/>
    <col min="7" max="7" width="12.7265625" style="1" customWidth="1"/>
    <col min="8" max="15" width="6.81640625" style="6" customWidth="1"/>
    <col min="16" max="16" width="6.81640625" style="13" customWidth="1"/>
    <col min="17" max="17" width="6.81640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27</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10</v>
      </c>
      <c r="I4" s="34">
        <f>IF(SUM(R4:AN4)&gt;H4+K4,H4+K4,SUM(R4:AN4))</f>
        <v>0</v>
      </c>
      <c r="J4" s="34">
        <f>(SUM(R4:AN4))</f>
        <v>0</v>
      </c>
      <c r="K4" s="35"/>
      <c r="L4" s="37">
        <f>ROUND(IF(H4*0.25-0.5&lt;0,0,H4*0.25-0.5),0)-O4-M4</f>
        <v>2</v>
      </c>
      <c r="M4" s="35"/>
      <c r="N4" s="35"/>
      <c r="O4" s="35"/>
      <c r="P4" s="50">
        <f>H4-(SUM(R4:AN4))+K4+M4+N4-O4</f>
        <v>10</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0</v>
      </c>
      <c r="I6" s="34">
        <f t="shared" si="0"/>
        <v>0</v>
      </c>
      <c r="J6" s="34">
        <f t="shared" si="1"/>
        <v>0</v>
      </c>
      <c r="K6" s="36"/>
      <c r="L6" s="37">
        <f t="shared" si="2"/>
        <v>0</v>
      </c>
      <c r="M6" s="36"/>
      <c r="N6" s="36"/>
      <c r="O6" s="36"/>
      <c r="P6" s="50">
        <f t="shared" si="3"/>
        <v>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600</v>
      </c>
      <c r="I7" s="34">
        <f t="shared" si="0"/>
        <v>0</v>
      </c>
      <c r="J7" s="34">
        <f t="shared" si="1"/>
        <v>0</v>
      </c>
      <c r="K7" s="36"/>
      <c r="L7" s="37">
        <f t="shared" si="2"/>
        <v>150</v>
      </c>
      <c r="M7" s="36"/>
      <c r="N7" s="36"/>
      <c r="O7" s="36"/>
      <c r="P7" s="50">
        <f t="shared" si="3"/>
        <v>600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45</v>
      </c>
      <c r="I9" s="34">
        <f t="shared" si="0"/>
        <v>0</v>
      </c>
      <c r="J9" s="34">
        <f t="shared" si="1"/>
        <v>0</v>
      </c>
      <c r="K9" s="36"/>
      <c r="L9" s="37">
        <f t="shared" si="2"/>
        <v>11</v>
      </c>
      <c r="M9" s="36"/>
      <c r="N9" s="36"/>
      <c r="O9" s="36"/>
      <c r="P9" s="50">
        <f t="shared" si="3"/>
        <v>45</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0</v>
      </c>
      <c r="I10" s="34">
        <f t="shared" si="0"/>
        <v>0</v>
      </c>
      <c r="J10" s="34">
        <f t="shared" si="1"/>
        <v>0</v>
      </c>
      <c r="K10" s="36"/>
      <c r="L10" s="37">
        <f t="shared" si="2"/>
        <v>0</v>
      </c>
      <c r="M10" s="36"/>
      <c r="N10" s="36"/>
      <c r="O10" s="36"/>
      <c r="P10" s="50">
        <f t="shared" si="3"/>
        <v>0</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20</v>
      </c>
      <c r="I20" s="34">
        <f t="shared" si="0"/>
        <v>0</v>
      </c>
      <c r="J20" s="34">
        <f t="shared" si="1"/>
        <v>0</v>
      </c>
      <c r="K20" s="36">
        <v>-2</v>
      </c>
      <c r="L20" s="37">
        <f t="shared" si="2"/>
        <v>5</v>
      </c>
      <c r="M20" s="36"/>
      <c r="N20" s="36"/>
      <c r="O20" s="36"/>
      <c r="P20" s="50">
        <f t="shared" si="3"/>
        <v>18</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20</v>
      </c>
      <c r="I21" s="34">
        <f t="shared" si="0"/>
        <v>0</v>
      </c>
      <c r="J21" s="34">
        <f t="shared" si="1"/>
        <v>0</v>
      </c>
      <c r="K21" s="36"/>
      <c r="L21" s="37">
        <f t="shared" si="2"/>
        <v>5</v>
      </c>
      <c r="M21" s="36"/>
      <c r="N21" s="36"/>
      <c r="O21" s="36"/>
      <c r="P21" s="50">
        <f t="shared" si="3"/>
        <v>20</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695</v>
      </c>
      <c r="I22" s="33"/>
      <c r="J22" s="33"/>
      <c r="K22" s="33"/>
      <c r="L22" s="33"/>
      <c r="M22" s="33"/>
      <c r="N22" s="33"/>
      <c r="O22" s="33"/>
      <c r="P22" s="33">
        <f>SUM(P4:P21)</f>
        <v>693</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12774.6</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53" priority="4">
      <formula>#REF!&lt;0.25</formula>
    </cfRule>
  </conditionalFormatting>
  <conditionalFormatting sqref="P4:P21">
    <cfRule type="cellIs" dxfId="52" priority="3" operator="lessThan">
      <formula>0</formula>
    </cfRule>
  </conditionalFormatting>
  <conditionalFormatting sqref="Q4:Q21">
    <cfRule type="containsText" dxfId="51" priority="2" operator="containsText" text="ATENÇÃO">
      <formula>NOT(ISERROR(SEARCH("ATENÇÃO",Q4)))</formula>
    </cfRule>
  </conditionalFormatting>
  <conditionalFormatting sqref="R4:AN21">
    <cfRule type="cellIs" dxfId="50"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A3521-06D7-436F-93C7-48BD97801B97}">
  <dimension ref="A1:AN24"/>
  <sheetViews>
    <sheetView topLeftCell="A13" zoomScale="70" zoomScaleNormal="70" workbookViewId="0">
      <selection activeCell="O28" sqref="O28"/>
    </sheetView>
  </sheetViews>
  <sheetFormatPr defaultColWidth="9.7265625" defaultRowHeight="14.5" x14ac:dyDescent="0.35"/>
  <cols>
    <col min="1" max="1" width="6.1796875" style="1" customWidth="1"/>
    <col min="2" max="2" width="13.7265625" style="1" customWidth="1"/>
    <col min="3" max="3" width="10.26953125" style="1" customWidth="1"/>
    <col min="4" max="4" width="32.26953125" style="12" customWidth="1"/>
    <col min="5" max="5" width="11.1796875" style="1" customWidth="1"/>
    <col min="6" max="6" width="16" style="1" customWidth="1"/>
    <col min="7" max="7" width="12.7265625" style="1" customWidth="1"/>
    <col min="8" max="15" width="9.36328125" style="6" customWidth="1"/>
    <col min="16" max="16" width="9.36328125" style="13" customWidth="1"/>
    <col min="17" max="17" width="9.363281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71" t="s">
        <v>128</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34</v>
      </c>
      <c r="B2" s="102"/>
      <c r="C2" s="102"/>
      <c r="D2" s="102"/>
      <c r="E2" s="102"/>
      <c r="F2" s="102"/>
      <c r="G2" s="102"/>
      <c r="H2" s="103"/>
      <c r="I2" s="98" t="s">
        <v>75</v>
      </c>
      <c r="J2" s="99"/>
      <c r="K2" s="99"/>
      <c r="L2" s="99"/>
      <c r="M2" s="99"/>
      <c r="N2" s="99"/>
      <c r="O2" s="99"/>
      <c r="P2" s="99"/>
      <c r="Q2" s="100"/>
      <c r="R2" s="171" t="s">
        <v>129</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72">
        <v>45862</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0</v>
      </c>
      <c r="I4" s="34">
        <f>IF(SUM(R4:AN4)&gt;H4+K4,H4+K4,SUM(R4:AN4))</f>
        <v>0</v>
      </c>
      <c r="J4" s="34">
        <f>(SUM(R4:AN4))</f>
        <v>0</v>
      </c>
      <c r="K4" s="35"/>
      <c r="L4" s="37">
        <f>ROUND(IF(H4*0.25-0.5&lt;0,0,H4*0.25-0.5),0)-O4-M4</f>
        <v>0</v>
      </c>
      <c r="M4" s="35"/>
      <c r="N4" s="35"/>
      <c r="O4" s="35"/>
      <c r="P4" s="50">
        <f>H4-(SUM(R4:AN4))+K4+M4+N4-O4</f>
        <v>0</v>
      </c>
      <c r="Q4" s="49" t="str">
        <f>IF(P4&lt;0,"ATENÇÃO","OK")</f>
        <v>OK</v>
      </c>
      <c r="R4" s="176"/>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76"/>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0</v>
      </c>
      <c r="I6" s="34">
        <f t="shared" si="0"/>
        <v>0</v>
      </c>
      <c r="J6" s="34">
        <f t="shared" si="1"/>
        <v>0</v>
      </c>
      <c r="K6" s="36"/>
      <c r="L6" s="37">
        <f t="shared" si="2"/>
        <v>0</v>
      </c>
      <c r="M6" s="36"/>
      <c r="N6" s="36"/>
      <c r="O6" s="36"/>
      <c r="P6" s="50">
        <f t="shared" si="3"/>
        <v>0</v>
      </c>
      <c r="Q6" s="49" t="str">
        <f t="shared" si="4"/>
        <v>OK</v>
      </c>
      <c r="R6" s="176"/>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76"/>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76"/>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0</v>
      </c>
      <c r="I9" s="34">
        <f t="shared" si="0"/>
        <v>0</v>
      </c>
      <c r="J9" s="34">
        <f t="shared" si="1"/>
        <v>0</v>
      </c>
      <c r="K9" s="36"/>
      <c r="L9" s="37">
        <f t="shared" si="2"/>
        <v>0</v>
      </c>
      <c r="M9" s="36"/>
      <c r="N9" s="36"/>
      <c r="O9" s="36"/>
      <c r="P9" s="50">
        <f t="shared" si="3"/>
        <v>0</v>
      </c>
      <c r="Q9" s="49" t="str">
        <f t="shared" si="4"/>
        <v>OK</v>
      </c>
      <c r="R9" s="176"/>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40</v>
      </c>
      <c r="I10" s="34">
        <f t="shared" si="0"/>
        <v>0</v>
      </c>
      <c r="J10" s="34">
        <f t="shared" si="1"/>
        <v>0</v>
      </c>
      <c r="K10" s="36"/>
      <c r="L10" s="37">
        <f t="shared" si="2"/>
        <v>10</v>
      </c>
      <c r="M10" s="36"/>
      <c r="N10" s="36"/>
      <c r="O10" s="36"/>
      <c r="P10" s="50">
        <f t="shared" si="3"/>
        <v>40</v>
      </c>
      <c r="Q10" s="49" t="str">
        <f t="shared" si="4"/>
        <v>OK</v>
      </c>
      <c r="R10" s="176"/>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76"/>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76"/>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76"/>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76"/>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76"/>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76"/>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76"/>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76"/>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76"/>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0</v>
      </c>
      <c r="I20" s="34">
        <f t="shared" si="0"/>
        <v>1</v>
      </c>
      <c r="J20" s="34">
        <f t="shared" si="1"/>
        <v>1</v>
      </c>
      <c r="K20" s="36">
        <v>2</v>
      </c>
      <c r="L20" s="37">
        <f t="shared" si="2"/>
        <v>0</v>
      </c>
      <c r="M20" s="36"/>
      <c r="N20" s="36"/>
      <c r="O20" s="36"/>
      <c r="P20" s="50">
        <f t="shared" si="3"/>
        <v>1</v>
      </c>
      <c r="Q20" s="49" t="str">
        <f t="shared" si="4"/>
        <v>OK</v>
      </c>
      <c r="R20" s="177">
        <v>1</v>
      </c>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30</v>
      </c>
      <c r="I21" s="34">
        <f t="shared" si="0"/>
        <v>0</v>
      </c>
      <c r="J21" s="34">
        <f t="shared" si="1"/>
        <v>0</v>
      </c>
      <c r="K21" s="36"/>
      <c r="L21" s="37">
        <f t="shared" si="2"/>
        <v>7</v>
      </c>
      <c r="M21" s="36"/>
      <c r="N21" s="36"/>
      <c r="O21" s="36"/>
      <c r="P21" s="50">
        <f t="shared" si="3"/>
        <v>30</v>
      </c>
      <c r="Q21" s="49" t="str">
        <f t="shared" si="4"/>
        <v>OK</v>
      </c>
      <c r="R21" s="176"/>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70</v>
      </c>
      <c r="I22" s="33"/>
      <c r="J22" s="33"/>
      <c r="K22" s="33"/>
      <c r="L22" s="33"/>
      <c r="M22" s="33"/>
      <c r="N22" s="33"/>
      <c r="O22" s="33"/>
      <c r="P22" s="33">
        <f>SUM(P4:P21)</f>
        <v>71</v>
      </c>
      <c r="R22" s="178">
        <v>288.12</v>
      </c>
      <c r="S22" s="14">
        <f t="shared" ref="R22:AN22" si="5">SUMPRODUCT($G$4:$G$21,S4:S21)</f>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9"/>
    </row>
    <row r="24" spans="1:40" x14ac:dyDescent="0.35">
      <c r="H24" s="44">
        <f>SUMPRODUCT($G$4:$G$21,H4:H21)</f>
        <v>3309.8</v>
      </c>
      <c r="I24" s="44">
        <f>SUMPRODUCT($G$4:$G$21,I4:I21)</f>
        <v>288.12</v>
      </c>
      <c r="J24" s="44">
        <f>SUMPRODUCT($G$4:$G$21,J4:J21)</f>
        <v>288.12</v>
      </c>
      <c r="R24" s="179"/>
    </row>
  </sheetData>
  <mergeCells count="9">
    <mergeCell ref="A20:A21"/>
    <mergeCell ref="B20:B21"/>
    <mergeCell ref="A1:C1"/>
    <mergeCell ref="D1:H1"/>
    <mergeCell ref="I1:Q1"/>
    <mergeCell ref="A4:A19"/>
    <mergeCell ref="B4:B19"/>
    <mergeCell ref="A2:H2"/>
    <mergeCell ref="I2:Q2"/>
  </mergeCells>
  <conditionalFormatting sqref="G4:G21">
    <cfRule type="expression" dxfId="49" priority="4">
      <formula>#REF!&lt;0.25</formula>
    </cfRule>
  </conditionalFormatting>
  <conditionalFormatting sqref="P4:P21">
    <cfRule type="cellIs" dxfId="48" priority="3" operator="lessThan">
      <formula>0</formula>
    </cfRule>
  </conditionalFormatting>
  <conditionalFormatting sqref="Q4:Q21">
    <cfRule type="containsText" dxfId="47" priority="2" operator="containsText" text="ATENÇÃO">
      <formula>NOT(ISERROR(SEARCH("ATENÇÃO",Q4)))</formula>
    </cfRule>
  </conditionalFormatting>
  <conditionalFormatting sqref="S4:AN21">
    <cfRule type="cellIs" dxfId="46"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CACA7-BF06-4CEB-9798-A9FC2A4D29A1}">
  <dimension ref="A1:AN24"/>
  <sheetViews>
    <sheetView zoomScale="80" zoomScaleNormal="80" workbookViewId="0">
      <selection activeCell="A2" sqref="A2:H2"/>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8" width="13.26953125" style="6" customWidth="1"/>
    <col min="9" max="9" width="12.81640625" style="6" customWidth="1"/>
    <col min="10" max="10" width="13.7265625" style="6" customWidth="1"/>
    <col min="11" max="11" width="14.7265625" style="6" customWidth="1"/>
    <col min="12" max="13" width="13.7265625" style="6" customWidth="1"/>
    <col min="14" max="14" width="12.453125" style="6" customWidth="1"/>
    <col min="15" max="15" width="11.81640625" style="6" customWidth="1"/>
    <col min="16" max="16" width="11.81640625" style="13" customWidth="1"/>
    <col min="17" max="17" width="11.7265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36</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15</v>
      </c>
      <c r="I4" s="34">
        <f>IF(SUM(R4:AN4)&gt;H4+K4,H4+K4,SUM(R4:AN4))</f>
        <v>0</v>
      </c>
      <c r="J4" s="34">
        <f>(SUM(R4:AN4))</f>
        <v>0</v>
      </c>
      <c r="K4" s="35"/>
      <c r="L4" s="37">
        <f>ROUND(IF(H4*0.25-0.5&lt;0,0,H4*0.25-0.5),0)-O4-M4</f>
        <v>3</v>
      </c>
      <c r="M4" s="35"/>
      <c r="N4" s="35"/>
      <c r="O4" s="35"/>
      <c r="P4" s="50">
        <f>H4-(SUM(R4:AN4))+K4+M4+N4-O4</f>
        <v>15</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115</v>
      </c>
      <c r="I6" s="34">
        <f t="shared" si="0"/>
        <v>0</v>
      </c>
      <c r="J6" s="34">
        <f t="shared" si="1"/>
        <v>0</v>
      </c>
      <c r="K6" s="36"/>
      <c r="L6" s="37">
        <f t="shared" si="2"/>
        <v>28</v>
      </c>
      <c r="M6" s="36"/>
      <c r="N6" s="36"/>
      <c r="O6" s="36"/>
      <c r="P6" s="50">
        <f t="shared" si="3"/>
        <v>115</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40</v>
      </c>
      <c r="I8" s="34">
        <f t="shared" si="0"/>
        <v>0</v>
      </c>
      <c r="J8" s="34">
        <f t="shared" si="1"/>
        <v>0</v>
      </c>
      <c r="K8" s="36"/>
      <c r="L8" s="37">
        <f t="shared" si="2"/>
        <v>10</v>
      </c>
      <c r="M8" s="36"/>
      <c r="N8" s="36"/>
      <c r="O8" s="36"/>
      <c r="P8" s="50">
        <f t="shared" si="3"/>
        <v>40</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10</v>
      </c>
      <c r="I9" s="34">
        <f t="shared" si="0"/>
        <v>0</v>
      </c>
      <c r="J9" s="34">
        <f t="shared" si="1"/>
        <v>0</v>
      </c>
      <c r="K9" s="36"/>
      <c r="L9" s="37">
        <f t="shared" si="2"/>
        <v>2</v>
      </c>
      <c r="M9" s="36"/>
      <c r="N9" s="36"/>
      <c r="O9" s="36"/>
      <c r="P9" s="50">
        <f t="shared" si="3"/>
        <v>10</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0</v>
      </c>
      <c r="I10" s="34">
        <f t="shared" si="0"/>
        <v>0</v>
      </c>
      <c r="J10" s="34">
        <f t="shared" si="1"/>
        <v>0</v>
      </c>
      <c r="K10" s="36"/>
      <c r="L10" s="37">
        <f t="shared" si="2"/>
        <v>0</v>
      </c>
      <c r="M10" s="36"/>
      <c r="N10" s="36"/>
      <c r="O10" s="36"/>
      <c r="P10" s="50">
        <f t="shared" si="3"/>
        <v>0</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2</v>
      </c>
      <c r="I20" s="34">
        <f t="shared" si="0"/>
        <v>0</v>
      </c>
      <c r="J20" s="34">
        <f t="shared" si="1"/>
        <v>0</v>
      </c>
      <c r="K20" s="36"/>
      <c r="L20" s="37">
        <f t="shared" si="2"/>
        <v>0</v>
      </c>
      <c r="M20" s="36"/>
      <c r="N20" s="36"/>
      <c r="O20" s="36"/>
      <c r="P20" s="50">
        <f t="shared" si="3"/>
        <v>2</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30</v>
      </c>
      <c r="I21" s="34">
        <f t="shared" si="0"/>
        <v>0</v>
      </c>
      <c r="J21" s="34">
        <f t="shared" si="1"/>
        <v>0</v>
      </c>
      <c r="K21" s="36"/>
      <c r="L21" s="37">
        <f t="shared" si="2"/>
        <v>7</v>
      </c>
      <c r="M21" s="36"/>
      <c r="N21" s="36"/>
      <c r="O21" s="36"/>
      <c r="P21" s="50">
        <f t="shared" si="3"/>
        <v>30</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212</v>
      </c>
      <c r="I22" s="33"/>
      <c r="J22" s="33"/>
      <c r="K22" s="33"/>
      <c r="L22" s="33"/>
      <c r="M22" s="33"/>
      <c r="N22" s="33"/>
      <c r="O22" s="33"/>
      <c r="P22" s="33">
        <f>SUM(P4:P21)</f>
        <v>212</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6578.59</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45" priority="4">
      <formula>#REF!&lt;0.25</formula>
    </cfRule>
  </conditionalFormatting>
  <conditionalFormatting sqref="P4:P21">
    <cfRule type="cellIs" dxfId="44" priority="3" operator="lessThan">
      <formula>0</formula>
    </cfRule>
  </conditionalFormatting>
  <conditionalFormatting sqref="Q4:Q21">
    <cfRule type="containsText" dxfId="43" priority="2" operator="containsText" text="ATENÇÃO">
      <formula>NOT(ISERROR(SEARCH("ATENÇÃO",Q4)))</formula>
    </cfRule>
  </conditionalFormatting>
  <conditionalFormatting sqref="R4:AN21">
    <cfRule type="cellIs" dxfId="42"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C5AD-66EE-42F4-8CF0-D9243FCA8A78}">
  <dimension ref="A1:AN24"/>
  <sheetViews>
    <sheetView zoomScale="80" zoomScaleNormal="80" workbookViewId="0">
      <selection activeCell="A2" sqref="A2:H2"/>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8" width="13.26953125" style="6" customWidth="1"/>
    <col min="9" max="9" width="12.81640625" style="6" customWidth="1"/>
    <col min="10" max="10" width="13.7265625" style="6" customWidth="1"/>
    <col min="11" max="11" width="14.7265625" style="6" customWidth="1"/>
    <col min="12" max="13" width="13.7265625" style="6" customWidth="1"/>
    <col min="14" max="14" width="12.453125" style="6" customWidth="1"/>
    <col min="15" max="15" width="11.81640625" style="6" customWidth="1"/>
    <col min="16" max="16" width="11.81640625" style="13" customWidth="1"/>
    <col min="17" max="17" width="11.7265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8" t="s">
        <v>45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35</v>
      </c>
      <c r="B2" s="102"/>
      <c r="C2" s="102"/>
      <c r="D2" s="102"/>
      <c r="E2" s="102"/>
      <c r="F2" s="102"/>
      <c r="G2" s="102"/>
      <c r="H2" s="103"/>
      <c r="I2" s="98" t="s">
        <v>75</v>
      </c>
      <c r="J2" s="99"/>
      <c r="K2" s="99"/>
      <c r="L2" s="99"/>
      <c r="M2" s="99"/>
      <c r="N2" s="99"/>
      <c r="O2" s="99"/>
      <c r="P2" s="99"/>
      <c r="Q2" s="100"/>
      <c r="R2" s="18" t="s">
        <v>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5" t="s">
        <v>17</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6</v>
      </c>
      <c r="I4" s="34">
        <f>IF(SUM(R4:AN4)&gt;H4+K4,H4+K4,SUM(R4:AN4))</f>
        <v>0</v>
      </c>
      <c r="J4" s="34">
        <f>(SUM(R4:AN4))</f>
        <v>0</v>
      </c>
      <c r="K4" s="35"/>
      <c r="L4" s="37">
        <f>ROUND(IF(H4*0.25-0.5&lt;0,0,H4*0.25-0.5),0)-O4-M4</f>
        <v>1</v>
      </c>
      <c r="M4" s="35"/>
      <c r="N4" s="35"/>
      <c r="O4" s="35"/>
      <c r="P4" s="50">
        <f>H4-(SUM(R4:AN4))+K4+M4+N4-O4</f>
        <v>6</v>
      </c>
      <c r="Q4" s="49" t="str">
        <f>IF(P4&lt;0,"ATENÇÃO","OK")</f>
        <v>OK</v>
      </c>
      <c r="R4" s="19"/>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9"/>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600</v>
      </c>
      <c r="I6" s="34">
        <f t="shared" si="0"/>
        <v>0</v>
      </c>
      <c r="J6" s="34">
        <f t="shared" si="1"/>
        <v>0</v>
      </c>
      <c r="K6" s="36"/>
      <c r="L6" s="37">
        <f t="shared" si="2"/>
        <v>150</v>
      </c>
      <c r="M6" s="36"/>
      <c r="N6" s="36"/>
      <c r="O6" s="36"/>
      <c r="P6" s="50">
        <f t="shared" si="3"/>
        <v>600</v>
      </c>
      <c r="Q6" s="49" t="str">
        <f t="shared" si="4"/>
        <v>OK</v>
      </c>
      <c r="R6" s="19"/>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400</v>
      </c>
      <c r="I7" s="34">
        <f t="shared" si="0"/>
        <v>0</v>
      </c>
      <c r="J7" s="34">
        <f t="shared" si="1"/>
        <v>0</v>
      </c>
      <c r="K7" s="36"/>
      <c r="L7" s="37">
        <f t="shared" si="2"/>
        <v>100</v>
      </c>
      <c r="M7" s="36"/>
      <c r="N7" s="36"/>
      <c r="O7" s="36"/>
      <c r="P7" s="50">
        <f t="shared" si="3"/>
        <v>400</v>
      </c>
      <c r="Q7" s="49" t="str">
        <f t="shared" si="4"/>
        <v>OK</v>
      </c>
      <c r="R7" s="19"/>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15</v>
      </c>
      <c r="I8" s="34">
        <f t="shared" si="0"/>
        <v>0</v>
      </c>
      <c r="J8" s="34">
        <f t="shared" si="1"/>
        <v>0</v>
      </c>
      <c r="K8" s="36"/>
      <c r="L8" s="37">
        <f t="shared" si="2"/>
        <v>3</v>
      </c>
      <c r="M8" s="36"/>
      <c r="N8" s="36"/>
      <c r="O8" s="36"/>
      <c r="P8" s="50">
        <f t="shared" si="3"/>
        <v>15</v>
      </c>
      <c r="Q8" s="49" t="str">
        <f t="shared" si="4"/>
        <v>OK</v>
      </c>
      <c r="R8" s="19"/>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15</v>
      </c>
      <c r="I9" s="34">
        <f t="shared" si="0"/>
        <v>0</v>
      </c>
      <c r="J9" s="34">
        <f t="shared" si="1"/>
        <v>0</v>
      </c>
      <c r="K9" s="36"/>
      <c r="L9" s="37">
        <f t="shared" si="2"/>
        <v>3</v>
      </c>
      <c r="M9" s="36"/>
      <c r="N9" s="36"/>
      <c r="O9" s="36"/>
      <c r="P9" s="50">
        <f t="shared" si="3"/>
        <v>15</v>
      </c>
      <c r="Q9" s="49" t="str">
        <f t="shared" si="4"/>
        <v>OK</v>
      </c>
      <c r="R9" s="19"/>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6</v>
      </c>
      <c r="I10" s="34">
        <f t="shared" si="0"/>
        <v>0</v>
      </c>
      <c r="J10" s="34">
        <f t="shared" si="1"/>
        <v>0</v>
      </c>
      <c r="K10" s="36"/>
      <c r="L10" s="37">
        <f t="shared" si="2"/>
        <v>1</v>
      </c>
      <c r="M10" s="36"/>
      <c r="N10" s="36"/>
      <c r="O10" s="36"/>
      <c r="P10" s="50">
        <f t="shared" si="3"/>
        <v>6</v>
      </c>
      <c r="Q10" s="49" t="str">
        <f t="shared" si="4"/>
        <v>OK</v>
      </c>
      <c r="R10" s="19"/>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9"/>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9"/>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9"/>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9"/>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9"/>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9"/>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2</v>
      </c>
      <c r="I17" s="34">
        <f t="shared" si="0"/>
        <v>0</v>
      </c>
      <c r="J17" s="34">
        <f t="shared" si="1"/>
        <v>0</v>
      </c>
      <c r="K17" s="36"/>
      <c r="L17" s="37">
        <f t="shared" si="2"/>
        <v>0</v>
      </c>
      <c r="M17" s="36"/>
      <c r="N17" s="36"/>
      <c r="O17" s="36"/>
      <c r="P17" s="50">
        <f t="shared" si="3"/>
        <v>2</v>
      </c>
      <c r="Q17" s="49" t="str">
        <f t="shared" si="4"/>
        <v>OK</v>
      </c>
      <c r="R17" s="19"/>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9"/>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9"/>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1</v>
      </c>
      <c r="I20" s="34">
        <f t="shared" si="0"/>
        <v>0</v>
      </c>
      <c r="J20" s="34">
        <f t="shared" si="1"/>
        <v>0</v>
      </c>
      <c r="K20" s="36"/>
      <c r="L20" s="37">
        <f t="shared" si="2"/>
        <v>0</v>
      </c>
      <c r="M20" s="36"/>
      <c r="N20" s="36"/>
      <c r="O20" s="36"/>
      <c r="P20" s="50">
        <f t="shared" si="3"/>
        <v>1</v>
      </c>
      <c r="Q20" s="49" t="str">
        <f t="shared" si="4"/>
        <v>OK</v>
      </c>
      <c r="R20" s="19"/>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3</v>
      </c>
      <c r="I21" s="34">
        <f t="shared" si="0"/>
        <v>0</v>
      </c>
      <c r="J21" s="34">
        <f t="shared" si="1"/>
        <v>0</v>
      </c>
      <c r="K21" s="36"/>
      <c r="L21" s="37">
        <f t="shared" si="2"/>
        <v>0</v>
      </c>
      <c r="M21" s="36"/>
      <c r="N21" s="36"/>
      <c r="O21" s="36"/>
      <c r="P21" s="50">
        <f t="shared" si="3"/>
        <v>3</v>
      </c>
      <c r="Q21" s="49" t="str">
        <f t="shared" si="4"/>
        <v>OK</v>
      </c>
      <c r="R21" s="19"/>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1048</v>
      </c>
      <c r="I22" s="33"/>
      <c r="J22" s="33"/>
      <c r="K22" s="33"/>
      <c r="L22" s="33"/>
      <c r="M22" s="33"/>
      <c r="N22" s="33"/>
      <c r="O22" s="33"/>
      <c r="P22" s="33">
        <f>SUM(P4:P21)</f>
        <v>1048</v>
      </c>
      <c r="R22" s="14">
        <f t="shared" ref="R22:AN22" si="5">SUMPRODUCT($G$4:$G$21,R4:R21)</f>
        <v>0</v>
      </c>
      <c r="S22" s="14">
        <f t="shared" si="5"/>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4" spans="1:40" x14ac:dyDescent="0.35">
      <c r="H24" s="44">
        <f>SUMPRODUCT($G$4:$G$21,H4:H21)</f>
        <v>8451.94</v>
      </c>
      <c r="I24" s="44">
        <f>SUMPRODUCT($G$4:$G$21,I4:I21)</f>
        <v>0</v>
      </c>
      <c r="J24" s="44">
        <f>SUMPRODUCT($G$4:$G$21,J4:J21)</f>
        <v>0</v>
      </c>
    </row>
  </sheetData>
  <mergeCells count="9">
    <mergeCell ref="A20:A21"/>
    <mergeCell ref="B20:B21"/>
    <mergeCell ref="A1:C1"/>
    <mergeCell ref="D1:H1"/>
    <mergeCell ref="I1:Q1"/>
    <mergeCell ref="A4:A19"/>
    <mergeCell ref="B4:B19"/>
    <mergeCell ref="A2:H2"/>
    <mergeCell ref="I2:Q2"/>
  </mergeCells>
  <conditionalFormatting sqref="G4:G21">
    <cfRule type="expression" dxfId="41" priority="4">
      <formula>#REF!&lt;0.25</formula>
    </cfRule>
  </conditionalFormatting>
  <conditionalFormatting sqref="P4:P21">
    <cfRule type="cellIs" dxfId="40" priority="3" operator="lessThan">
      <formula>0</formula>
    </cfRule>
  </conditionalFormatting>
  <conditionalFormatting sqref="Q4:Q21">
    <cfRule type="containsText" dxfId="39" priority="2" operator="containsText" text="ATENÇÃO">
      <formula>NOT(ISERROR(SEARCH("ATENÇÃO",Q4)))</formula>
    </cfRule>
  </conditionalFormatting>
  <conditionalFormatting sqref="R4:AN21">
    <cfRule type="cellIs" dxfId="38"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37EDD-F668-4FDD-824D-F43D203CC8FA}">
  <dimension ref="A1:AN24"/>
  <sheetViews>
    <sheetView topLeftCell="D16" zoomScale="70" zoomScaleNormal="70" workbookViewId="0">
      <selection activeCell="P22" sqref="P22"/>
    </sheetView>
  </sheetViews>
  <sheetFormatPr defaultColWidth="9.7265625" defaultRowHeight="14.5" x14ac:dyDescent="0.35"/>
  <cols>
    <col min="1" max="1" width="6.1796875" style="1" customWidth="1"/>
    <col min="2" max="2" width="13.7265625" style="1" customWidth="1"/>
    <col min="3" max="3" width="10.26953125" style="1" customWidth="1"/>
    <col min="4" max="4" width="45.26953125" style="12" customWidth="1"/>
    <col min="5" max="5" width="11.1796875" style="1" customWidth="1"/>
    <col min="6" max="6" width="16" style="1" customWidth="1"/>
    <col min="7" max="7" width="12.7265625" style="1" customWidth="1"/>
    <col min="8" max="15" width="7.90625" style="6" customWidth="1"/>
    <col min="16" max="16" width="7.90625" style="13" customWidth="1"/>
    <col min="17" max="17" width="7.9062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71" t="s">
        <v>120</v>
      </c>
      <c r="S1" s="171" t="s">
        <v>121</v>
      </c>
      <c r="T1" s="171" t="s">
        <v>122</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33</v>
      </c>
      <c r="B2" s="102"/>
      <c r="C2" s="102"/>
      <c r="D2" s="102"/>
      <c r="E2" s="102"/>
      <c r="F2" s="102"/>
      <c r="G2" s="102"/>
      <c r="H2" s="103"/>
      <c r="I2" s="98" t="s">
        <v>75</v>
      </c>
      <c r="J2" s="99"/>
      <c r="K2" s="99"/>
      <c r="L2" s="99"/>
      <c r="M2" s="99"/>
      <c r="N2" s="99"/>
      <c r="O2" s="99"/>
      <c r="P2" s="99"/>
      <c r="Q2" s="100"/>
      <c r="R2" s="171" t="s">
        <v>123</v>
      </c>
      <c r="S2" s="171" t="s">
        <v>124</v>
      </c>
      <c r="T2" s="171" t="s">
        <v>124</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72">
        <v>45833</v>
      </c>
      <c r="S3" s="172">
        <v>45833</v>
      </c>
      <c r="T3" s="172">
        <v>45854</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30</v>
      </c>
      <c r="I4" s="34">
        <f>IF(SUM(R4:AN4)&gt;H4+K4,H4+K4,SUM(R4:AN4))</f>
        <v>0</v>
      </c>
      <c r="J4" s="34">
        <f>(SUM(R4:AN4))</f>
        <v>0</v>
      </c>
      <c r="K4" s="35"/>
      <c r="L4" s="37">
        <f>ROUND(IF(H4*0.25-0.5&lt;0,0,H4*0.25-0.5),0)-O4-M4</f>
        <v>7</v>
      </c>
      <c r="M4" s="35"/>
      <c r="N4" s="35"/>
      <c r="O4" s="35"/>
      <c r="P4" s="50">
        <f>H4-(SUM(R4:AN4))+K4+M4+N4-O4</f>
        <v>30</v>
      </c>
      <c r="Q4" s="49" t="str">
        <f>IF(P4&lt;0,"ATENÇÃO","OK")</f>
        <v>OK</v>
      </c>
      <c r="R4" s="176"/>
      <c r="S4" s="176"/>
      <c r="T4" s="176"/>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73"/>
      <c r="S5" s="173"/>
      <c r="T5" s="173"/>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120</v>
      </c>
      <c r="I6" s="34">
        <f t="shared" si="0"/>
        <v>20</v>
      </c>
      <c r="J6" s="34">
        <f t="shared" si="1"/>
        <v>20</v>
      </c>
      <c r="K6" s="36"/>
      <c r="L6" s="37">
        <f t="shared" si="2"/>
        <v>30</v>
      </c>
      <c r="M6" s="36"/>
      <c r="N6" s="36"/>
      <c r="O6" s="36"/>
      <c r="P6" s="50">
        <f t="shared" si="3"/>
        <v>100</v>
      </c>
      <c r="Q6" s="49" t="str">
        <f t="shared" si="4"/>
        <v>OK</v>
      </c>
      <c r="R6" s="177">
        <v>20</v>
      </c>
      <c r="S6" s="176"/>
      <c r="T6" s="176"/>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73"/>
      <c r="S7" s="173"/>
      <c r="T7" s="173"/>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5</v>
      </c>
      <c r="I8" s="34">
        <f t="shared" si="0"/>
        <v>4</v>
      </c>
      <c r="J8" s="34">
        <f t="shared" si="1"/>
        <v>4</v>
      </c>
      <c r="K8" s="36"/>
      <c r="L8" s="37">
        <f t="shared" si="2"/>
        <v>1</v>
      </c>
      <c r="M8" s="36"/>
      <c r="N8" s="36"/>
      <c r="O8" s="36"/>
      <c r="P8" s="50">
        <f t="shared" si="3"/>
        <v>1</v>
      </c>
      <c r="Q8" s="49" t="str">
        <f t="shared" si="4"/>
        <v>OK</v>
      </c>
      <c r="R8" s="177">
        <v>4</v>
      </c>
      <c r="S8" s="176"/>
      <c r="T8" s="176"/>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5</v>
      </c>
      <c r="I9" s="34">
        <f t="shared" si="0"/>
        <v>0</v>
      </c>
      <c r="J9" s="34">
        <f t="shared" si="1"/>
        <v>0</v>
      </c>
      <c r="K9" s="36"/>
      <c r="L9" s="37">
        <f t="shared" si="2"/>
        <v>1</v>
      </c>
      <c r="M9" s="36"/>
      <c r="N9" s="36"/>
      <c r="O9" s="36"/>
      <c r="P9" s="50">
        <f t="shared" si="3"/>
        <v>5</v>
      </c>
      <c r="Q9" s="49" t="str">
        <f t="shared" si="4"/>
        <v>OK</v>
      </c>
      <c r="R9" s="176"/>
      <c r="S9" s="176"/>
      <c r="T9" s="176"/>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5</v>
      </c>
      <c r="I10" s="34">
        <f t="shared" si="0"/>
        <v>0</v>
      </c>
      <c r="J10" s="34">
        <f t="shared" si="1"/>
        <v>0</v>
      </c>
      <c r="K10" s="36"/>
      <c r="L10" s="37">
        <f t="shared" si="2"/>
        <v>1</v>
      </c>
      <c r="M10" s="36"/>
      <c r="N10" s="36"/>
      <c r="O10" s="36"/>
      <c r="P10" s="50">
        <f t="shared" si="3"/>
        <v>5</v>
      </c>
      <c r="Q10" s="49" t="str">
        <f t="shared" si="4"/>
        <v>OK</v>
      </c>
      <c r="R10" s="176"/>
      <c r="S10" s="176"/>
      <c r="T10" s="176"/>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73"/>
      <c r="S11" s="173"/>
      <c r="T11" s="173"/>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73"/>
      <c r="S12" s="173"/>
      <c r="T12" s="173"/>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73"/>
      <c r="S13" s="173"/>
      <c r="T13" s="173"/>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73"/>
      <c r="S14" s="173"/>
      <c r="T14" s="173"/>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73"/>
      <c r="S15" s="173"/>
      <c r="T15" s="173"/>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73"/>
      <c r="S16" s="173"/>
      <c r="T16" s="173"/>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73"/>
      <c r="S17" s="173"/>
      <c r="T17" s="173"/>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73"/>
      <c r="S18" s="173"/>
      <c r="T18" s="173"/>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73"/>
      <c r="S19" s="173"/>
      <c r="T19" s="173"/>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1</v>
      </c>
      <c r="I20" s="34">
        <f t="shared" si="0"/>
        <v>1</v>
      </c>
      <c r="J20" s="34">
        <f t="shared" si="1"/>
        <v>1</v>
      </c>
      <c r="K20" s="36"/>
      <c r="L20" s="37">
        <f t="shared" si="2"/>
        <v>0</v>
      </c>
      <c r="M20" s="36"/>
      <c r="N20" s="36"/>
      <c r="O20" s="36"/>
      <c r="P20" s="50">
        <f t="shared" si="3"/>
        <v>0</v>
      </c>
      <c r="Q20" s="49" t="str">
        <f t="shared" si="4"/>
        <v>OK</v>
      </c>
      <c r="R20" s="176"/>
      <c r="S20" s="176"/>
      <c r="T20" s="177">
        <v>1</v>
      </c>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40</v>
      </c>
      <c r="I21" s="34">
        <f t="shared" si="0"/>
        <v>8</v>
      </c>
      <c r="J21" s="34">
        <f t="shared" si="1"/>
        <v>8</v>
      </c>
      <c r="K21" s="36"/>
      <c r="L21" s="37">
        <f t="shared" si="2"/>
        <v>10</v>
      </c>
      <c r="M21" s="36"/>
      <c r="N21" s="36"/>
      <c r="O21" s="36"/>
      <c r="P21" s="50">
        <f t="shared" si="3"/>
        <v>32</v>
      </c>
      <c r="Q21" s="49" t="str">
        <f t="shared" si="4"/>
        <v>OK</v>
      </c>
      <c r="R21" s="176"/>
      <c r="S21" s="177">
        <v>6</v>
      </c>
      <c r="T21" s="177">
        <v>2</v>
      </c>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206</v>
      </c>
      <c r="I22" s="33"/>
      <c r="J22" s="33"/>
      <c r="K22" s="33"/>
      <c r="L22" s="33"/>
      <c r="M22" s="33"/>
      <c r="N22" s="33"/>
      <c r="O22" s="33"/>
      <c r="P22" s="33">
        <f>SUM(P4:P21)</f>
        <v>173</v>
      </c>
      <c r="R22" s="178">
        <v>414.92</v>
      </c>
      <c r="S22" s="178">
        <v>311.16000000000003</v>
      </c>
      <c r="T22" s="178">
        <v>391.84</v>
      </c>
      <c r="U22" s="14">
        <f t="shared" ref="R22:AN22" si="5">SUMPRODUCT($G$4:$G$21,U4:U21)</f>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9"/>
      <c r="S23" s="179"/>
      <c r="T23" s="179"/>
    </row>
    <row r="24" spans="1:40" x14ac:dyDescent="0.35">
      <c r="H24" s="44">
        <f>SUMPRODUCT($G$4:$G$21,H4:H21)</f>
        <v>4223.37</v>
      </c>
      <c r="I24" s="44">
        <f>SUMPRODUCT($G$4:$G$21,I4:I21)</f>
        <v>1117.92</v>
      </c>
      <c r="J24" s="44">
        <f>SUMPRODUCT($G$4:$G$21,J4:J21)</f>
        <v>1117.92</v>
      </c>
      <c r="R24" s="179"/>
      <c r="S24" s="179"/>
      <c r="T24" s="179"/>
    </row>
  </sheetData>
  <mergeCells count="9">
    <mergeCell ref="A20:A21"/>
    <mergeCell ref="B20:B21"/>
    <mergeCell ref="A1:C1"/>
    <mergeCell ref="D1:H1"/>
    <mergeCell ref="I1:Q1"/>
    <mergeCell ref="A4:A19"/>
    <mergeCell ref="B4:B19"/>
    <mergeCell ref="A2:H2"/>
    <mergeCell ref="I2:Q2"/>
  </mergeCells>
  <conditionalFormatting sqref="G4:G21">
    <cfRule type="expression" dxfId="37" priority="4">
      <formula>#REF!&lt;0.25</formula>
    </cfRule>
  </conditionalFormatting>
  <conditionalFormatting sqref="P4:P21">
    <cfRule type="cellIs" dxfId="36" priority="3" operator="lessThan">
      <formula>0</formula>
    </cfRule>
  </conditionalFormatting>
  <conditionalFormatting sqref="Q4:Q21">
    <cfRule type="containsText" dxfId="35" priority="2" operator="containsText" text="ATENÇÃO">
      <formula>NOT(ISERROR(SEARCH("ATENÇÃO",Q4)))</formula>
    </cfRule>
  </conditionalFormatting>
  <conditionalFormatting sqref="U4:AN21">
    <cfRule type="cellIs" dxfId="34"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9C594-7B36-4118-A5E5-D824FAFBB595}">
  <dimension ref="A1:AN24"/>
  <sheetViews>
    <sheetView topLeftCell="A13" zoomScale="70" zoomScaleNormal="70" workbookViewId="0">
      <selection activeCell="R25" sqref="R25"/>
    </sheetView>
  </sheetViews>
  <sheetFormatPr defaultColWidth="9.7265625" defaultRowHeight="14.5" x14ac:dyDescent="0.35"/>
  <cols>
    <col min="1" max="1" width="6.1796875" style="1" customWidth="1"/>
    <col min="2" max="2" width="13.7265625" style="1" customWidth="1"/>
    <col min="3" max="3" width="10.26953125" style="1" customWidth="1"/>
    <col min="4" max="4" width="25" style="12" customWidth="1"/>
    <col min="5" max="5" width="11.1796875" style="1" customWidth="1"/>
    <col min="6" max="6" width="16" style="1" customWidth="1"/>
    <col min="7" max="7" width="12.7265625" style="1" customWidth="1"/>
    <col min="8" max="15" width="9.08984375" style="6" customWidth="1"/>
    <col min="16" max="16" width="9.08984375" style="13" customWidth="1"/>
    <col min="17" max="17" width="9.08984375" style="4" customWidth="1"/>
    <col min="18" max="29" width="12.7265625" style="5" customWidth="1"/>
    <col min="30" max="40" width="12.7265625" style="2" customWidth="1"/>
    <col min="41" max="16384" width="9.7265625" style="2"/>
  </cols>
  <sheetData>
    <row r="1" spans="1:40" ht="54.75" customHeight="1" x14ac:dyDescent="0.35">
      <c r="A1" s="104" t="s">
        <v>42</v>
      </c>
      <c r="B1" s="104"/>
      <c r="C1" s="104"/>
      <c r="D1" s="101" t="s">
        <v>43</v>
      </c>
      <c r="E1" s="102"/>
      <c r="F1" s="102"/>
      <c r="G1" s="102"/>
      <c r="H1" s="102"/>
      <c r="I1" s="101" t="s">
        <v>44</v>
      </c>
      <c r="J1" s="102"/>
      <c r="K1" s="102"/>
      <c r="L1" s="102"/>
      <c r="M1" s="102"/>
      <c r="N1" s="102"/>
      <c r="O1" s="102"/>
      <c r="P1" s="102"/>
      <c r="Q1" s="103"/>
      <c r="R1" s="166" t="s">
        <v>115</v>
      </c>
      <c r="S1" s="18" t="s">
        <v>45</v>
      </c>
      <c r="T1" s="18" t="s">
        <v>45</v>
      </c>
      <c r="U1" s="18" t="s">
        <v>45</v>
      </c>
      <c r="V1" s="18" t="s">
        <v>45</v>
      </c>
      <c r="W1" s="18" t="s">
        <v>45</v>
      </c>
      <c r="X1" s="18" t="s">
        <v>45</v>
      </c>
      <c r="Y1" s="18" t="s">
        <v>45</v>
      </c>
      <c r="Z1" s="18" t="s">
        <v>45</v>
      </c>
      <c r="AA1" s="18" t="s">
        <v>45</v>
      </c>
      <c r="AB1" s="18" t="s">
        <v>45</v>
      </c>
      <c r="AC1" s="18" t="s">
        <v>45</v>
      </c>
      <c r="AD1" s="18" t="s">
        <v>45</v>
      </c>
      <c r="AE1" s="18" t="s">
        <v>45</v>
      </c>
      <c r="AF1" s="18" t="s">
        <v>45</v>
      </c>
      <c r="AG1" s="18" t="s">
        <v>45</v>
      </c>
      <c r="AH1" s="18" t="s">
        <v>45</v>
      </c>
      <c r="AI1" s="18" t="s">
        <v>45</v>
      </c>
      <c r="AJ1" s="18" t="s">
        <v>45</v>
      </c>
      <c r="AK1" s="18" t="s">
        <v>45</v>
      </c>
      <c r="AL1" s="18" t="s">
        <v>45</v>
      </c>
      <c r="AM1" s="18" t="s">
        <v>45</v>
      </c>
      <c r="AN1" s="18" t="s">
        <v>45</v>
      </c>
    </row>
    <row r="2" spans="1:40" ht="21.75" customHeight="1" x14ac:dyDescent="0.35">
      <c r="A2" s="101" t="s">
        <v>26</v>
      </c>
      <c r="B2" s="102"/>
      <c r="C2" s="102"/>
      <c r="D2" s="102"/>
      <c r="E2" s="102"/>
      <c r="F2" s="102"/>
      <c r="G2" s="102"/>
      <c r="H2" s="103"/>
      <c r="I2" s="98" t="s">
        <v>75</v>
      </c>
      <c r="J2" s="99"/>
      <c r="K2" s="99"/>
      <c r="L2" s="99"/>
      <c r="M2" s="99"/>
      <c r="N2" s="99"/>
      <c r="O2" s="99"/>
      <c r="P2" s="99"/>
      <c r="Q2" s="100"/>
      <c r="R2" s="166" t="s">
        <v>116</v>
      </c>
      <c r="S2" s="18" t="s">
        <v>16</v>
      </c>
      <c r="T2" s="18" t="s">
        <v>16</v>
      </c>
      <c r="U2" s="18" t="s">
        <v>16</v>
      </c>
      <c r="V2" s="18" t="s">
        <v>16</v>
      </c>
      <c r="W2" s="18" t="s">
        <v>16</v>
      </c>
      <c r="X2" s="18" t="s">
        <v>16</v>
      </c>
      <c r="Y2" s="18" t="s">
        <v>16</v>
      </c>
      <c r="Z2" s="18" t="s">
        <v>16</v>
      </c>
      <c r="AA2" s="18" t="s">
        <v>16</v>
      </c>
      <c r="AB2" s="18" t="s">
        <v>16</v>
      </c>
      <c r="AC2" s="18" t="s">
        <v>16</v>
      </c>
      <c r="AD2" s="18" t="s">
        <v>16</v>
      </c>
      <c r="AE2" s="18" t="s">
        <v>16</v>
      </c>
      <c r="AF2" s="18" t="s">
        <v>16</v>
      </c>
      <c r="AG2" s="18" t="s">
        <v>16</v>
      </c>
      <c r="AH2" s="18" t="s">
        <v>16</v>
      </c>
      <c r="AI2" s="18" t="s">
        <v>16</v>
      </c>
      <c r="AJ2" s="18" t="s">
        <v>16</v>
      </c>
      <c r="AK2" s="18" t="s">
        <v>16</v>
      </c>
      <c r="AL2" s="18" t="s">
        <v>16</v>
      </c>
      <c r="AM2" s="18" t="s">
        <v>16</v>
      </c>
      <c r="AN2" s="18" t="s">
        <v>16</v>
      </c>
    </row>
    <row r="3" spans="1:40" s="3" customFormat="1" ht="43.5" customHeight="1" x14ac:dyDescent="0.25">
      <c r="A3" s="9" t="s">
        <v>1</v>
      </c>
      <c r="B3" s="9" t="s">
        <v>10</v>
      </c>
      <c r="C3" s="9" t="s">
        <v>9</v>
      </c>
      <c r="D3" s="9" t="s">
        <v>13</v>
      </c>
      <c r="E3" s="9" t="s">
        <v>25</v>
      </c>
      <c r="F3" s="9" t="s">
        <v>14</v>
      </c>
      <c r="G3" s="9" t="s">
        <v>15</v>
      </c>
      <c r="H3" s="41" t="s">
        <v>3</v>
      </c>
      <c r="I3" s="10" t="s">
        <v>23</v>
      </c>
      <c r="J3" s="10" t="s">
        <v>24</v>
      </c>
      <c r="K3" s="10" t="s">
        <v>18</v>
      </c>
      <c r="L3" s="10" t="s">
        <v>19</v>
      </c>
      <c r="M3" s="10" t="s">
        <v>20</v>
      </c>
      <c r="N3" s="10" t="s">
        <v>21</v>
      </c>
      <c r="O3" s="10" t="s">
        <v>22</v>
      </c>
      <c r="P3" s="40" t="s">
        <v>0</v>
      </c>
      <c r="Q3" s="8" t="s">
        <v>2</v>
      </c>
      <c r="R3" s="167">
        <v>45783</v>
      </c>
      <c r="S3" s="15" t="s">
        <v>17</v>
      </c>
      <c r="T3" s="15" t="s">
        <v>17</v>
      </c>
      <c r="U3" s="15" t="s">
        <v>17</v>
      </c>
      <c r="V3" s="15" t="s">
        <v>17</v>
      </c>
      <c r="W3" s="15" t="s">
        <v>17</v>
      </c>
      <c r="X3" s="15" t="s">
        <v>17</v>
      </c>
      <c r="Y3" s="15" t="s">
        <v>17</v>
      </c>
      <c r="Z3" s="15" t="s">
        <v>17</v>
      </c>
      <c r="AA3" s="15" t="s">
        <v>17</v>
      </c>
      <c r="AB3" s="15" t="s">
        <v>17</v>
      </c>
      <c r="AC3" s="15" t="s">
        <v>17</v>
      </c>
      <c r="AD3" s="15" t="s">
        <v>17</v>
      </c>
      <c r="AE3" s="15" t="s">
        <v>17</v>
      </c>
      <c r="AF3" s="15" t="s">
        <v>17</v>
      </c>
      <c r="AG3" s="15" t="s">
        <v>17</v>
      </c>
      <c r="AH3" s="15" t="s">
        <v>17</v>
      </c>
      <c r="AI3" s="15" t="s">
        <v>17</v>
      </c>
      <c r="AJ3" s="15" t="s">
        <v>17</v>
      </c>
      <c r="AK3" s="15" t="s">
        <v>17</v>
      </c>
      <c r="AL3" s="15" t="s">
        <v>17</v>
      </c>
      <c r="AM3" s="15" t="s">
        <v>17</v>
      </c>
      <c r="AN3" s="15" t="s">
        <v>17</v>
      </c>
    </row>
    <row r="4" spans="1:40" ht="48.75" customHeight="1" x14ac:dyDescent="0.35">
      <c r="A4" s="107" t="s">
        <v>46</v>
      </c>
      <c r="B4" s="109" t="s">
        <v>47</v>
      </c>
      <c r="C4" s="21">
        <v>1</v>
      </c>
      <c r="D4" s="47" t="s">
        <v>54</v>
      </c>
      <c r="E4" s="28" t="s">
        <v>53</v>
      </c>
      <c r="F4" s="24" t="s">
        <v>50</v>
      </c>
      <c r="G4" s="25">
        <v>5.84</v>
      </c>
      <c r="H4" s="31">
        <v>200</v>
      </c>
      <c r="I4" s="34">
        <f>IF(SUM(R4:AN4)&gt;H4+K4,H4+K4,SUM(R4:AN4))</f>
        <v>0</v>
      </c>
      <c r="J4" s="34">
        <f>(SUM(R4:AN4))</f>
        <v>0</v>
      </c>
      <c r="K4" s="35"/>
      <c r="L4" s="37">
        <f>ROUND(IF(H4*0.25-0.5&lt;0,0,H4*0.25-0.5),0)-O4-M4</f>
        <v>50</v>
      </c>
      <c r="M4" s="35"/>
      <c r="N4" s="35"/>
      <c r="O4" s="35"/>
      <c r="P4" s="50">
        <f>H4-(SUM(R4:AN4))+K4+M4+N4-O4</f>
        <v>200</v>
      </c>
      <c r="Q4" s="49" t="str">
        <f>IF(P4&lt;0,"ATENÇÃO","OK")</f>
        <v>OK</v>
      </c>
      <c r="R4" s="168"/>
      <c r="S4" s="19"/>
      <c r="T4" s="19"/>
      <c r="U4" s="19"/>
      <c r="V4" s="19"/>
      <c r="W4" s="19"/>
      <c r="X4" s="19"/>
      <c r="Y4" s="19"/>
      <c r="Z4" s="19"/>
      <c r="AA4" s="19"/>
      <c r="AB4" s="19"/>
      <c r="AC4" s="19"/>
      <c r="AD4" s="38"/>
      <c r="AE4" s="38"/>
      <c r="AF4" s="38"/>
      <c r="AG4" s="38"/>
      <c r="AH4" s="38"/>
      <c r="AI4" s="38"/>
      <c r="AJ4" s="38"/>
      <c r="AK4" s="38"/>
      <c r="AL4" s="38"/>
      <c r="AM4" s="38"/>
      <c r="AN4" s="38"/>
    </row>
    <row r="5" spans="1:40" s="7" customFormat="1" ht="48.75" customHeight="1" x14ac:dyDescent="0.35">
      <c r="A5" s="107"/>
      <c r="B5" s="106"/>
      <c r="C5" s="23">
        <v>2</v>
      </c>
      <c r="D5" s="47" t="s">
        <v>55</v>
      </c>
      <c r="E5" s="28" t="s">
        <v>53</v>
      </c>
      <c r="F5" s="24" t="s">
        <v>50</v>
      </c>
      <c r="G5" s="25">
        <v>6.13</v>
      </c>
      <c r="H5" s="32">
        <v>0</v>
      </c>
      <c r="I5" s="34">
        <f t="shared" ref="I5:I21" si="0">IF(SUM(R5:AN5)&gt;H5+K5,H5+K5,SUM(R5:AN5))</f>
        <v>0</v>
      </c>
      <c r="J5" s="34">
        <f t="shared" ref="J5:J21" si="1">(SUM(R5:AN5))</f>
        <v>0</v>
      </c>
      <c r="K5" s="36"/>
      <c r="L5" s="37">
        <f t="shared" ref="L5:L21" si="2">ROUND(IF(H5*0.25-0.5&lt;0,0,H5*0.25-0.5),0)-O5-M5</f>
        <v>0</v>
      </c>
      <c r="M5" s="36"/>
      <c r="N5" s="36"/>
      <c r="O5" s="36"/>
      <c r="P5" s="50">
        <f t="shared" ref="P5:P21" si="3">H5-(SUM(R5:AN5))+K5+M5+N5-O5</f>
        <v>0</v>
      </c>
      <c r="Q5" s="49" t="str">
        <f t="shared" ref="Q5:Q21" si="4">IF(P5&lt;0,"ATENÇÃO","OK")</f>
        <v>OK</v>
      </c>
      <c r="R5" s="168"/>
      <c r="S5" s="19"/>
      <c r="T5" s="19"/>
      <c r="U5" s="19"/>
      <c r="V5" s="19"/>
      <c r="W5" s="19"/>
      <c r="X5" s="19"/>
      <c r="Y5" s="19"/>
      <c r="Z5" s="19"/>
      <c r="AA5" s="19"/>
      <c r="AB5" s="19"/>
      <c r="AC5" s="19"/>
      <c r="AD5" s="39"/>
      <c r="AE5" s="39"/>
      <c r="AF5" s="39"/>
      <c r="AG5" s="39"/>
      <c r="AH5" s="39"/>
      <c r="AI5" s="39"/>
      <c r="AJ5" s="39"/>
      <c r="AK5" s="39"/>
      <c r="AL5" s="39"/>
      <c r="AM5" s="39"/>
      <c r="AN5" s="39"/>
    </row>
    <row r="6" spans="1:40" s="7" customFormat="1" ht="48.75" customHeight="1" x14ac:dyDescent="0.35">
      <c r="A6" s="107"/>
      <c r="B6" s="106"/>
      <c r="C6" s="21">
        <v>3</v>
      </c>
      <c r="D6" s="47" t="s">
        <v>56</v>
      </c>
      <c r="E6" s="28" t="s">
        <v>53</v>
      </c>
      <c r="F6" s="24" t="s">
        <v>50</v>
      </c>
      <c r="G6" s="25">
        <v>6.13</v>
      </c>
      <c r="H6" s="32">
        <v>0</v>
      </c>
      <c r="I6" s="34">
        <f t="shared" si="0"/>
        <v>0</v>
      </c>
      <c r="J6" s="34">
        <f t="shared" si="1"/>
        <v>0</v>
      </c>
      <c r="K6" s="36"/>
      <c r="L6" s="37">
        <f t="shared" si="2"/>
        <v>0</v>
      </c>
      <c r="M6" s="36"/>
      <c r="N6" s="36"/>
      <c r="O6" s="36"/>
      <c r="P6" s="50">
        <f t="shared" si="3"/>
        <v>0</v>
      </c>
      <c r="Q6" s="49" t="str">
        <f t="shared" si="4"/>
        <v>OK</v>
      </c>
      <c r="R6" s="168"/>
      <c r="S6" s="19"/>
      <c r="T6" s="19"/>
      <c r="U6" s="19"/>
      <c r="V6" s="19"/>
      <c r="W6" s="19"/>
      <c r="X6" s="19"/>
      <c r="Y6" s="19"/>
      <c r="Z6" s="19"/>
      <c r="AA6" s="19"/>
      <c r="AB6" s="19"/>
      <c r="AC6" s="19"/>
      <c r="AD6" s="39"/>
      <c r="AE6" s="39"/>
      <c r="AF6" s="39"/>
      <c r="AG6" s="39"/>
      <c r="AH6" s="39"/>
      <c r="AI6" s="39"/>
      <c r="AJ6" s="39"/>
      <c r="AK6" s="39"/>
      <c r="AL6" s="39"/>
      <c r="AM6" s="39"/>
      <c r="AN6" s="39"/>
    </row>
    <row r="7" spans="1:40" s="7" customFormat="1" ht="48.75" customHeight="1" x14ac:dyDescent="0.35">
      <c r="A7" s="107"/>
      <c r="B7" s="106"/>
      <c r="C7" s="23">
        <v>4</v>
      </c>
      <c r="D7" s="47" t="s">
        <v>57</v>
      </c>
      <c r="E7" s="28" t="s">
        <v>53</v>
      </c>
      <c r="F7" s="24" t="s">
        <v>50</v>
      </c>
      <c r="G7" s="25">
        <v>4.38</v>
      </c>
      <c r="H7" s="32">
        <v>0</v>
      </c>
      <c r="I7" s="34">
        <f t="shared" si="0"/>
        <v>0</v>
      </c>
      <c r="J7" s="34">
        <f t="shared" si="1"/>
        <v>0</v>
      </c>
      <c r="K7" s="36"/>
      <c r="L7" s="37">
        <f t="shared" si="2"/>
        <v>0</v>
      </c>
      <c r="M7" s="36"/>
      <c r="N7" s="36"/>
      <c r="O7" s="36"/>
      <c r="P7" s="50">
        <f t="shared" si="3"/>
        <v>0</v>
      </c>
      <c r="Q7" s="49" t="str">
        <f t="shared" si="4"/>
        <v>OK</v>
      </c>
      <c r="R7" s="168"/>
      <c r="S7" s="19"/>
      <c r="T7" s="19"/>
      <c r="U7" s="19"/>
      <c r="V7" s="19"/>
      <c r="W7" s="19"/>
      <c r="X7" s="19"/>
      <c r="Y7" s="19"/>
      <c r="Z7" s="19"/>
      <c r="AA7" s="19"/>
      <c r="AB7" s="19"/>
      <c r="AC7" s="19"/>
      <c r="AD7" s="39"/>
      <c r="AE7" s="39"/>
      <c r="AF7" s="39"/>
      <c r="AG7" s="39"/>
      <c r="AH7" s="39"/>
      <c r="AI7" s="39"/>
      <c r="AJ7" s="39"/>
      <c r="AK7" s="39"/>
      <c r="AL7" s="39"/>
      <c r="AM7" s="39"/>
      <c r="AN7" s="39"/>
    </row>
    <row r="8" spans="1:40" s="7" customFormat="1" ht="48.75" customHeight="1" x14ac:dyDescent="0.35">
      <c r="A8" s="107"/>
      <c r="B8" s="106"/>
      <c r="C8" s="21">
        <v>5</v>
      </c>
      <c r="D8" s="47" t="s">
        <v>58</v>
      </c>
      <c r="E8" s="28" t="s">
        <v>53</v>
      </c>
      <c r="F8" s="24" t="s">
        <v>50</v>
      </c>
      <c r="G8" s="25">
        <v>73.08</v>
      </c>
      <c r="H8" s="32">
        <v>0</v>
      </c>
      <c r="I8" s="34">
        <f t="shared" si="0"/>
        <v>0</v>
      </c>
      <c r="J8" s="34">
        <f t="shared" si="1"/>
        <v>0</v>
      </c>
      <c r="K8" s="36"/>
      <c r="L8" s="37">
        <f t="shared" si="2"/>
        <v>0</v>
      </c>
      <c r="M8" s="36"/>
      <c r="N8" s="36"/>
      <c r="O8" s="36"/>
      <c r="P8" s="50">
        <f t="shared" si="3"/>
        <v>0</v>
      </c>
      <c r="Q8" s="49" t="str">
        <f t="shared" si="4"/>
        <v>OK</v>
      </c>
      <c r="R8" s="168"/>
      <c r="S8" s="16"/>
      <c r="T8" s="19"/>
      <c r="U8" s="19"/>
      <c r="V8" s="19"/>
      <c r="W8" s="19"/>
      <c r="X8" s="19"/>
      <c r="Y8" s="19"/>
      <c r="Z8" s="19"/>
      <c r="AA8" s="19"/>
      <c r="AB8" s="19"/>
      <c r="AC8" s="19"/>
      <c r="AD8" s="39"/>
      <c r="AE8" s="39"/>
      <c r="AF8" s="39"/>
      <c r="AG8" s="39"/>
      <c r="AH8" s="39"/>
      <c r="AI8" s="39"/>
      <c r="AJ8" s="39"/>
      <c r="AK8" s="39"/>
      <c r="AL8" s="39"/>
      <c r="AM8" s="39"/>
      <c r="AN8" s="39"/>
    </row>
    <row r="9" spans="1:40" s="7" customFormat="1" ht="48.75" customHeight="1" x14ac:dyDescent="0.35">
      <c r="A9" s="107"/>
      <c r="B9" s="106"/>
      <c r="C9" s="23">
        <v>6</v>
      </c>
      <c r="D9" s="47" t="s">
        <v>59</v>
      </c>
      <c r="E9" s="28" t="s">
        <v>53</v>
      </c>
      <c r="F9" s="24" t="s">
        <v>50</v>
      </c>
      <c r="G9" s="25">
        <v>73.08</v>
      </c>
      <c r="H9" s="32">
        <v>0</v>
      </c>
      <c r="I9" s="34">
        <f t="shared" si="0"/>
        <v>0</v>
      </c>
      <c r="J9" s="34">
        <f t="shared" si="1"/>
        <v>0</v>
      </c>
      <c r="K9" s="36"/>
      <c r="L9" s="37">
        <f t="shared" si="2"/>
        <v>0</v>
      </c>
      <c r="M9" s="36"/>
      <c r="N9" s="36"/>
      <c r="O9" s="36"/>
      <c r="P9" s="50">
        <f t="shared" si="3"/>
        <v>0</v>
      </c>
      <c r="Q9" s="49" t="str">
        <f t="shared" si="4"/>
        <v>OK</v>
      </c>
      <c r="R9" s="168"/>
      <c r="S9" s="16"/>
      <c r="T9" s="19"/>
      <c r="U9" s="19"/>
      <c r="V9" s="19"/>
      <c r="W9" s="19"/>
      <c r="X9" s="19"/>
      <c r="Y9" s="19"/>
      <c r="Z9" s="19"/>
      <c r="AA9" s="19"/>
      <c r="AB9" s="19"/>
      <c r="AC9" s="19"/>
      <c r="AD9" s="39"/>
      <c r="AE9" s="39"/>
      <c r="AF9" s="39"/>
      <c r="AG9" s="39"/>
      <c r="AH9" s="39"/>
      <c r="AI9" s="39"/>
      <c r="AJ9" s="39"/>
      <c r="AK9" s="39"/>
      <c r="AL9" s="39"/>
      <c r="AM9" s="39"/>
      <c r="AN9" s="39"/>
    </row>
    <row r="10" spans="1:40" s="7" customFormat="1" ht="48.75" customHeight="1" x14ac:dyDescent="0.35">
      <c r="A10" s="107"/>
      <c r="B10" s="106"/>
      <c r="C10" s="21">
        <v>7</v>
      </c>
      <c r="D10" s="47" t="s">
        <v>60</v>
      </c>
      <c r="E10" s="28" t="s">
        <v>53</v>
      </c>
      <c r="F10" s="24" t="s">
        <v>50</v>
      </c>
      <c r="G10" s="25">
        <v>43.85</v>
      </c>
      <c r="H10" s="32">
        <v>200</v>
      </c>
      <c r="I10" s="34">
        <f t="shared" si="0"/>
        <v>0</v>
      </c>
      <c r="J10" s="34">
        <f t="shared" si="1"/>
        <v>0</v>
      </c>
      <c r="K10" s="36"/>
      <c r="L10" s="37">
        <f t="shared" si="2"/>
        <v>50</v>
      </c>
      <c r="M10" s="36"/>
      <c r="N10" s="36"/>
      <c r="O10" s="36"/>
      <c r="P10" s="50">
        <f t="shared" si="3"/>
        <v>200</v>
      </c>
      <c r="Q10" s="49" t="str">
        <f t="shared" si="4"/>
        <v>OK</v>
      </c>
      <c r="R10" s="168"/>
      <c r="S10" s="16"/>
      <c r="T10" s="19"/>
      <c r="U10" s="19"/>
      <c r="V10" s="19"/>
      <c r="W10" s="19"/>
      <c r="X10" s="19"/>
      <c r="Y10" s="19"/>
      <c r="Z10" s="19"/>
      <c r="AA10" s="19"/>
      <c r="AB10" s="19"/>
      <c r="AC10" s="19"/>
      <c r="AD10" s="39"/>
      <c r="AE10" s="39"/>
      <c r="AF10" s="39"/>
      <c r="AG10" s="39"/>
      <c r="AH10" s="39"/>
      <c r="AI10" s="39"/>
      <c r="AJ10" s="39"/>
      <c r="AK10" s="39"/>
      <c r="AL10" s="39"/>
      <c r="AM10" s="39"/>
      <c r="AN10" s="39"/>
    </row>
    <row r="11" spans="1:40" s="7" customFormat="1" ht="48.75" customHeight="1" x14ac:dyDescent="0.35">
      <c r="A11" s="107"/>
      <c r="B11" s="106"/>
      <c r="C11" s="23">
        <v>8</v>
      </c>
      <c r="D11" s="47" t="s">
        <v>61</v>
      </c>
      <c r="E11" s="28" t="s">
        <v>53</v>
      </c>
      <c r="F11" s="24" t="s">
        <v>50</v>
      </c>
      <c r="G11" s="25">
        <v>102.32</v>
      </c>
      <c r="H11" s="32">
        <v>0</v>
      </c>
      <c r="I11" s="34">
        <f t="shared" si="0"/>
        <v>0</v>
      </c>
      <c r="J11" s="34">
        <f t="shared" si="1"/>
        <v>0</v>
      </c>
      <c r="K11" s="36"/>
      <c r="L11" s="37">
        <f t="shared" si="2"/>
        <v>0</v>
      </c>
      <c r="M11" s="36"/>
      <c r="N11" s="36"/>
      <c r="O11" s="36"/>
      <c r="P11" s="50">
        <f t="shared" si="3"/>
        <v>0</v>
      </c>
      <c r="Q11" s="49" t="str">
        <f t="shared" si="4"/>
        <v>OK</v>
      </c>
      <c r="R11" s="168"/>
      <c r="S11" s="16"/>
      <c r="T11" s="19"/>
      <c r="U11" s="19"/>
      <c r="V11" s="19"/>
      <c r="W11" s="19"/>
      <c r="X11" s="19"/>
      <c r="Y11" s="19"/>
      <c r="Z11" s="19"/>
      <c r="AA11" s="19"/>
      <c r="AB11" s="19"/>
      <c r="AC11" s="19"/>
      <c r="AD11" s="39"/>
      <c r="AE11" s="39"/>
      <c r="AF11" s="39"/>
      <c r="AG11" s="39"/>
      <c r="AH11" s="39"/>
      <c r="AI11" s="39"/>
      <c r="AJ11" s="39"/>
      <c r="AK11" s="39"/>
      <c r="AL11" s="39"/>
      <c r="AM11" s="39"/>
      <c r="AN11" s="39"/>
    </row>
    <row r="12" spans="1:40" s="7" customFormat="1" ht="48.75" customHeight="1" x14ac:dyDescent="0.35">
      <c r="A12" s="107"/>
      <c r="B12" s="106"/>
      <c r="C12" s="21">
        <v>9</v>
      </c>
      <c r="D12" s="47" t="s">
        <v>62</v>
      </c>
      <c r="E12" s="28" t="s">
        <v>53</v>
      </c>
      <c r="F12" s="24" t="s">
        <v>50</v>
      </c>
      <c r="G12" s="25">
        <v>102.32</v>
      </c>
      <c r="H12" s="32">
        <v>0</v>
      </c>
      <c r="I12" s="34">
        <f t="shared" si="0"/>
        <v>0</v>
      </c>
      <c r="J12" s="34">
        <f t="shared" si="1"/>
        <v>0</v>
      </c>
      <c r="K12" s="36"/>
      <c r="L12" s="37">
        <f t="shared" si="2"/>
        <v>0</v>
      </c>
      <c r="M12" s="36"/>
      <c r="N12" s="36"/>
      <c r="O12" s="36"/>
      <c r="P12" s="50">
        <f t="shared" si="3"/>
        <v>0</v>
      </c>
      <c r="Q12" s="49" t="str">
        <f t="shared" si="4"/>
        <v>OK</v>
      </c>
      <c r="R12" s="168"/>
      <c r="S12" s="16"/>
      <c r="T12" s="19"/>
      <c r="U12" s="19"/>
      <c r="V12" s="19"/>
      <c r="W12" s="19"/>
      <c r="X12" s="19"/>
      <c r="Y12" s="19"/>
      <c r="Z12" s="19"/>
      <c r="AA12" s="19"/>
      <c r="AB12" s="19"/>
      <c r="AC12" s="19"/>
      <c r="AD12" s="39"/>
      <c r="AE12" s="39"/>
      <c r="AF12" s="39"/>
      <c r="AG12" s="39"/>
      <c r="AH12" s="39"/>
      <c r="AI12" s="39"/>
      <c r="AJ12" s="39"/>
      <c r="AK12" s="39"/>
      <c r="AL12" s="39"/>
      <c r="AM12" s="39"/>
      <c r="AN12" s="39"/>
    </row>
    <row r="13" spans="1:40" s="7" customFormat="1" ht="48.75" customHeight="1" x14ac:dyDescent="0.35">
      <c r="A13" s="107"/>
      <c r="B13" s="106"/>
      <c r="C13" s="23">
        <v>10</v>
      </c>
      <c r="D13" s="47" t="s">
        <v>63</v>
      </c>
      <c r="E13" s="28" t="s">
        <v>53</v>
      </c>
      <c r="F13" s="24" t="s">
        <v>50</v>
      </c>
      <c r="G13" s="25">
        <v>102.32</v>
      </c>
      <c r="H13" s="32">
        <v>0</v>
      </c>
      <c r="I13" s="34">
        <f t="shared" si="0"/>
        <v>0</v>
      </c>
      <c r="J13" s="34">
        <f t="shared" si="1"/>
        <v>0</v>
      </c>
      <c r="K13" s="36"/>
      <c r="L13" s="37">
        <f t="shared" si="2"/>
        <v>0</v>
      </c>
      <c r="M13" s="36"/>
      <c r="N13" s="36"/>
      <c r="O13" s="36"/>
      <c r="P13" s="50">
        <f t="shared" si="3"/>
        <v>0</v>
      </c>
      <c r="Q13" s="49" t="str">
        <f t="shared" si="4"/>
        <v>OK</v>
      </c>
      <c r="R13" s="168"/>
      <c r="S13" s="16"/>
      <c r="T13" s="19"/>
      <c r="U13" s="19"/>
      <c r="V13" s="19"/>
      <c r="W13" s="19"/>
      <c r="X13" s="19"/>
      <c r="Y13" s="19"/>
      <c r="Z13" s="19"/>
      <c r="AA13" s="19"/>
      <c r="AB13" s="19"/>
      <c r="AC13" s="19"/>
      <c r="AD13" s="39"/>
      <c r="AE13" s="39"/>
      <c r="AF13" s="39"/>
      <c r="AG13" s="39"/>
      <c r="AH13" s="39"/>
      <c r="AI13" s="39"/>
      <c r="AJ13" s="39"/>
      <c r="AK13" s="39"/>
      <c r="AL13" s="39"/>
      <c r="AM13" s="39"/>
      <c r="AN13" s="39"/>
    </row>
    <row r="14" spans="1:40" s="7" customFormat="1" ht="48.75" customHeight="1" x14ac:dyDescent="0.35">
      <c r="A14" s="107"/>
      <c r="B14" s="106"/>
      <c r="C14" s="21">
        <v>11</v>
      </c>
      <c r="D14" s="47" t="s">
        <v>64</v>
      </c>
      <c r="E14" s="28" t="s">
        <v>53</v>
      </c>
      <c r="F14" s="24" t="s">
        <v>50</v>
      </c>
      <c r="G14" s="25">
        <v>102.32</v>
      </c>
      <c r="H14" s="32">
        <v>0</v>
      </c>
      <c r="I14" s="34">
        <f t="shared" si="0"/>
        <v>0</v>
      </c>
      <c r="J14" s="34">
        <f t="shared" si="1"/>
        <v>0</v>
      </c>
      <c r="K14" s="36"/>
      <c r="L14" s="37">
        <f t="shared" si="2"/>
        <v>0</v>
      </c>
      <c r="M14" s="36"/>
      <c r="N14" s="36"/>
      <c r="O14" s="36"/>
      <c r="P14" s="50">
        <f t="shared" si="3"/>
        <v>0</v>
      </c>
      <c r="Q14" s="49" t="str">
        <f t="shared" si="4"/>
        <v>OK</v>
      </c>
      <c r="R14" s="168"/>
      <c r="S14" s="16"/>
      <c r="T14" s="19"/>
      <c r="U14" s="19"/>
      <c r="V14" s="19"/>
      <c r="W14" s="19"/>
      <c r="X14" s="19"/>
      <c r="Y14" s="19"/>
      <c r="Z14" s="19"/>
      <c r="AA14" s="19"/>
      <c r="AB14" s="19"/>
      <c r="AC14" s="19"/>
      <c r="AD14" s="39"/>
      <c r="AE14" s="39"/>
      <c r="AF14" s="39"/>
      <c r="AG14" s="39"/>
      <c r="AH14" s="39"/>
      <c r="AI14" s="39"/>
      <c r="AJ14" s="39"/>
      <c r="AK14" s="39"/>
      <c r="AL14" s="39"/>
      <c r="AM14" s="39"/>
      <c r="AN14" s="39"/>
    </row>
    <row r="15" spans="1:40" s="7" customFormat="1" ht="48.75" customHeight="1" x14ac:dyDescent="0.35">
      <c r="A15" s="107"/>
      <c r="B15" s="106"/>
      <c r="C15" s="23">
        <v>12</v>
      </c>
      <c r="D15" s="47" t="s">
        <v>65</v>
      </c>
      <c r="E15" s="28" t="s">
        <v>53</v>
      </c>
      <c r="F15" s="24" t="s">
        <v>50</v>
      </c>
      <c r="G15" s="25">
        <v>87.7</v>
      </c>
      <c r="H15" s="32">
        <v>0</v>
      </c>
      <c r="I15" s="34">
        <f t="shared" si="0"/>
        <v>0</v>
      </c>
      <c r="J15" s="34">
        <f t="shared" si="1"/>
        <v>0</v>
      </c>
      <c r="K15" s="36"/>
      <c r="L15" s="37">
        <f t="shared" si="2"/>
        <v>0</v>
      </c>
      <c r="M15" s="36"/>
      <c r="N15" s="36"/>
      <c r="O15" s="36"/>
      <c r="P15" s="50">
        <f t="shared" si="3"/>
        <v>0</v>
      </c>
      <c r="Q15" s="49" t="str">
        <f t="shared" si="4"/>
        <v>OK</v>
      </c>
      <c r="R15" s="168"/>
      <c r="S15" s="16"/>
      <c r="T15" s="19"/>
      <c r="U15" s="19"/>
      <c r="V15" s="19"/>
      <c r="W15" s="19"/>
      <c r="X15" s="19"/>
      <c r="Y15" s="19"/>
      <c r="Z15" s="19"/>
      <c r="AA15" s="19"/>
      <c r="AB15" s="19"/>
      <c r="AC15" s="19"/>
      <c r="AD15" s="39"/>
      <c r="AE15" s="39"/>
      <c r="AF15" s="39"/>
      <c r="AG15" s="39"/>
      <c r="AH15" s="39"/>
      <c r="AI15" s="39"/>
      <c r="AJ15" s="39"/>
      <c r="AK15" s="39"/>
      <c r="AL15" s="39"/>
      <c r="AM15" s="39"/>
      <c r="AN15" s="39"/>
    </row>
    <row r="16" spans="1:40" s="7" customFormat="1" ht="48.75" customHeight="1" x14ac:dyDescent="0.35">
      <c r="A16" s="107"/>
      <c r="B16" s="106"/>
      <c r="C16" s="21">
        <v>13</v>
      </c>
      <c r="D16" s="47" t="s">
        <v>66</v>
      </c>
      <c r="E16" s="28" t="s">
        <v>53</v>
      </c>
      <c r="F16" s="24" t="s">
        <v>50</v>
      </c>
      <c r="G16" s="25">
        <v>73.08</v>
      </c>
      <c r="H16" s="32">
        <v>0</v>
      </c>
      <c r="I16" s="34">
        <f t="shared" si="0"/>
        <v>0</v>
      </c>
      <c r="J16" s="34">
        <f t="shared" si="1"/>
        <v>0</v>
      </c>
      <c r="K16" s="36"/>
      <c r="L16" s="37">
        <f t="shared" si="2"/>
        <v>0</v>
      </c>
      <c r="M16" s="36"/>
      <c r="N16" s="36"/>
      <c r="O16" s="36"/>
      <c r="P16" s="50">
        <f t="shared" si="3"/>
        <v>0</v>
      </c>
      <c r="Q16" s="49" t="str">
        <f t="shared" si="4"/>
        <v>OK</v>
      </c>
      <c r="R16" s="168"/>
      <c r="S16" s="16"/>
      <c r="T16" s="19"/>
      <c r="U16" s="19"/>
      <c r="V16" s="19"/>
      <c r="W16" s="19"/>
      <c r="X16" s="19"/>
      <c r="Y16" s="19"/>
      <c r="Z16" s="19"/>
      <c r="AA16" s="19"/>
      <c r="AB16" s="19"/>
      <c r="AC16" s="19"/>
      <c r="AD16" s="39"/>
      <c r="AE16" s="39"/>
      <c r="AF16" s="39"/>
      <c r="AG16" s="39"/>
      <c r="AH16" s="39"/>
      <c r="AI16" s="39"/>
      <c r="AJ16" s="39"/>
      <c r="AK16" s="39"/>
      <c r="AL16" s="39"/>
      <c r="AM16" s="39"/>
      <c r="AN16" s="39"/>
    </row>
    <row r="17" spans="1:40" s="7" customFormat="1" ht="48.75" customHeight="1" x14ac:dyDescent="0.35">
      <c r="A17" s="107"/>
      <c r="B17" s="106"/>
      <c r="C17" s="23">
        <v>14</v>
      </c>
      <c r="D17" s="47" t="s">
        <v>67</v>
      </c>
      <c r="E17" s="28" t="s">
        <v>53</v>
      </c>
      <c r="F17" s="24" t="s">
        <v>50</v>
      </c>
      <c r="G17" s="25">
        <v>43.85</v>
      </c>
      <c r="H17" s="32">
        <v>0</v>
      </c>
      <c r="I17" s="34">
        <f t="shared" si="0"/>
        <v>0</v>
      </c>
      <c r="J17" s="34">
        <f t="shared" si="1"/>
        <v>0</v>
      </c>
      <c r="K17" s="36"/>
      <c r="L17" s="37">
        <f t="shared" si="2"/>
        <v>0</v>
      </c>
      <c r="M17" s="36"/>
      <c r="N17" s="36"/>
      <c r="O17" s="36"/>
      <c r="P17" s="50">
        <f t="shared" si="3"/>
        <v>0</v>
      </c>
      <c r="Q17" s="49" t="str">
        <f t="shared" si="4"/>
        <v>OK</v>
      </c>
      <c r="R17" s="168"/>
      <c r="S17" s="16"/>
      <c r="T17" s="19"/>
      <c r="U17" s="19"/>
      <c r="V17" s="19"/>
      <c r="W17" s="19"/>
      <c r="X17" s="19"/>
      <c r="Y17" s="19"/>
      <c r="Z17" s="19"/>
      <c r="AA17" s="19"/>
      <c r="AB17" s="19"/>
      <c r="AC17" s="19"/>
      <c r="AD17" s="39"/>
      <c r="AE17" s="39"/>
      <c r="AF17" s="39"/>
      <c r="AG17" s="39"/>
      <c r="AH17" s="39"/>
      <c r="AI17" s="39"/>
      <c r="AJ17" s="39"/>
      <c r="AK17" s="39"/>
      <c r="AL17" s="39"/>
      <c r="AM17" s="39"/>
      <c r="AN17" s="39"/>
    </row>
    <row r="18" spans="1:40" s="7" customFormat="1" ht="48.75" customHeight="1" x14ac:dyDescent="0.35">
      <c r="A18" s="107"/>
      <c r="B18" s="106"/>
      <c r="C18" s="21">
        <v>15</v>
      </c>
      <c r="D18" s="47" t="s">
        <v>68</v>
      </c>
      <c r="E18" s="28" t="s">
        <v>53</v>
      </c>
      <c r="F18" s="24" t="s">
        <v>50</v>
      </c>
      <c r="G18" s="25">
        <v>52.62</v>
      </c>
      <c r="H18" s="32">
        <v>0</v>
      </c>
      <c r="I18" s="34">
        <f t="shared" si="0"/>
        <v>0</v>
      </c>
      <c r="J18" s="34">
        <f t="shared" si="1"/>
        <v>0</v>
      </c>
      <c r="K18" s="36"/>
      <c r="L18" s="37">
        <f t="shared" si="2"/>
        <v>0</v>
      </c>
      <c r="M18" s="36"/>
      <c r="N18" s="36"/>
      <c r="O18" s="36"/>
      <c r="P18" s="50">
        <f t="shared" si="3"/>
        <v>0</v>
      </c>
      <c r="Q18" s="49" t="str">
        <f t="shared" si="4"/>
        <v>OK</v>
      </c>
      <c r="R18" s="168"/>
      <c r="S18" s="16"/>
      <c r="T18" s="19"/>
      <c r="U18" s="19"/>
      <c r="V18" s="19"/>
      <c r="W18" s="19"/>
      <c r="X18" s="19"/>
      <c r="Y18" s="19"/>
      <c r="Z18" s="19"/>
      <c r="AA18" s="19"/>
      <c r="AB18" s="19"/>
      <c r="AC18" s="19"/>
      <c r="AD18" s="39"/>
      <c r="AE18" s="39"/>
      <c r="AF18" s="39"/>
      <c r="AG18" s="39"/>
      <c r="AH18" s="39"/>
      <c r="AI18" s="39"/>
      <c r="AJ18" s="39"/>
      <c r="AK18" s="39"/>
      <c r="AL18" s="39"/>
      <c r="AM18" s="39"/>
      <c r="AN18" s="39"/>
    </row>
    <row r="19" spans="1:40" s="7" customFormat="1" ht="48.75" customHeight="1" x14ac:dyDescent="0.35">
      <c r="A19" s="107"/>
      <c r="B19" s="106"/>
      <c r="C19" s="23">
        <v>16</v>
      </c>
      <c r="D19" s="47" t="s">
        <v>69</v>
      </c>
      <c r="E19" s="28" t="s">
        <v>53</v>
      </c>
      <c r="F19" s="24" t="s">
        <v>50</v>
      </c>
      <c r="G19" s="25">
        <v>102.32</v>
      </c>
      <c r="H19" s="32">
        <v>0</v>
      </c>
      <c r="I19" s="34">
        <f t="shared" si="0"/>
        <v>0</v>
      </c>
      <c r="J19" s="34">
        <f t="shared" si="1"/>
        <v>0</v>
      </c>
      <c r="K19" s="36"/>
      <c r="L19" s="37">
        <f t="shared" si="2"/>
        <v>0</v>
      </c>
      <c r="M19" s="36"/>
      <c r="N19" s="36"/>
      <c r="O19" s="36"/>
      <c r="P19" s="50">
        <f t="shared" si="3"/>
        <v>0</v>
      </c>
      <c r="Q19" s="49" t="str">
        <f t="shared" si="4"/>
        <v>OK</v>
      </c>
      <c r="R19" s="168"/>
      <c r="S19" s="16"/>
      <c r="T19" s="19"/>
      <c r="U19" s="19"/>
      <c r="V19" s="19"/>
      <c r="W19" s="19"/>
      <c r="X19" s="19"/>
      <c r="Y19" s="19"/>
      <c r="Z19" s="19"/>
      <c r="AA19" s="19"/>
      <c r="AB19" s="19"/>
      <c r="AC19" s="19"/>
      <c r="AD19" s="39"/>
      <c r="AE19" s="39"/>
      <c r="AF19" s="39"/>
      <c r="AG19" s="39"/>
      <c r="AH19" s="39"/>
      <c r="AI19" s="39"/>
      <c r="AJ19" s="39"/>
      <c r="AK19" s="39"/>
      <c r="AL19" s="39"/>
      <c r="AM19" s="39"/>
      <c r="AN19" s="39"/>
    </row>
    <row r="20" spans="1:40" s="7" customFormat="1" ht="48.75" customHeight="1" x14ac:dyDescent="0.35">
      <c r="A20" s="96" t="s">
        <v>48</v>
      </c>
      <c r="B20" s="108" t="s">
        <v>49</v>
      </c>
      <c r="C20" s="20">
        <v>17</v>
      </c>
      <c r="D20" s="48" t="s">
        <v>70</v>
      </c>
      <c r="E20" s="30" t="s">
        <v>53</v>
      </c>
      <c r="F20" s="26" t="s">
        <v>51</v>
      </c>
      <c r="G20" s="27">
        <v>288.12</v>
      </c>
      <c r="H20" s="32">
        <v>20</v>
      </c>
      <c r="I20" s="34">
        <f t="shared" si="0"/>
        <v>0</v>
      </c>
      <c r="J20" s="34">
        <f t="shared" si="1"/>
        <v>0</v>
      </c>
      <c r="K20" s="36"/>
      <c r="L20" s="37">
        <f t="shared" si="2"/>
        <v>5</v>
      </c>
      <c r="M20" s="36"/>
      <c r="N20" s="36"/>
      <c r="O20" s="36"/>
      <c r="P20" s="50">
        <f t="shared" si="3"/>
        <v>20</v>
      </c>
      <c r="Q20" s="49" t="str">
        <f t="shared" si="4"/>
        <v>OK</v>
      </c>
      <c r="R20" s="168"/>
      <c r="S20" s="16"/>
      <c r="T20" s="19"/>
      <c r="U20" s="19"/>
      <c r="V20" s="19"/>
      <c r="W20" s="19"/>
      <c r="X20" s="19"/>
      <c r="Y20" s="19"/>
      <c r="Z20" s="19"/>
      <c r="AA20" s="19"/>
      <c r="AB20" s="19"/>
      <c r="AC20" s="19"/>
      <c r="AD20" s="39"/>
      <c r="AE20" s="39"/>
      <c r="AF20" s="39"/>
      <c r="AG20" s="39"/>
      <c r="AH20" s="39"/>
      <c r="AI20" s="39"/>
      <c r="AJ20" s="39"/>
      <c r="AK20" s="39"/>
      <c r="AL20" s="39"/>
      <c r="AM20" s="39"/>
      <c r="AN20" s="39"/>
    </row>
    <row r="21" spans="1:40" s="7" customFormat="1" ht="48.75" customHeight="1" x14ac:dyDescent="0.35">
      <c r="A21" s="97"/>
      <c r="B21" s="95"/>
      <c r="C21" s="20">
        <v>18</v>
      </c>
      <c r="D21" s="48" t="s">
        <v>71</v>
      </c>
      <c r="E21" s="30" t="s">
        <v>53</v>
      </c>
      <c r="F21" s="26" t="s">
        <v>52</v>
      </c>
      <c r="G21" s="27">
        <v>51.86</v>
      </c>
      <c r="H21" s="32">
        <v>200</v>
      </c>
      <c r="I21" s="34">
        <f t="shared" si="0"/>
        <v>7</v>
      </c>
      <c r="J21" s="34">
        <f t="shared" si="1"/>
        <v>7</v>
      </c>
      <c r="K21" s="36">
        <f>-5-4</f>
        <v>-9</v>
      </c>
      <c r="L21" s="37">
        <f t="shared" si="2"/>
        <v>50</v>
      </c>
      <c r="M21" s="36"/>
      <c r="N21" s="36"/>
      <c r="O21" s="36"/>
      <c r="P21" s="50">
        <f t="shared" si="3"/>
        <v>184</v>
      </c>
      <c r="Q21" s="49" t="str">
        <f t="shared" si="4"/>
        <v>OK</v>
      </c>
      <c r="R21" s="166">
        <v>7</v>
      </c>
      <c r="S21" s="16"/>
      <c r="T21" s="19"/>
      <c r="U21" s="19"/>
      <c r="V21" s="19"/>
      <c r="W21" s="19"/>
      <c r="X21" s="19"/>
      <c r="Y21" s="19"/>
      <c r="Z21" s="19"/>
      <c r="AA21" s="19"/>
      <c r="AB21" s="19"/>
      <c r="AC21" s="19"/>
      <c r="AD21" s="39"/>
      <c r="AE21" s="39"/>
      <c r="AF21" s="39"/>
      <c r="AG21" s="39"/>
      <c r="AH21" s="39"/>
      <c r="AI21" s="39"/>
      <c r="AJ21" s="39"/>
      <c r="AK21" s="39"/>
      <c r="AL21" s="39"/>
      <c r="AM21" s="39"/>
      <c r="AN21" s="39"/>
    </row>
    <row r="22" spans="1:40" x14ac:dyDescent="0.35">
      <c r="H22" s="33">
        <f>SUM(H4:H21)</f>
        <v>620</v>
      </c>
      <c r="I22" s="33"/>
      <c r="J22" s="33"/>
      <c r="K22" s="33"/>
      <c r="L22" s="33"/>
      <c r="M22" s="33"/>
      <c r="N22" s="33"/>
      <c r="O22" s="33"/>
      <c r="P22" s="33">
        <f>SUM(P4:P21)</f>
        <v>604</v>
      </c>
      <c r="R22" s="169">
        <v>363.02</v>
      </c>
      <c r="S22" s="14">
        <f t="shared" ref="R22:AN22" si="5">SUMPRODUCT($G$4:$G$21,S4:S21)</f>
        <v>0</v>
      </c>
      <c r="T22" s="14">
        <f t="shared" si="5"/>
        <v>0</v>
      </c>
      <c r="U22" s="14">
        <f t="shared" si="5"/>
        <v>0</v>
      </c>
      <c r="V22" s="14">
        <f t="shared" si="5"/>
        <v>0</v>
      </c>
      <c r="W22" s="14">
        <f t="shared" si="5"/>
        <v>0</v>
      </c>
      <c r="X22" s="14">
        <f t="shared" si="5"/>
        <v>0</v>
      </c>
      <c r="Y22" s="14">
        <f t="shared" si="5"/>
        <v>0</v>
      </c>
      <c r="Z22" s="14">
        <f t="shared" si="5"/>
        <v>0</v>
      </c>
      <c r="AA22" s="14">
        <f t="shared" si="5"/>
        <v>0</v>
      </c>
      <c r="AB22" s="14">
        <f t="shared" si="5"/>
        <v>0</v>
      </c>
      <c r="AC22" s="14">
        <f t="shared" si="5"/>
        <v>0</v>
      </c>
      <c r="AD22" s="14">
        <f t="shared" si="5"/>
        <v>0</v>
      </c>
      <c r="AE22" s="14">
        <f t="shared" si="5"/>
        <v>0</v>
      </c>
      <c r="AF22" s="14">
        <f t="shared" si="5"/>
        <v>0</v>
      </c>
      <c r="AG22" s="14">
        <f t="shared" si="5"/>
        <v>0</v>
      </c>
      <c r="AH22" s="14">
        <f t="shared" si="5"/>
        <v>0</v>
      </c>
      <c r="AI22" s="14">
        <f t="shared" si="5"/>
        <v>0</v>
      </c>
      <c r="AJ22" s="14">
        <f t="shared" si="5"/>
        <v>0</v>
      </c>
      <c r="AK22" s="14">
        <f t="shared" si="5"/>
        <v>0</v>
      </c>
      <c r="AL22" s="14">
        <f t="shared" si="5"/>
        <v>0</v>
      </c>
      <c r="AM22" s="14">
        <f t="shared" si="5"/>
        <v>0</v>
      </c>
      <c r="AN22" s="14">
        <f t="shared" si="5"/>
        <v>0</v>
      </c>
    </row>
    <row r="23" spans="1:40" x14ac:dyDescent="0.35">
      <c r="R23" s="170"/>
    </row>
    <row r="24" spans="1:40" x14ac:dyDescent="0.35">
      <c r="H24" s="44">
        <f>SUMPRODUCT($G$4:$G$21,H4:H21)</f>
        <v>26072.400000000001</v>
      </c>
      <c r="I24" s="44">
        <f>SUMPRODUCT($G$4:$G$21,I4:I21)</f>
        <v>363.02</v>
      </c>
      <c r="J24" s="44">
        <f>SUMPRODUCT($G$4:$G$21,J4:J21)</f>
        <v>363.02</v>
      </c>
      <c r="R24" s="170"/>
    </row>
  </sheetData>
  <mergeCells count="9">
    <mergeCell ref="A20:A21"/>
    <mergeCell ref="B20:B21"/>
    <mergeCell ref="A1:C1"/>
    <mergeCell ref="D1:H1"/>
    <mergeCell ref="I1:Q1"/>
    <mergeCell ref="A4:A19"/>
    <mergeCell ref="B4:B19"/>
    <mergeCell ref="A2:H2"/>
    <mergeCell ref="I2:Q2"/>
  </mergeCells>
  <conditionalFormatting sqref="G4:G21">
    <cfRule type="expression" dxfId="33" priority="4">
      <formula>#REF!&lt;0.25</formula>
    </cfRule>
  </conditionalFormatting>
  <conditionalFormatting sqref="P4:P21">
    <cfRule type="cellIs" dxfId="32" priority="3" operator="lessThan">
      <formula>0</formula>
    </cfRule>
  </conditionalFormatting>
  <conditionalFormatting sqref="Q4:Q21">
    <cfRule type="containsText" dxfId="31" priority="2" operator="containsText" text="ATENÇÃO">
      <formula>NOT(ISERROR(SEARCH("ATENÇÃO",Q4)))</formula>
    </cfRule>
  </conditionalFormatting>
  <conditionalFormatting sqref="S4:AN21">
    <cfRule type="cellIs" dxfId="30" priority="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REITORIA-PROEX</vt:lpstr>
      <vt:lpstr>ESAG</vt:lpstr>
      <vt:lpstr>CCT</vt:lpstr>
      <vt:lpstr>CAV</vt:lpstr>
      <vt:lpstr>CEO</vt:lpstr>
      <vt:lpstr>CESMO</vt:lpstr>
      <vt:lpstr>CEAD</vt:lpstr>
      <vt:lpstr>CEPLAN</vt:lpstr>
      <vt:lpstr>CEART</vt:lpstr>
      <vt:lpstr>CEAVI</vt:lpstr>
      <vt:lpstr>CERES</vt:lpstr>
      <vt:lpstr>CESFI</vt:lpstr>
      <vt:lpstr>FAED</vt:lpstr>
      <vt:lpstr>CEFID</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2014-06-04T18:55:53Z</cp:lastPrinted>
  <dcterms:created xsi:type="dcterms:W3CDTF">2010-06-19T20:43:11Z</dcterms:created>
  <dcterms:modified xsi:type="dcterms:W3CDTF">2025-11-10T22:12:00Z</dcterms:modified>
</cp:coreProperties>
</file>