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30.2025 SRP SGPE 52651.2024 - Serviços Gráficos - VIG 29.05.2026\"/>
    </mc:Choice>
  </mc:AlternateContent>
  <xr:revisionPtr revIDLastSave="0" documentId="13_ncr:1_{E3C4793B-6A99-4A70-B66B-5DB0298E0D24}" xr6:coauthVersionLast="47" xr6:coauthVersionMax="47" xr10:uidLastSave="{00000000-0000-0000-0000-000000000000}"/>
  <bookViews>
    <workbookView xWindow="28680" yWindow="-120" windowWidth="29040" windowHeight="15720" tabRatio="793" activeTab="19" xr2:uid="{00000000-000D-0000-FFFF-FFFF00000000}"/>
  </bookViews>
  <sheets>
    <sheet name="SECOM" sheetId="163" r:id="rId1"/>
    <sheet name="PROEX" sheetId="195" r:id="rId2"/>
    <sheet name="BU" sheetId="194" r:id="rId3"/>
    <sheet name="MUSEU" sheetId="196" r:id="rId4"/>
    <sheet name="COVEST" sheetId="213" r:id="rId5"/>
    <sheet name="SCII" sheetId="190" r:id="rId6"/>
    <sheet name="CEART" sheetId="198" r:id="rId7"/>
    <sheet name="CAV" sheetId="204" r:id="rId8"/>
    <sheet name="CESFI" sheetId="210" r:id="rId9"/>
    <sheet name="CEFID" sheetId="203" r:id="rId10"/>
    <sheet name="CEAVI" sheetId="207" r:id="rId11"/>
    <sheet name="CCT" sheetId="208" r:id="rId12"/>
    <sheet name="ESAG" sheetId="197" r:id="rId13"/>
    <sheet name="FAED" sheetId="199" r:id="rId14"/>
    <sheet name="CEPLAN" sheetId="206" r:id="rId15"/>
    <sheet name="CEO" sheetId="205" r:id="rId16"/>
    <sheet name="CEAD" sheetId="201" r:id="rId17"/>
    <sheet name="CESMO" sheetId="211" r:id="rId18"/>
    <sheet name="CERES" sheetId="209" r:id="rId19"/>
    <sheet name="GESTOR " sheetId="212" r:id="rId20"/>
    <sheet name="CARONA-USO EXCLUSIVO DO GESTOR" sheetId="214" r:id="rId21"/>
  </sheets>
  <definedNames>
    <definedName name="_xlnm._FilterDatabase" localSheetId="2" hidden="1">BU!$A$3:$AI$36</definedName>
    <definedName name="_xlnm._FilterDatabase" localSheetId="20" hidden="1">'CARONA-USO EXCLUSIVO DO GESTOR'!$A$3:$AJ$36</definedName>
    <definedName name="_xlnm._FilterDatabase" localSheetId="16" hidden="1">CEAD!$A$3:$AH$34</definedName>
    <definedName name="_xlnm._FilterDatabase" localSheetId="6" hidden="1">CEART!$A$3:$AJ$34</definedName>
    <definedName name="_xlnm._FilterDatabase" localSheetId="10" hidden="1">CEAVI!$A$3:$AM$34</definedName>
    <definedName name="_xlnm._FilterDatabase" localSheetId="15" hidden="1">CEO!$A$3:$AU$34</definedName>
    <definedName name="_xlnm._FilterDatabase" localSheetId="3" hidden="1">MUSEU!$A$3:$AI$36</definedName>
    <definedName name="_xlnm._FilterDatabase" localSheetId="1" hidden="1">PROEX!$A$3:$AH$36</definedName>
    <definedName name="_xlnm._FilterDatabase" localSheetId="0" hidden="1">SECOM!$A$3:$AL$36</definedName>
    <definedName name="_PE1451">OFFSET(#REF!,(MATCH(SMALL(#REF!,ROW()-10),#REF!,0)-1),0)</definedName>
    <definedName name="diasuteis">#REF!</definedName>
    <definedName name="Ferias">#REF!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14" l="1"/>
  <c r="E43" i="214"/>
  <c r="E42" i="214"/>
  <c r="Y36" i="214"/>
  <c r="B41" i="214"/>
  <c r="B40" i="214"/>
  <c r="B39" i="214"/>
  <c r="V36" i="198" l="1"/>
  <c r="W36" i="198"/>
  <c r="X36" i="198"/>
  <c r="Y36" i="198"/>
  <c r="Z36" i="198"/>
  <c r="AA36" i="198"/>
  <c r="AB36" i="198"/>
  <c r="AD36" i="198"/>
  <c r="AE36" i="198"/>
  <c r="AF36" i="198"/>
  <c r="U36" i="198"/>
  <c r="AC14" i="198"/>
  <c r="AC36" i="198" s="1"/>
  <c r="V36" i="204"/>
  <c r="W36" i="204"/>
  <c r="X36" i="204"/>
  <c r="Y36" i="204"/>
  <c r="Z36" i="204"/>
  <c r="AA36" i="204"/>
  <c r="AB36" i="204"/>
  <c r="AC36" i="204"/>
  <c r="AD36" i="204"/>
  <c r="AE36" i="204"/>
  <c r="AF36" i="204"/>
  <c r="AG36" i="204"/>
  <c r="AH36" i="204"/>
  <c r="AI36" i="204"/>
  <c r="U36" i="204"/>
  <c r="V36" i="205"/>
  <c r="W36" i="205"/>
  <c r="X36" i="205"/>
  <c r="Y36" i="205"/>
  <c r="Z36" i="205"/>
  <c r="AA36" i="205"/>
  <c r="AB36" i="205"/>
  <c r="AC36" i="205"/>
  <c r="AD36" i="205"/>
  <c r="AE36" i="205"/>
  <c r="AF36" i="205"/>
  <c r="AG36" i="205"/>
  <c r="U36" i="205"/>
  <c r="S36" i="205"/>
  <c r="T36" i="205" s="1"/>
  <c r="S36" i="207"/>
  <c r="T36" i="207" s="1"/>
  <c r="U36" i="207"/>
  <c r="V36" i="207"/>
  <c r="W36" i="207"/>
  <c r="X36" i="207"/>
  <c r="Y36" i="207"/>
  <c r="Z36" i="207"/>
  <c r="AA36" i="207"/>
  <c r="AB36" i="207"/>
  <c r="AC36" i="207"/>
  <c r="AD36" i="207"/>
  <c r="AE36" i="207"/>
  <c r="AF36" i="207"/>
  <c r="AG36" i="207"/>
  <c r="AH36" i="207"/>
  <c r="AI36" i="207"/>
  <c r="S36" i="206"/>
  <c r="T36" i="206"/>
  <c r="V36" i="206"/>
  <c r="W36" i="206"/>
  <c r="X36" i="206"/>
  <c r="Y36" i="206"/>
  <c r="Z36" i="206"/>
  <c r="AA36" i="206"/>
  <c r="AB36" i="206"/>
  <c r="AC36" i="206"/>
  <c r="AD36" i="206"/>
  <c r="AE36" i="206"/>
  <c r="AF36" i="206"/>
  <c r="AG36" i="206"/>
  <c r="AH36" i="206"/>
  <c r="AI36" i="206"/>
  <c r="U36" i="206"/>
  <c r="S36" i="208"/>
  <c r="V36" i="208"/>
  <c r="W36" i="208"/>
  <c r="X36" i="208"/>
  <c r="Y36" i="208"/>
  <c r="Z36" i="208"/>
  <c r="AA36" i="208"/>
  <c r="AB36" i="208"/>
  <c r="AC36" i="208"/>
  <c r="AD36" i="208"/>
  <c r="AE36" i="208"/>
  <c r="AF36" i="208"/>
  <c r="AG36" i="208"/>
  <c r="AH36" i="208"/>
  <c r="AI36" i="208"/>
  <c r="U36" i="208"/>
  <c r="V36" i="210"/>
  <c r="W36" i="210"/>
  <c r="X36" i="210"/>
  <c r="Y36" i="210"/>
  <c r="Z36" i="210"/>
  <c r="AA36" i="210"/>
  <c r="AB36" i="210"/>
  <c r="AC36" i="210"/>
  <c r="AD36" i="210"/>
  <c r="AE36" i="210"/>
  <c r="AF36" i="210"/>
  <c r="AG36" i="210"/>
  <c r="AH36" i="210"/>
  <c r="AI36" i="210"/>
  <c r="U36" i="210"/>
  <c r="S36" i="210"/>
  <c r="T36" i="210" s="1"/>
  <c r="V36" i="209"/>
  <c r="W36" i="209"/>
  <c r="X36" i="209"/>
  <c r="Y36" i="209"/>
  <c r="Z36" i="209"/>
  <c r="AA36" i="209"/>
  <c r="AB36" i="209"/>
  <c r="AC36" i="209"/>
  <c r="AD36" i="209"/>
  <c r="AE36" i="209"/>
  <c r="AF36" i="209"/>
  <c r="AG36" i="209"/>
  <c r="AH36" i="209"/>
  <c r="AI36" i="209"/>
  <c r="U36" i="209"/>
  <c r="S36" i="209"/>
  <c r="T36" i="209" s="1"/>
  <c r="V36" i="203"/>
  <c r="W36" i="203"/>
  <c r="X36" i="203"/>
  <c r="Y36" i="203"/>
  <c r="Z36" i="203"/>
  <c r="AA36" i="203"/>
  <c r="AB36" i="203"/>
  <c r="AC36" i="203"/>
  <c r="AD36" i="203"/>
  <c r="AE36" i="203"/>
  <c r="AF36" i="203"/>
  <c r="AG36" i="203"/>
  <c r="AH36" i="203"/>
  <c r="AI36" i="203"/>
  <c r="U36" i="203"/>
  <c r="S36" i="203"/>
  <c r="T36" i="203" s="1"/>
  <c r="V36" i="197" l="1"/>
  <c r="W36" i="197"/>
  <c r="X36" i="197"/>
  <c r="Y36" i="197"/>
  <c r="Z36" i="197"/>
  <c r="AA36" i="197"/>
  <c r="AB36" i="197"/>
  <c r="AC36" i="197"/>
  <c r="AD36" i="197"/>
  <c r="AE36" i="197"/>
  <c r="AF36" i="197"/>
  <c r="AG36" i="197"/>
  <c r="AH36" i="197"/>
  <c r="AI36" i="197"/>
  <c r="U36" i="197"/>
  <c r="N7" i="196"/>
  <c r="Y39" i="194"/>
  <c r="Y38" i="194"/>
  <c r="Y36" i="194"/>
  <c r="AB36" i="214" l="1"/>
  <c r="AC36" i="214"/>
  <c r="AD36" i="214"/>
  <c r="AE36" i="214"/>
  <c r="AF36" i="214"/>
  <c r="AG36" i="214"/>
  <c r="AH36" i="214"/>
  <c r="AI36" i="214"/>
  <c r="AJ36" i="214"/>
  <c r="Z36" i="214"/>
  <c r="AA33" i="214"/>
  <c r="AA36" i="214" s="1"/>
  <c r="V36" i="163"/>
  <c r="M27" i="194"/>
  <c r="L4" i="196" l="1"/>
  <c r="V36" i="195"/>
  <c r="W36" i="195"/>
  <c r="X36" i="195"/>
  <c r="Y36" i="195"/>
  <c r="Z36" i="195"/>
  <c r="AA36" i="195"/>
  <c r="AB36" i="195"/>
  <c r="AC36" i="195"/>
  <c r="AD36" i="195"/>
  <c r="AE36" i="195"/>
  <c r="AF36" i="195"/>
  <c r="AG36" i="195"/>
  <c r="AH36" i="195"/>
  <c r="M4" i="163"/>
  <c r="L32" i="163"/>
  <c r="M32" i="163"/>
  <c r="S32" i="163" s="1"/>
  <c r="T32" i="163" s="1"/>
  <c r="O32" i="163"/>
  <c r="L32" i="213"/>
  <c r="M32" i="213"/>
  <c r="S32" i="213" s="1"/>
  <c r="T32" i="213" s="1"/>
  <c r="O32" i="213"/>
  <c r="L32" i="196"/>
  <c r="M32" i="196"/>
  <c r="S32" i="196" s="1"/>
  <c r="T32" i="196" s="1"/>
  <c r="O32" i="196"/>
  <c r="L32" i="195"/>
  <c r="M32" i="195"/>
  <c r="S32" i="195" s="1"/>
  <c r="T32" i="195" s="1"/>
  <c r="O32" i="195"/>
  <c r="L32" i="194"/>
  <c r="M32" i="194"/>
  <c r="S32" i="194" s="1"/>
  <c r="T32" i="194" s="1"/>
  <c r="O32" i="194"/>
  <c r="L32" i="190"/>
  <c r="M32" i="190"/>
  <c r="S32" i="190" s="1"/>
  <c r="T32" i="190" s="1"/>
  <c r="O32" i="190"/>
  <c r="L32" i="209"/>
  <c r="M32" i="209"/>
  <c r="S32" i="209" s="1"/>
  <c r="T32" i="209" s="1"/>
  <c r="O32" i="209"/>
  <c r="L32" i="211"/>
  <c r="M32" i="211"/>
  <c r="S32" i="211" s="1"/>
  <c r="T32" i="211" s="1"/>
  <c r="O32" i="211"/>
  <c r="L32" i="201"/>
  <c r="M32" i="201"/>
  <c r="S32" i="201" s="1"/>
  <c r="T32" i="201" s="1"/>
  <c r="O32" i="201"/>
  <c r="L32" i="205"/>
  <c r="M32" i="205"/>
  <c r="S32" i="205" s="1"/>
  <c r="T32" i="205" s="1"/>
  <c r="O32" i="205"/>
  <c r="L32" i="206"/>
  <c r="M32" i="206"/>
  <c r="S32" i="206" s="1"/>
  <c r="T32" i="206" s="1"/>
  <c r="O32" i="206"/>
  <c r="L32" i="199"/>
  <c r="M32" i="199"/>
  <c r="S32" i="199" s="1"/>
  <c r="T32" i="199" s="1"/>
  <c r="O32" i="199"/>
  <c r="L32" i="197"/>
  <c r="M32" i="197"/>
  <c r="S32" i="197" s="1"/>
  <c r="T32" i="197" s="1"/>
  <c r="O32" i="197"/>
  <c r="L32" i="208"/>
  <c r="M32" i="208"/>
  <c r="S32" i="208" s="1"/>
  <c r="T32" i="208" s="1"/>
  <c r="O32" i="208"/>
  <c r="L32" i="207"/>
  <c r="M32" i="207"/>
  <c r="O32" i="207"/>
  <c r="S32" i="207"/>
  <c r="T32" i="207" s="1"/>
  <c r="L32" i="210"/>
  <c r="M32" i="210"/>
  <c r="S32" i="210" s="1"/>
  <c r="T32" i="210" s="1"/>
  <c r="O32" i="210"/>
  <c r="L32" i="204"/>
  <c r="M32" i="204"/>
  <c r="S32" i="204" s="1"/>
  <c r="T32" i="204" s="1"/>
  <c r="O32" i="204"/>
  <c r="L32" i="198"/>
  <c r="M32" i="198"/>
  <c r="S32" i="198" s="1"/>
  <c r="T32" i="198" s="1"/>
  <c r="O32" i="198"/>
  <c r="S32" i="203"/>
  <c r="T32" i="203" s="1"/>
  <c r="O32" i="203"/>
  <c r="L32" i="203"/>
  <c r="M32" i="203"/>
  <c r="I4" i="214"/>
  <c r="L4" i="214"/>
  <c r="O4" i="214"/>
  <c r="I5" i="214"/>
  <c r="L5" i="214"/>
  <c r="O5" i="214"/>
  <c r="I6" i="214"/>
  <c r="L6" i="214"/>
  <c r="O6" i="214"/>
  <c r="I7" i="214"/>
  <c r="L7" i="214"/>
  <c r="O7" i="214"/>
  <c r="I8" i="214"/>
  <c r="L8" i="214"/>
  <c r="O8" i="214"/>
  <c r="I9" i="214"/>
  <c r="L9" i="214"/>
  <c r="O9" i="214"/>
  <c r="I10" i="214"/>
  <c r="L10" i="214"/>
  <c r="O10" i="214"/>
  <c r="I11" i="214"/>
  <c r="L11" i="214"/>
  <c r="O11" i="214"/>
  <c r="I12" i="214"/>
  <c r="L12" i="214"/>
  <c r="O12" i="214"/>
  <c r="I13" i="214"/>
  <c r="L13" i="214"/>
  <c r="O13" i="214"/>
  <c r="I14" i="214"/>
  <c r="L14" i="214"/>
  <c r="O14" i="214"/>
  <c r="I15" i="214"/>
  <c r="L15" i="214"/>
  <c r="O15" i="214"/>
  <c r="I16" i="214"/>
  <c r="L16" i="214"/>
  <c r="O16" i="214"/>
  <c r="I17" i="214"/>
  <c r="L17" i="214"/>
  <c r="O17" i="214"/>
  <c r="I18" i="214"/>
  <c r="L18" i="214"/>
  <c r="O18" i="214"/>
  <c r="I19" i="214"/>
  <c r="L19" i="214"/>
  <c r="O19" i="214"/>
  <c r="I20" i="214"/>
  <c r="L20" i="214"/>
  <c r="O20" i="214"/>
  <c r="I21" i="214"/>
  <c r="L21" i="214"/>
  <c r="O21" i="214"/>
  <c r="I22" i="214"/>
  <c r="L22" i="214"/>
  <c r="O22" i="214"/>
  <c r="I23" i="214"/>
  <c r="L23" i="214"/>
  <c r="O23" i="214"/>
  <c r="I24" i="214"/>
  <c r="L24" i="214"/>
  <c r="O24" i="214"/>
  <c r="I25" i="214"/>
  <c r="L25" i="214"/>
  <c r="O25" i="214"/>
  <c r="I26" i="214"/>
  <c r="L26" i="214"/>
  <c r="O26" i="214"/>
  <c r="I27" i="214"/>
  <c r="L27" i="214"/>
  <c r="O27" i="214"/>
  <c r="I28" i="214"/>
  <c r="L28" i="214"/>
  <c r="O28" i="214"/>
  <c r="I29" i="214"/>
  <c r="L29" i="214"/>
  <c r="O29" i="214"/>
  <c r="I30" i="214"/>
  <c r="L30" i="214"/>
  <c r="O30" i="214"/>
  <c r="I31" i="214"/>
  <c r="L31" i="214"/>
  <c r="O31" i="214"/>
  <c r="I32" i="214"/>
  <c r="L32" i="214"/>
  <c r="O32" i="214"/>
  <c r="I33" i="214"/>
  <c r="L33" i="214"/>
  <c r="O33" i="214"/>
  <c r="I34" i="214"/>
  <c r="L34" i="214"/>
  <c r="O34" i="214"/>
  <c r="I35" i="214"/>
  <c r="L35" i="214"/>
  <c r="O35" i="214"/>
  <c r="V35" i="214"/>
  <c r="R35" i="214"/>
  <c r="V34" i="214"/>
  <c r="R34" i="214"/>
  <c r="V33" i="214"/>
  <c r="R33" i="214"/>
  <c r="V32" i="214"/>
  <c r="R32" i="214"/>
  <c r="V31" i="214"/>
  <c r="R31" i="214"/>
  <c r="V30" i="214"/>
  <c r="R30" i="214"/>
  <c r="V29" i="214"/>
  <c r="R29" i="214"/>
  <c r="V28" i="214"/>
  <c r="R28" i="214"/>
  <c r="V27" i="214"/>
  <c r="R27" i="214"/>
  <c r="V26" i="214"/>
  <c r="R26" i="214"/>
  <c r="V25" i="214"/>
  <c r="R25" i="214"/>
  <c r="V24" i="214"/>
  <c r="R24" i="214"/>
  <c r="V23" i="214"/>
  <c r="R23" i="214"/>
  <c r="V22" i="214"/>
  <c r="R22" i="214"/>
  <c r="V21" i="214"/>
  <c r="R21" i="214"/>
  <c r="V20" i="214"/>
  <c r="R20" i="214"/>
  <c r="V19" i="214"/>
  <c r="R19" i="214"/>
  <c r="V18" i="214"/>
  <c r="R18" i="214"/>
  <c r="V17" i="214"/>
  <c r="R17" i="214"/>
  <c r="V16" i="214"/>
  <c r="R16" i="214"/>
  <c r="V15" i="214"/>
  <c r="R15" i="214"/>
  <c r="V14" i="214"/>
  <c r="R14" i="214"/>
  <c r="V13" i="214"/>
  <c r="R13" i="214"/>
  <c r="V12" i="214"/>
  <c r="R12" i="214"/>
  <c r="V11" i="214"/>
  <c r="R11" i="214"/>
  <c r="V10" i="214"/>
  <c r="R10" i="214"/>
  <c r="V9" i="214"/>
  <c r="R9" i="214"/>
  <c r="V8" i="214"/>
  <c r="R8" i="214"/>
  <c r="V7" i="214"/>
  <c r="R7" i="214"/>
  <c r="V6" i="214"/>
  <c r="R6" i="214"/>
  <c r="V5" i="214"/>
  <c r="R5" i="214"/>
  <c r="V4" i="214"/>
  <c r="R4" i="214"/>
  <c r="M32" i="212" l="1"/>
  <c r="S32" i="212" s="1"/>
  <c r="L32" i="212"/>
  <c r="K5" i="212"/>
  <c r="K6" i="212"/>
  <c r="K7" i="212"/>
  <c r="K8" i="212"/>
  <c r="K9" i="212"/>
  <c r="G9" i="214" s="1"/>
  <c r="K10" i="212"/>
  <c r="K11" i="212"/>
  <c r="K12" i="212"/>
  <c r="K13" i="212"/>
  <c r="K14" i="212"/>
  <c r="K15" i="212"/>
  <c r="K16" i="212"/>
  <c r="K17" i="212"/>
  <c r="K18" i="212"/>
  <c r="K19" i="212"/>
  <c r="K20" i="212"/>
  <c r="K21" i="212"/>
  <c r="G21" i="214" s="1"/>
  <c r="K22" i="212"/>
  <c r="K23" i="212"/>
  <c r="K24" i="212"/>
  <c r="K25" i="212"/>
  <c r="K26" i="212"/>
  <c r="K27" i="212"/>
  <c r="G27" i="214" s="1"/>
  <c r="K28" i="212"/>
  <c r="K29" i="212"/>
  <c r="K30" i="212"/>
  <c r="K31" i="212"/>
  <c r="K32" i="212"/>
  <c r="K33" i="212"/>
  <c r="K34" i="212"/>
  <c r="G34" i="214" s="1"/>
  <c r="K35" i="212"/>
  <c r="K4" i="212"/>
  <c r="O33" i="212"/>
  <c r="R33" i="212" s="1"/>
  <c r="O34" i="212"/>
  <c r="R34" i="212" s="1"/>
  <c r="O35" i="212"/>
  <c r="R35" i="212" s="1"/>
  <c r="K1" i="212"/>
  <c r="D1" i="212"/>
  <c r="A1" i="212"/>
  <c r="AI36" i="163"/>
  <c r="AH36" i="163"/>
  <c r="AG36" i="163"/>
  <c r="AF36" i="163"/>
  <c r="AE36" i="163"/>
  <c r="AD36" i="163"/>
  <c r="AC36" i="163"/>
  <c r="AB36" i="163"/>
  <c r="AA36" i="163"/>
  <c r="Z36" i="163"/>
  <c r="Y36" i="163"/>
  <c r="X36" i="163"/>
  <c r="W36" i="163"/>
  <c r="U36" i="163"/>
  <c r="K36" i="163"/>
  <c r="O35" i="163"/>
  <c r="M35" i="163"/>
  <c r="L35" i="163"/>
  <c r="O34" i="163"/>
  <c r="M34" i="163"/>
  <c r="S34" i="163" s="1"/>
  <c r="T34" i="163" s="1"/>
  <c r="L34" i="163"/>
  <c r="O33" i="163"/>
  <c r="M33" i="163"/>
  <c r="S33" i="163" s="1"/>
  <c r="T33" i="163" s="1"/>
  <c r="L33" i="163"/>
  <c r="O31" i="163"/>
  <c r="M31" i="163"/>
  <c r="L31" i="163"/>
  <c r="O30" i="163"/>
  <c r="M30" i="163"/>
  <c r="L30" i="163"/>
  <c r="O29" i="163"/>
  <c r="M29" i="163"/>
  <c r="S29" i="163" s="1"/>
  <c r="T29" i="163" s="1"/>
  <c r="L29" i="163"/>
  <c r="O28" i="163"/>
  <c r="M28" i="163"/>
  <c r="S28" i="163" s="1"/>
  <c r="T28" i="163" s="1"/>
  <c r="L28" i="163"/>
  <c r="O27" i="163"/>
  <c r="M27" i="163"/>
  <c r="S27" i="163" s="1"/>
  <c r="T27" i="163" s="1"/>
  <c r="L27" i="163"/>
  <c r="O26" i="163"/>
  <c r="M26" i="163"/>
  <c r="S26" i="163" s="1"/>
  <c r="T26" i="163" s="1"/>
  <c r="L26" i="163"/>
  <c r="O25" i="163"/>
  <c r="M25" i="163"/>
  <c r="L25" i="163"/>
  <c r="O24" i="163"/>
  <c r="M24" i="163"/>
  <c r="L24" i="163"/>
  <c r="O23" i="163"/>
  <c r="M23" i="163"/>
  <c r="S23" i="163" s="1"/>
  <c r="T23" i="163" s="1"/>
  <c r="L23" i="163"/>
  <c r="O22" i="163"/>
  <c r="M22" i="163"/>
  <c r="L22" i="163"/>
  <c r="O21" i="163"/>
  <c r="M21" i="163"/>
  <c r="S21" i="163" s="1"/>
  <c r="T21" i="163" s="1"/>
  <c r="L21" i="163"/>
  <c r="O20" i="163"/>
  <c r="M20" i="163"/>
  <c r="S20" i="163" s="1"/>
  <c r="T20" i="163" s="1"/>
  <c r="L20" i="163"/>
  <c r="O19" i="163"/>
  <c r="M19" i="163"/>
  <c r="S19" i="163" s="1"/>
  <c r="T19" i="163" s="1"/>
  <c r="L19" i="163"/>
  <c r="O18" i="163"/>
  <c r="M18" i="163"/>
  <c r="L18" i="163"/>
  <c r="O17" i="163"/>
  <c r="M17" i="163"/>
  <c r="S17" i="163" s="1"/>
  <c r="T17" i="163" s="1"/>
  <c r="L17" i="163"/>
  <c r="O16" i="163"/>
  <c r="M16" i="163"/>
  <c r="L16" i="163"/>
  <c r="O15" i="163"/>
  <c r="M15" i="163"/>
  <c r="S15" i="163" s="1"/>
  <c r="T15" i="163" s="1"/>
  <c r="L15" i="163"/>
  <c r="O14" i="163"/>
  <c r="M14" i="163"/>
  <c r="S14" i="163" s="1"/>
  <c r="T14" i="163" s="1"/>
  <c r="L14" i="163"/>
  <c r="O13" i="163"/>
  <c r="M13" i="163"/>
  <c r="S13" i="163" s="1"/>
  <c r="T13" i="163" s="1"/>
  <c r="L13" i="163"/>
  <c r="O12" i="163"/>
  <c r="M12" i="163"/>
  <c r="S12" i="163" s="1"/>
  <c r="T12" i="163" s="1"/>
  <c r="L12" i="163"/>
  <c r="O11" i="163"/>
  <c r="M11" i="163"/>
  <c r="S11" i="163" s="1"/>
  <c r="T11" i="163" s="1"/>
  <c r="L11" i="163"/>
  <c r="O10" i="163"/>
  <c r="M10" i="163"/>
  <c r="L10" i="163"/>
  <c r="O9" i="163"/>
  <c r="M9" i="163"/>
  <c r="S9" i="163" s="1"/>
  <c r="T9" i="163" s="1"/>
  <c r="L9" i="163"/>
  <c r="O8" i="163"/>
  <c r="M8" i="163"/>
  <c r="S8" i="163" s="1"/>
  <c r="T8" i="163" s="1"/>
  <c r="L8" i="163"/>
  <c r="O7" i="163"/>
  <c r="M7" i="163"/>
  <c r="L7" i="163"/>
  <c r="O6" i="163"/>
  <c r="M6" i="163"/>
  <c r="L6" i="163"/>
  <c r="O5" i="163"/>
  <c r="M5" i="163"/>
  <c r="S5" i="163" s="1"/>
  <c r="T5" i="163" s="1"/>
  <c r="L5" i="163"/>
  <c r="S4" i="163"/>
  <c r="O4" i="163"/>
  <c r="L4" i="163"/>
  <c r="AI36" i="213"/>
  <c r="AH36" i="213"/>
  <c r="AG36" i="213"/>
  <c r="AF36" i="213"/>
  <c r="AE36" i="213"/>
  <c r="AD36" i="213"/>
  <c r="AC36" i="213"/>
  <c r="AB36" i="213"/>
  <c r="AA36" i="213"/>
  <c r="Z36" i="213"/>
  <c r="Y36" i="213"/>
  <c r="X36" i="213"/>
  <c r="W36" i="213"/>
  <c r="V36" i="213"/>
  <c r="U36" i="213"/>
  <c r="K36" i="213"/>
  <c r="S35" i="213"/>
  <c r="T35" i="213" s="1"/>
  <c r="O35" i="213"/>
  <c r="M35" i="213"/>
  <c r="L35" i="213"/>
  <c r="O34" i="213"/>
  <c r="M34" i="213"/>
  <c r="S34" i="213" s="1"/>
  <c r="T34" i="213" s="1"/>
  <c r="L34" i="213"/>
  <c r="O33" i="213"/>
  <c r="M33" i="213"/>
  <c r="S33" i="213" s="1"/>
  <c r="T33" i="213" s="1"/>
  <c r="L33" i="213"/>
  <c r="S31" i="213"/>
  <c r="T31" i="213" s="1"/>
  <c r="O31" i="213"/>
  <c r="M31" i="213"/>
  <c r="L31" i="213"/>
  <c r="O30" i="213"/>
  <c r="M30" i="213"/>
  <c r="S30" i="213" s="1"/>
  <c r="T30" i="213" s="1"/>
  <c r="L30" i="213"/>
  <c r="O29" i="213"/>
  <c r="M29" i="213"/>
  <c r="S29" i="213" s="1"/>
  <c r="T29" i="213" s="1"/>
  <c r="L29" i="213"/>
  <c r="S28" i="213"/>
  <c r="T28" i="213" s="1"/>
  <c r="O28" i="213"/>
  <c r="M28" i="213"/>
  <c r="L28" i="213"/>
  <c r="O27" i="213"/>
  <c r="M27" i="213"/>
  <c r="S27" i="213" s="1"/>
  <c r="T27" i="213" s="1"/>
  <c r="L27" i="213"/>
  <c r="O26" i="213"/>
  <c r="M26" i="213"/>
  <c r="S26" i="213" s="1"/>
  <c r="T26" i="213" s="1"/>
  <c r="L26" i="213"/>
  <c r="S25" i="213"/>
  <c r="T25" i="213" s="1"/>
  <c r="O25" i="213"/>
  <c r="M25" i="213"/>
  <c r="L25" i="213"/>
  <c r="O24" i="213"/>
  <c r="M24" i="213"/>
  <c r="S24" i="213" s="1"/>
  <c r="T24" i="213" s="1"/>
  <c r="L24" i="213"/>
  <c r="O23" i="213"/>
  <c r="M23" i="213"/>
  <c r="S23" i="213" s="1"/>
  <c r="T23" i="213" s="1"/>
  <c r="L23" i="213"/>
  <c r="S22" i="213"/>
  <c r="T22" i="213" s="1"/>
  <c r="O22" i="213"/>
  <c r="M22" i="213"/>
  <c r="L22" i="213"/>
  <c r="O21" i="213"/>
  <c r="M21" i="213"/>
  <c r="S21" i="213" s="1"/>
  <c r="T21" i="213" s="1"/>
  <c r="L21" i="213"/>
  <c r="O20" i="213"/>
  <c r="M20" i="213"/>
  <c r="S20" i="213" s="1"/>
  <c r="T20" i="213" s="1"/>
  <c r="L20" i="213"/>
  <c r="S19" i="213"/>
  <c r="T19" i="213" s="1"/>
  <c r="O19" i="213"/>
  <c r="M19" i="213"/>
  <c r="L19" i="213"/>
  <c r="O18" i="213"/>
  <c r="M18" i="213"/>
  <c r="S18" i="213" s="1"/>
  <c r="T18" i="213" s="1"/>
  <c r="L18" i="213"/>
  <c r="O17" i="213"/>
  <c r="M17" i="213"/>
  <c r="S17" i="213" s="1"/>
  <c r="T17" i="213" s="1"/>
  <c r="L17" i="213"/>
  <c r="S16" i="213"/>
  <c r="T16" i="213" s="1"/>
  <c r="O16" i="213"/>
  <c r="M16" i="213"/>
  <c r="L16" i="213"/>
  <c r="O15" i="213"/>
  <c r="M15" i="213"/>
  <c r="S15" i="213" s="1"/>
  <c r="T15" i="213" s="1"/>
  <c r="L15" i="213"/>
  <c r="O14" i="213"/>
  <c r="M14" i="213"/>
  <c r="S14" i="213" s="1"/>
  <c r="T14" i="213" s="1"/>
  <c r="L14" i="213"/>
  <c r="S13" i="213"/>
  <c r="T13" i="213" s="1"/>
  <c r="O13" i="213"/>
  <c r="M13" i="213"/>
  <c r="L13" i="213"/>
  <c r="O12" i="213"/>
  <c r="M12" i="213"/>
  <c r="S12" i="213" s="1"/>
  <c r="T12" i="213" s="1"/>
  <c r="L12" i="213"/>
  <c r="O11" i="213"/>
  <c r="M11" i="213"/>
  <c r="S11" i="213" s="1"/>
  <c r="T11" i="213" s="1"/>
  <c r="L11" i="213"/>
  <c r="S10" i="213"/>
  <c r="T10" i="213" s="1"/>
  <c r="O10" i="213"/>
  <c r="M10" i="213"/>
  <c r="L10" i="213"/>
  <c r="O9" i="213"/>
  <c r="M9" i="213"/>
  <c r="S9" i="213" s="1"/>
  <c r="T9" i="213" s="1"/>
  <c r="L9" i="213"/>
  <c r="O8" i="213"/>
  <c r="M8" i="213"/>
  <c r="S8" i="213" s="1"/>
  <c r="T8" i="213" s="1"/>
  <c r="L8" i="213"/>
  <c r="S7" i="213"/>
  <c r="T7" i="213" s="1"/>
  <c r="O7" i="213"/>
  <c r="M7" i="213"/>
  <c r="L7" i="213"/>
  <c r="O6" i="213"/>
  <c r="M6" i="213"/>
  <c r="S6" i="213" s="1"/>
  <c r="T6" i="213" s="1"/>
  <c r="L6" i="213"/>
  <c r="O5" i="213"/>
  <c r="M5" i="213"/>
  <c r="S5" i="213" s="1"/>
  <c r="T5" i="213" s="1"/>
  <c r="L5" i="213"/>
  <c r="S4" i="213"/>
  <c r="T4" i="213" s="1"/>
  <c r="O4" i="213"/>
  <c r="M4" i="213"/>
  <c r="L4" i="213"/>
  <c r="AI36" i="196"/>
  <c r="AH36" i="196"/>
  <c r="AG36" i="196"/>
  <c r="AF36" i="196"/>
  <c r="AE36" i="196"/>
  <c r="AD36" i="196"/>
  <c r="AC36" i="196"/>
  <c r="AB36" i="196"/>
  <c r="AA36" i="196"/>
  <c r="Z36" i="196"/>
  <c r="Y36" i="196"/>
  <c r="X36" i="196"/>
  <c r="W36" i="196"/>
  <c r="V36" i="196"/>
  <c r="U36" i="196"/>
  <c r="K36" i="196"/>
  <c r="O35" i="196"/>
  <c r="M35" i="196"/>
  <c r="S35" i="196" s="1"/>
  <c r="T35" i="196" s="1"/>
  <c r="L35" i="196"/>
  <c r="O34" i="196"/>
  <c r="M34" i="196"/>
  <c r="S34" i="196" s="1"/>
  <c r="T34" i="196" s="1"/>
  <c r="L34" i="196"/>
  <c r="O33" i="196"/>
  <c r="M33" i="196"/>
  <c r="S33" i="196" s="1"/>
  <c r="T33" i="196" s="1"/>
  <c r="L33" i="196"/>
  <c r="O31" i="196"/>
  <c r="M31" i="196"/>
  <c r="S31" i="196" s="1"/>
  <c r="T31" i="196" s="1"/>
  <c r="L31" i="196"/>
  <c r="O30" i="196"/>
  <c r="M30" i="196"/>
  <c r="S30" i="196" s="1"/>
  <c r="T30" i="196" s="1"/>
  <c r="L30" i="196"/>
  <c r="O29" i="196"/>
  <c r="M29" i="196"/>
  <c r="S29" i="196" s="1"/>
  <c r="T29" i="196" s="1"/>
  <c r="L29" i="196"/>
  <c r="O28" i="196"/>
  <c r="M28" i="196"/>
  <c r="S28" i="196" s="1"/>
  <c r="T28" i="196" s="1"/>
  <c r="L28" i="196"/>
  <c r="O27" i="196"/>
  <c r="M27" i="196"/>
  <c r="S27" i="196" s="1"/>
  <c r="T27" i="196" s="1"/>
  <c r="L27" i="196"/>
  <c r="O26" i="196"/>
  <c r="M26" i="196"/>
  <c r="S26" i="196" s="1"/>
  <c r="T26" i="196" s="1"/>
  <c r="L26" i="196"/>
  <c r="O25" i="196"/>
  <c r="M25" i="196"/>
  <c r="S25" i="196" s="1"/>
  <c r="T25" i="196" s="1"/>
  <c r="L25" i="196"/>
  <c r="O24" i="196"/>
  <c r="M24" i="196"/>
  <c r="S24" i="196" s="1"/>
  <c r="T24" i="196" s="1"/>
  <c r="L24" i="196"/>
  <c r="O23" i="196"/>
  <c r="M23" i="196"/>
  <c r="S23" i="196" s="1"/>
  <c r="T23" i="196" s="1"/>
  <c r="L23" i="196"/>
  <c r="O22" i="196"/>
  <c r="M22" i="196"/>
  <c r="S22" i="196" s="1"/>
  <c r="T22" i="196" s="1"/>
  <c r="L22" i="196"/>
  <c r="O21" i="196"/>
  <c r="M21" i="196"/>
  <c r="S21" i="196" s="1"/>
  <c r="T21" i="196" s="1"/>
  <c r="L21" i="196"/>
  <c r="O20" i="196"/>
  <c r="M20" i="196"/>
  <c r="S20" i="196" s="1"/>
  <c r="T20" i="196" s="1"/>
  <c r="L20" i="196"/>
  <c r="O19" i="196"/>
  <c r="M19" i="196"/>
  <c r="S19" i="196" s="1"/>
  <c r="T19" i="196" s="1"/>
  <c r="L19" i="196"/>
  <c r="O18" i="196"/>
  <c r="M18" i="196"/>
  <c r="S18" i="196" s="1"/>
  <c r="T18" i="196" s="1"/>
  <c r="L18" i="196"/>
  <c r="O17" i="196"/>
  <c r="M17" i="196"/>
  <c r="S17" i="196" s="1"/>
  <c r="T17" i="196" s="1"/>
  <c r="L17" i="196"/>
  <c r="O16" i="196"/>
  <c r="M16" i="196"/>
  <c r="S16" i="196" s="1"/>
  <c r="T16" i="196" s="1"/>
  <c r="L16" i="196"/>
  <c r="O15" i="196"/>
  <c r="M15" i="196"/>
  <c r="S15" i="196" s="1"/>
  <c r="T15" i="196" s="1"/>
  <c r="L15" i="196"/>
  <c r="O14" i="196"/>
  <c r="M14" i="196"/>
  <c r="S14" i="196" s="1"/>
  <c r="T14" i="196" s="1"/>
  <c r="L14" i="196"/>
  <c r="O13" i="196"/>
  <c r="M13" i="196"/>
  <c r="S13" i="196" s="1"/>
  <c r="T13" i="196" s="1"/>
  <c r="L13" i="196"/>
  <c r="O12" i="196"/>
  <c r="M12" i="196"/>
  <c r="S12" i="196" s="1"/>
  <c r="T12" i="196" s="1"/>
  <c r="L12" i="196"/>
  <c r="O11" i="196"/>
  <c r="M11" i="196"/>
  <c r="S11" i="196" s="1"/>
  <c r="T11" i="196" s="1"/>
  <c r="L11" i="196"/>
  <c r="O10" i="196"/>
  <c r="M10" i="196"/>
  <c r="S10" i="196" s="1"/>
  <c r="T10" i="196" s="1"/>
  <c r="L10" i="196"/>
  <c r="O9" i="196"/>
  <c r="M9" i="196"/>
  <c r="S9" i="196" s="1"/>
  <c r="T9" i="196" s="1"/>
  <c r="L9" i="196"/>
  <c r="O8" i="196"/>
  <c r="M8" i="196"/>
  <c r="S8" i="196" s="1"/>
  <c r="T8" i="196" s="1"/>
  <c r="L8" i="196"/>
  <c r="O7" i="196"/>
  <c r="M7" i="196"/>
  <c r="S7" i="196" s="1"/>
  <c r="T7" i="196" s="1"/>
  <c r="L7" i="196"/>
  <c r="O6" i="196"/>
  <c r="M6" i="196"/>
  <c r="S6" i="196" s="1"/>
  <c r="T6" i="196" s="1"/>
  <c r="L6" i="196"/>
  <c r="O5" i="196"/>
  <c r="M5" i="196"/>
  <c r="S5" i="196" s="1"/>
  <c r="T5" i="196" s="1"/>
  <c r="L5" i="196"/>
  <c r="O4" i="196"/>
  <c r="M4" i="196"/>
  <c r="S4" i="196" s="1"/>
  <c r="T4" i="196" s="1"/>
  <c r="U36" i="195"/>
  <c r="K36" i="195"/>
  <c r="O35" i="195"/>
  <c r="M35" i="195"/>
  <c r="S35" i="195" s="1"/>
  <c r="T35" i="195" s="1"/>
  <c r="L35" i="195"/>
  <c r="O34" i="195"/>
  <c r="M34" i="195"/>
  <c r="S34" i="195" s="1"/>
  <c r="T34" i="195" s="1"/>
  <c r="L34" i="195"/>
  <c r="O33" i="195"/>
  <c r="M33" i="195"/>
  <c r="S33" i="195" s="1"/>
  <c r="T33" i="195" s="1"/>
  <c r="L33" i="195"/>
  <c r="O31" i="195"/>
  <c r="M31" i="195"/>
  <c r="S31" i="195" s="1"/>
  <c r="T31" i="195" s="1"/>
  <c r="L31" i="195"/>
  <c r="O30" i="195"/>
  <c r="M30" i="195"/>
  <c r="S30" i="195" s="1"/>
  <c r="T30" i="195" s="1"/>
  <c r="L30" i="195"/>
  <c r="O29" i="195"/>
  <c r="M29" i="195"/>
  <c r="S29" i="195" s="1"/>
  <c r="T29" i="195" s="1"/>
  <c r="L29" i="195"/>
  <c r="O28" i="195"/>
  <c r="M28" i="195"/>
  <c r="S28" i="195" s="1"/>
  <c r="T28" i="195" s="1"/>
  <c r="L28" i="195"/>
  <c r="O27" i="195"/>
  <c r="M27" i="195"/>
  <c r="S27" i="195" s="1"/>
  <c r="T27" i="195" s="1"/>
  <c r="L27" i="195"/>
  <c r="O26" i="195"/>
  <c r="M26" i="195"/>
  <c r="S26" i="195" s="1"/>
  <c r="T26" i="195" s="1"/>
  <c r="L26" i="195"/>
  <c r="O25" i="195"/>
  <c r="M25" i="195"/>
  <c r="S25" i="195" s="1"/>
  <c r="T25" i="195" s="1"/>
  <c r="L25" i="195"/>
  <c r="O24" i="195"/>
  <c r="M24" i="195"/>
  <c r="S24" i="195" s="1"/>
  <c r="T24" i="195" s="1"/>
  <c r="L24" i="195"/>
  <c r="O23" i="195"/>
  <c r="M23" i="195"/>
  <c r="S23" i="195" s="1"/>
  <c r="T23" i="195" s="1"/>
  <c r="L23" i="195"/>
  <c r="O22" i="195"/>
  <c r="M22" i="195"/>
  <c r="S22" i="195" s="1"/>
  <c r="T22" i="195" s="1"/>
  <c r="L22" i="195"/>
  <c r="O21" i="195"/>
  <c r="M21" i="195"/>
  <c r="S21" i="195" s="1"/>
  <c r="T21" i="195" s="1"/>
  <c r="L21" i="195"/>
  <c r="O20" i="195"/>
  <c r="M20" i="195"/>
  <c r="S20" i="195" s="1"/>
  <c r="T20" i="195" s="1"/>
  <c r="L20" i="195"/>
  <c r="O19" i="195"/>
  <c r="M19" i="195"/>
  <c r="S19" i="195" s="1"/>
  <c r="T19" i="195" s="1"/>
  <c r="L19" i="195"/>
  <c r="O18" i="195"/>
  <c r="M18" i="195"/>
  <c r="S18" i="195" s="1"/>
  <c r="T18" i="195" s="1"/>
  <c r="L18" i="195"/>
  <c r="O17" i="195"/>
  <c r="M17" i="195"/>
  <c r="S17" i="195" s="1"/>
  <c r="T17" i="195" s="1"/>
  <c r="L17" i="195"/>
  <c r="O16" i="195"/>
  <c r="M16" i="195"/>
  <c r="S16" i="195" s="1"/>
  <c r="T16" i="195" s="1"/>
  <c r="L16" i="195"/>
  <c r="O15" i="195"/>
  <c r="M15" i="195"/>
  <c r="S15" i="195" s="1"/>
  <c r="T15" i="195" s="1"/>
  <c r="L15" i="195"/>
  <c r="O14" i="195"/>
  <c r="M14" i="195"/>
  <c r="S14" i="195" s="1"/>
  <c r="T14" i="195" s="1"/>
  <c r="L14" i="195"/>
  <c r="O13" i="195"/>
  <c r="M13" i="195"/>
  <c r="S13" i="195" s="1"/>
  <c r="T13" i="195" s="1"/>
  <c r="L13" i="195"/>
  <c r="O12" i="195"/>
  <c r="M12" i="195"/>
  <c r="S12" i="195" s="1"/>
  <c r="T12" i="195" s="1"/>
  <c r="L12" i="195"/>
  <c r="O11" i="195"/>
  <c r="M11" i="195"/>
  <c r="S11" i="195" s="1"/>
  <c r="T11" i="195" s="1"/>
  <c r="L11" i="195"/>
  <c r="O10" i="195"/>
  <c r="M10" i="195"/>
  <c r="S10" i="195" s="1"/>
  <c r="T10" i="195" s="1"/>
  <c r="L10" i="195"/>
  <c r="O9" i="195"/>
  <c r="M9" i="195"/>
  <c r="S9" i="195" s="1"/>
  <c r="T9" i="195" s="1"/>
  <c r="L9" i="195"/>
  <c r="O8" i="195"/>
  <c r="M8" i="195"/>
  <c r="S8" i="195" s="1"/>
  <c r="L8" i="195"/>
  <c r="O7" i="195"/>
  <c r="M7" i="195"/>
  <c r="S7" i="195" s="1"/>
  <c r="T7" i="195" s="1"/>
  <c r="L7" i="195"/>
  <c r="O6" i="195"/>
  <c r="M6" i="195"/>
  <c r="S6" i="195" s="1"/>
  <c r="T6" i="195" s="1"/>
  <c r="L6" i="195"/>
  <c r="O5" i="195"/>
  <c r="M5" i="195"/>
  <c r="S5" i="195" s="1"/>
  <c r="T5" i="195" s="1"/>
  <c r="L5" i="195"/>
  <c r="O4" i="195"/>
  <c r="M4" i="195"/>
  <c r="L4" i="195"/>
  <c r="AI36" i="194"/>
  <c r="AH36" i="194"/>
  <c r="AG36" i="194"/>
  <c r="AF36" i="194"/>
  <c r="AE36" i="194"/>
  <c r="AD36" i="194"/>
  <c r="AC36" i="194"/>
  <c r="AB36" i="194"/>
  <c r="AA36" i="194"/>
  <c r="Z36" i="194"/>
  <c r="X36" i="194"/>
  <c r="V36" i="194"/>
  <c r="W36" i="194"/>
  <c r="U36" i="194"/>
  <c r="K36" i="194"/>
  <c r="O35" i="194"/>
  <c r="M35" i="194"/>
  <c r="S35" i="194" s="1"/>
  <c r="T35" i="194" s="1"/>
  <c r="L35" i="194"/>
  <c r="O34" i="194"/>
  <c r="M34" i="194"/>
  <c r="S34" i="194" s="1"/>
  <c r="T34" i="194" s="1"/>
  <c r="L34" i="194"/>
  <c r="O33" i="194"/>
  <c r="M33" i="194"/>
  <c r="S33" i="194" s="1"/>
  <c r="T33" i="194" s="1"/>
  <c r="L33" i="194"/>
  <c r="O31" i="194"/>
  <c r="M31" i="194"/>
  <c r="S31" i="194" s="1"/>
  <c r="T31" i="194" s="1"/>
  <c r="L31" i="194"/>
  <c r="O30" i="194"/>
  <c r="M30" i="194"/>
  <c r="S30" i="194" s="1"/>
  <c r="T30" i="194" s="1"/>
  <c r="L30" i="194"/>
  <c r="O29" i="194"/>
  <c r="M29" i="194"/>
  <c r="S29" i="194" s="1"/>
  <c r="T29" i="194" s="1"/>
  <c r="L29" i="194"/>
  <c r="O28" i="194"/>
  <c r="M28" i="194"/>
  <c r="S28" i="194" s="1"/>
  <c r="T28" i="194" s="1"/>
  <c r="L28" i="194"/>
  <c r="O27" i="194"/>
  <c r="S27" i="194"/>
  <c r="T27" i="194" s="1"/>
  <c r="L27" i="194"/>
  <c r="O26" i="194"/>
  <c r="M26" i="194"/>
  <c r="S26" i="194" s="1"/>
  <c r="T26" i="194" s="1"/>
  <c r="L26" i="194"/>
  <c r="O25" i="194"/>
  <c r="M25" i="194"/>
  <c r="S25" i="194" s="1"/>
  <c r="T25" i="194" s="1"/>
  <c r="L25" i="194"/>
  <c r="O24" i="194"/>
  <c r="M24" i="194"/>
  <c r="S24" i="194" s="1"/>
  <c r="T24" i="194" s="1"/>
  <c r="L24" i="194"/>
  <c r="O23" i="194"/>
  <c r="M23" i="194"/>
  <c r="S23" i="194" s="1"/>
  <c r="T23" i="194" s="1"/>
  <c r="L23" i="194"/>
  <c r="O22" i="194"/>
  <c r="M22" i="194"/>
  <c r="S22" i="194" s="1"/>
  <c r="T22" i="194" s="1"/>
  <c r="L22" i="194"/>
  <c r="O21" i="194"/>
  <c r="M21" i="194"/>
  <c r="S21" i="194" s="1"/>
  <c r="T21" i="194" s="1"/>
  <c r="L21" i="194"/>
  <c r="O20" i="194"/>
  <c r="M20" i="194"/>
  <c r="S20" i="194" s="1"/>
  <c r="T20" i="194" s="1"/>
  <c r="L20" i="194"/>
  <c r="O19" i="194"/>
  <c r="M19" i="194"/>
  <c r="S19" i="194" s="1"/>
  <c r="T19" i="194" s="1"/>
  <c r="L19" i="194"/>
  <c r="O18" i="194"/>
  <c r="M18" i="194"/>
  <c r="S18" i="194" s="1"/>
  <c r="T18" i="194" s="1"/>
  <c r="L18" i="194"/>
  <c r="O17" i="194"/>
  <c r="M17" i="194"/>
  <c r="S17" i="194" s="1"/>
  <c r="T17" i="194" s="1"/>
  <c r="L17" i="194"/>
  <c r="O16" i="194"/>
  <c r="M16" i="194"/>
  <c r="S16" i="194" s="1"/>
  <c r="T16" i="194" s="1"/>
  <c r="L16" i="194"/>
  <c r="O15" i="194"/>
  <c r="M15" i="194"/>
  <c r="S15" i="194" s="1"/>
  <c r="T15" i="194" s="1"/>
  <c r="L15" i="194"/>
  <c r="O14" i="194"/>
  <c r="M14" i="194"/>
  <c r="S14" i="194" s="1"/>
  <c r="T14" i="194" s="1"/>
  <c r="L14" i="194"/>
  <c r="O13" i="194"/>
  <c r="M13" i="194"/>
  <c r="S13" i="194" s="1"/>
  <c r="T13" i="194" s="1"/>
  <c r="L13" i="194"/>
  <c r="O12" i="194"/>
  <c r="M12" i="194"/>
  <c r="S12" i="194" s="1"/>
  <c r="T12" i="194" s="1"/>
  <c r="L12" i="194"/>
  <c r="O11" i="194"/>
  <c r="M11" i="194"/>
  <c r="S11" i="194" s="1"/>
  <c r="T11" i="194" s="1"/>
  <c r="L11" i="194"/>
  <c r="O10" i="194"/>
  <c r="M10" i="194"/>
  <c r="S10" i="194" s="1"/>
  <c r="T10" i="194" s="1"/>
  <c r="L10" i="194"/>
  <c r="O9" i="194"/>
  <c r="M9" i="194"/>
  <c r="S9" i="194" s="1"/>
  <c r="T9" i="194" s="1"/>
  <c r="L9" i="194"/>
  <c r="O8" i="194"/>
  <c r="M8" i="194"/>
  <c r="S8" i="194" s="1"/>
  <c r="T8" i="194" s="1"/>
  <c r="L8" i="194"/>
  <c r="O7" i="194"/>
  <c r="M7" i="194"/>
  <c r="S7" i="194" s="1"/>
  <c r="T7" i="194" s="1"/>
  <c r="L7" i="194"/>
  <c r="O6" i="194"/>
  <c r="M6" i="194"/>
  <c r="S6" i="194" s="1"/>
  <c r="T6" i="194" s="1"/>
  <c r="L6" i="194"/>
  <c r="O5" i="194"/>
  <c r="M5" i="194"/>
  <c r="S5" i="194" s="1"/>
  <c r="T5" i="194" s="1"/>
  <c r="L5" i="194"/>
  <c r="O4" i="194"/>
  <c r="M4" i="194"/>
  <c r="S4" i="194" s="1"/>
  <c r="T4" i="194" s="1"/>
  <c r="L4" i="194"/>
  <c r="AI36" i="190"/>
  <c r="AH36" i="190"/>
  <c r="AG36" i="190"/>
  <c r="AF36" i="190"/>
  <c r="AE36" i="190"/>
  <c r="AD36" i="190"/>
  <c r="AC36" i="190"/>
  <c r="AB36" i="190"/>
  <c r="AA36" i="190"/>
  <c r="Z36" i="190"/>
  <c r="Y36" i="190"/>
  <c r="X36" i="190"/>
  <c r="W36" i="190"/>
  <c r="V36" i="190"/>
  <c r="U36" i="190"/>
  <c r="K36" i="190"/>
  <c r="S35" i="190"/>
  <c r="T35" i="190" s="1"/>
  <c r="O35" i="190"/>
  <c r="M35" i="190"/>
  <c r="L35" i="190"/>
  <c r="O34" i="190"/>
  <c r="M34" i="190"/>
  <c r="S34" i="190" s="1"/>
  <c r="T34" i="190" s="1"/>
  <c r="L34" i="190"/>
  <c r="O33" i="190"/>
  <c r="M33" i="190"/>
  <c r="S33" i="190" s="1"/>
  <c r="T33" i="190" s="1"/>
  <c r="L33" i="190"/>
  <c r="S31" i="190"/>
  <c r="T31" i="190" s="1"/>
  <c r="O31" i="190"/>
  <c r="M31" i="190"/>
  <c r="L31" i="190"/>
  <c r="S30" i="190"/>
  <c r="T30" i="190" s="1"/>
  <c r="O30" i="190"/>
  <c r="M30" i="190"/>
  <c r="L30" i="190"/>
  <c r="O29" i="190"/>
  <c r="M29" i="190"/>
  <c r="S29" i="190" s="1"/>
  <c r="T29" i="190" s="1"/>
  <c r="L29" i="190"/>
  <c r="S28" i="190"/>
  <c r="T28" i="190" s="1"/>
  <c r="O28" i="190"/>
  <c r="M28" i="190"/>
  <c r="L28" i="190"/>
  <c r="O27" i="190"/>
  <c r="M27" i="190"/>
  <c r="S27" i="190" s="1"/>
  <c r="T27" i="190" s="1"/>
  <c r="L27" i="190"/>
  <c r="O26" i="190"/>
  <c r="M26" i="190"/>
  <c r="S26" i="190" s="1"/>
  <c r="T26" i="190" s="1"/>
  <c r="L26" i="190"/>
  <c r="S25" i="190"/>
  <c r="T25" i="190" s="1"/>
  <c r="O25" i="190"/>
  <c r="M25" i="190"/>
  <c r="L25" i="190"/>
  <c r="S24" i="190"/>
  <c r="T24" i="190" s="1"/>
  <c r="O24" i="190"/>
  <c r="M24" i="190"/>
  <c r="L24" i="190"/>
  <c r="O23" i="190"/>
  <c r="M23" i="190"/>
  <c r="S23" i="190" s="1"/>
  <c r="T23" i="190" s="1"/>
  <c r="L23" i="190"/>
  <c r="S22" i="190"/>
  <c r="T22" i="190" s="1"/>
  <c r="O22" i="190"/>
  <c r="M22" i="190"/>
  <c r="L22" i="190"/>
  <c r="O21" i="190"/>
  <c r="M21" i="190"/>
  <c r="S21" i="190" s="1"/>
  <c r="T21" i="190" s="1"/>
  <c r="L21" i="190"/>
  <c r="O20" i="190"/>
  <c r="M20" i="190"/>
  <c r="S20" i="190" s="1"/>
  <c r="T20" i="190" s="1"/>
  <c r="L20" i="190"/>
  <c r="S19" i="190"/>
  <c r="T19" i="190" s="1"/>
  <c r="O19" i="190"/>
  <c r="M19" i="190"/>
  <c r="L19" i="190"/>
  <c r="S18" i="190"/>
  <c r="T18" i="190" s="1"/>
  <c r="O18" i="190"/>
  <c r="M18" i="190"/>
  <c r="L18" i="190"/>
  <c r="O17" i="190"/>
  <c r="M17" i="190"/>
  <c r="S17" i="190" s="1"/>
  <c r="T17" i="190" s="1"/>
  <c r="L17" i="190"/>
  <c r="S16" i="190"/>
  <c r="T16" i="190" s="1"/>
  <c r="O16" i="190"/>
  <c r="M16" i="190"/>
  <c r="L16" i="190"/>
  <c r="O15" i="190"/>
  <c r="M15" i="190"/>
  <c r="S15" i="190" s="1"/>
  <c r="T15" i="190" s="1"/>
  <c r="L15" i="190"/>
  <c r="O14" i="190"/>
  <c r="M14" i="190"/>
  <c r="S14" i="190" s="1"/>
  <c r="T14" i="190" s="1"/>
  <c r="L14" i="190"/>
  <c r="S13" i="190"/>
  <c r="T13" i="190" s="1"/>
  <c r="O13" i="190"/>
  <c r="M13" i="190"/>
  <c r="L13" i="190"/>
  <c r="S12" i="190"/>
  <c r="T12" i="190" s="1"/>
  <c r="O12" i="190"/>
  <c r="M12" i="190"/>
  <c r="L12" i="190"/>
  <c r="O11" i="190"/>
  <c r="M11" i="190"/>
  <c r="S11" i="190" s="1"/>
  <c r="T11" i="190" s="1"/>
  <c r="L11" i="190"/>
  <c r="S10" i="190"/>
  <c r="T10" i="190" s="1"/>
  <c r="O10" i="190"/>
  <c r="M10" i="190"/>
  <c r="L10" i="190"/>
  <c r="O9" i="190"/>
  <c r="M9" i="190"/>
  <c r="S9" i="190" s="1"/>
  <c r="T9" i="190" s="1"/>
  <c r="L9" i="190"/>
  <c r="O8" i="190"/>
  <c r="M8" i="190"/>
  <c r="S8" i="190" s="1"/>
  <c r="T8" i="190" s="1"/>
  <c r="L8" i="190"/>
  <c r="S7" i="190"/>
  <c r="T7" i="190" s="1"/>
  <c r="O7" i="190"/>
  <c r="M7" i="190"/>
  <c r="L7" i="190"/>
  <c r="S6" i="190"/>
  <c r="T6" i="190" s="1"/>
  <c r="O6" i="190"/>
  <c r="M6" i="190"/>
  <c r="L6" i="190"/>
  <c r="O5" i="190"/>
  <c r="M5" i="190"/>
  <c r="S5" i="190" s="1"/>
  <c r="T5" i="190" s="1"/>
  <c r="L5" i="190"/>
  <c r="S4" i="190"/>
  <c r="T4" i="190" s="1"/>
  <c r="O4" i="190"/>
  <c r="M4" i="190"/>
  <c r="L4" i="190"/>
  <c r="K36" i="209"/>
  <c r="O35" i="209"/>
  <c r="M35" i="209"/>
  <c r="S35" i="209" s="1"/>
  <c r="T35" i="209" s="1"/>
  <c r="L35" i="209"/>
  <c r="O34" i="209"/>
  <c r="M34" i="209"/>
  <c r="S34" i="209" s="1"/>
  <c r="T34" i="209" s="1"/>
  <c r="L34" i="209"/>
  <c r="O33" i="209"/>
  <c r="M33" i="209"/>
  <c r="S33" i="209" s="1"/>
  <c r="T33" i="209" s="1"/>
  <c r="L33" i="209"/>
  <c r="O31" i="209"/>
  <c r="M31" i="209"/>
  <c r="S31" i="209" s="1"/>
  <c r="T31" i="209" s="1"/>
  <c r="L31" i="209"/>
  <c r="O30" i="209"/>
  <c r="M30" i="209"/>
  <c r="S30" i="209" s="1"/>
  <c r="T30" i="209" s="1"/>
  <c r="L30" i="209"/>
  <c r="O29" i="209"/>
  <c r="M29" i="209"/>
  <c r="S29" i="209" s="1"/>
  <c r="T29" i="209" s="1"/>
  <c r="L29" i="209"/>
  <c r="S28" i="209"/>
  <c r="T28" i="209" s="1"/>
  <c r="O28" i="209"/>
  <c r="M28" i="209"/>
  <c r="L28" i="209"/>
  <c r="S27" i="209"/>
  <c r="T27" i="209" s="1"/>
  <c r="O27" i="209"/>
  <c r="M27" i="209"/>
  <c r="L27" i="209"/>
  <c r="O26" i="209"/>
  <c r="M26" i="209"/>
  <c r="S26" i="209" s="1"/>
  <c r="T26" i="209" s="1"/>
  <c r="L26" i="209"/>
  <c r="O25" i="209"/>
  <c r="M25" i="209"/>
  <c r="S25" i="209" s="1"/>
  <c r="T25" i="209" s="1"/>
  <c r="L25" i="209"/>
  <c r="O24" i="209"/>
  <c r="M24" i="209"/>
  <c r="S24" i="209" s="1"/>
  <c r="T24" i="209" s="1"/>
  <c r="L24" i="209"/>
  <c r="O23" i="209"/>
  <c r="M23" i="209"/>
  <c r="S23" i="209" s="1"/>
  <c r="T23" i="209" s="1"/>
  <c r="L23" i="209"/>
  <c r="S22" i="209"/>
  <c r="T22" i="209" s="1"/>
  <c r="O22" i="209"/>
  <c r="M22" i="209"/>
  <c r="L22" i="209"/>
  <c r="O21" i="209"/>
  <c r="M21" i="209"/>
  <c r="S21" i="209" s="1"/>
  <c r="T21" i="209" s="1"/>
  <c r="L21" i="209"/>
  <c r="O20" i="209"/>
  <c r="M20" i="209"/>
  <c r="S20" i="209" s="1"/>
  <c r="T20" i="209" s="1"/>
  <c r="L20" i="209"/>
  <c r="O19" i="209"/>
  <c r="M19" i="209"/>
  <c r="S19" i="209" s="1"/>
  <c r="T19" i="209" s="1"/>
  <c r="L19" i="209"/>
  <c r="O18" i="209"/>
  <c r="M18" i="209"/>
  <c r="S18" i="209" s="1"/>
  <c r="T18" i="209" s="1"/>
  <c r="L18" i="209"/>
  <c r="O17" i="209"/>
  <c r="M17" i="209"/>
  <c r="S17" i="209" s="1"/>
  <c r="T17" i="209" s="1"/>
  <c r="L17" i="209"/>
  <c r="O16" i="209"/>
  <c r="M16" i="209"/>
  <c r="S16" i="209" s="1"/>
  <c r="T16" i="209" s="1"/>
  <c r="L16" i="209"/>
  <c r="S15" i="209"/>
  <c r="T15" i="209" s="1"/>
  <c r="O15" i="209"/>
  <c r="M15" i="209"/>
  <c r="L15" i="209"/>
  <c r="O14" i="209"/>
  <c r="M14" i="209"/>
  <c r="S14" i="209" s="1"/>
  <c r="T14" i="209" s="1"/>
  <c r="L14" i="209"/>
  <c r="O13" i="209"/>
  <c r="M13" i="209"/>
  <c r="S13" i="209" s="1"/>
  <c r="T13" i="209" s="1"/>
  <c r="L13" i="209"/>
  <c r="O12" i="209"/>
  <c r="M12" i="209"/>
  <c r="S12" i="209" s="1"/>
  <c r="T12" i="209" s="1"/>
  <c r="L12" i="209"/>
  <c r="O11" i="209"/>
  <c r="M11" i="209"/>
  <c r="S11" i="209" s="1"/>
  <c r="T11" i="209" s="1"/>
  <c r="L11" i="209"/>
  <c r="S10" i="209"/>
  <c r="T10" i="209" s="1"/>
  <c r="O10" i="209"/>
  <c r="M10" i="209"/>
  <c r="L10" i="209"/>
  <c r="O9" i="209"/>
  <c r="M9" i="209"/>
  <c r="S9" i="209" s="1"/>
  <c r="T9" i="209" s="1"/>
  <c r="L9" i="209"/>
  <c r="O8" i="209"/>
  <c r="M8" i="209"/>
  <c r="S8" i="209" s="1"/>
  <c r="T8" i="209" s="1"/>
  <c r="L8" i="209"/>
  <c r="O7" i="209"/>
  <c r="M7" i="209"/>
  <c r="S7" i="209" s="1"/>
  <c r="T7" i="209" s="1"/>
  <c r="L7" i="209"/>
  <c r="O6" i="209"/>
  <c r="M6" i="209"/>
  <c r="S6" i="209" s="1"/>
  <c r="T6" i="209" s="1"/>
  <c r="L6" i="209"/>
  <c r="O5" i="209"/>
  <c r="M5" i="209"/>
  <c r="S5" i="209" s="1"/>
  <c r="T5" i="209" s="1"/>
  <c r="L5" i="209"/>
  <c r="S4" i="209"/>
  <c r="T4" i="209" s="1"/>
  <c r="O4" i="209"/>
  <c r="M4" i="209"/>
  <c r="L4" i="209"/>
  <c r="AI36" i="211"/>
  <c r="AH36" i="211"/>
  <c r="AG36" i="211"/>
  <c r="AF36" i="211"/>
  <c r="AE36" i="211"/>
  <c r="AD36" i="211"/>
  <c r="AC36" i="211"/>
  <c r="AB36" i="211"/>
  <c r="AA36" i="211"/>
  <c r="Z36" i="211"/>
  <c r="Y36" i="211"/>
  <c r="X36" i="211"/>
  <c r="W36" i="211"/>
  <c r="K36" i="211"/>
  <c r="S35" i="211"/>
  <c r="T35" i="211" s="1"/>
  <c r="O35" i="211"/>
  <c r="M35" i="211"/>
  <c r="L35" i="211"/>
  <c r="O34" i="211"/>
  <c r="M34" i="211"/>
  <c r="S34" i="211" s="1"/>
  <c r="T34" i="211" s="1"/>
  <c r="L34" i="211"/>
  <c r="O33" i="211"/>
  <c r="M33" i="211"/>
  <c r="S33" i="211" s="1"/>
  <c r="T33" i="211" s="1"/>
  <c r="L33" i="211"/>
  <c r="O31" i="211"/>
  <c r="M31" i="211"/>
  <c r="S31" i="211" s="1"/>
  <c r="T31" i="211" s="1"/>
  <c r="L31" i="211"/>
  <c r="O30" i="211"/>
  <c r="M30" i="211"/>
  <c r="S30" i="211" s="1"/>
  <c r="T30" i="211" s="1"/>
  <c r="L30" i="211"/>
  <c r="O29" i="211"/>
  <c r="M29" i="211"/>
  <c r="S29" i="211" s="1"/>
  <c r="T29" i="211" s="1"/>
  <c r="L29" i="211"/>
  <c r="O28" i="211"/>
  <c r="M28" i="211"/>
  <c r="S28" i="211" s="1"/>
  <c r="T28" i="211" s="1"/>
  <c r="L28" i="211"/>
  <c r="O27" i="211"/>
  <c r="M27" i="211"/>
  <c r="S27" i="211" s="1"/>
  <c r="T27" i="211" s="1"/>
  <c r="L27" i="211"/>
  <c r="O26" i="211"/>
  <c r="M26" i="211"/>
  <c r="S26" i="211" s="1"/>
  <c r="T26" i="211" s="1"/>
  <c r="L26" i="211"/>
  <c r="O25" i="211"/>
  <c r="M25" i="211"/>
  <c r="S25" i="211" s="1"/>
  <c r="T25" i="211" s="1"/>
  <c r="L25" i="211"/>
  <c r="O24" i="211"/>
  <c r="M24" i="211"/>
  <c r="S24" i="211" s="1"/>
  <c r="T24" i="211" s="1"/>
  <c r="L24" i="211"/>
  <c r="O23" i="211"/>
  <c r="M23" i="211"/>
  <c r="S23" i="211" s="1"/>
  <c r="T23" i="211" s="1"/>
  <c r="L23" i="211"/>
  <c r="S22" i="211"/>
  <c r="T22" i="211" s="1"/>
  <c r="O22" i="211"/>
  <c r="M22" i="211"/>
  <c r="L22" i="211"/>
  <c r="O21" i="211"/>
  <c r="M21" i="211"/>
  <c r="S21" i="211" s="1"/>
  <c r="T21" i="211" s="1"/>
  <c r="L21" i="211"/>
  <c r="O20" i="211"/>
  <c r="M20" i="211"/>
  <c r="S20" i="211" s="1"/>
  <c r="T20" i="211" s="1"/>
  <c r="L20" i="211"/>
  <c r="O19" i="211"/>
  <c r="M19" i="211"/>
  <c r="S19" i="211" s="1"/>
  <c r="T19" i="211" s="1"/>
  <c r="L19" i="211"/>
  <c r="O18" i="211"/>
  <c r="M18" i="211"/>
  <c r="S18" i="211" s="1"/>
  <c r="T18" i="211" s="1"/>
  <c r="L18" i="211"/>
  <c r="O17" i="211"/>
  <c r="M17" i="211"/>
  <c r="S17" i="211" s="1"/>
  <c r="T17" i="211" s="1"/>
  <c r="L17" i="211"/>
  <c r="S16" i="211"/>
  <c r="T16" i="211" s="1"/>
  <c r="O16" i="211"/>
  <c r="M16" i="211"/>
  <c r="L16" i="211"/>
  <c r="O15" i="211"/>
  <c r="M15" i="211"/>
  <c r="S15" i="211" s="1"/>
  <c r="T15" i="211" s="1"/>
  <c r="L15" i="211"/>
  <c r="O14" i="211"/>
  <c r="M14" i="211"/>
  <c r="S14" i="211" s="1"/>
  <c r="T14" i="211" s="1"/>
  <c r="L14" i="211"/>
  <c r="O13" i="211"/>
  <c r="M13" i="211"/>
  <c r="S13" i="211" s="1"/>
  <c r="T13" i="211" s="1"/>
  <c r="L13" i="211"/>
  <c r="O12" i="211"/>
  <c r="M12" i="211"/>
  <c r="S12" i="211" s="1"/>
  <c r="T12" i="211" s="1"/>
  <c r="L12" i="211"/>
  <c r="O11" i="211"/>
  <c r="M11" i="211"/>
  <c r="S11" i="211" s="1"/>
  <c r="T11" i="211" s="1"/>
  <c r="L11" i="211"/>
  <c r="S10" i="211"/>
  <c r="T10" i="211" s="1"/>
  <c r="O10" i="211"/>
  <c r="M10" i="211"/>
  <c r="L10" i="211"/>
  <c r="O9" i="211"/>
  <c r="M9" i="211"/>
  <c r="S9" i="211" s="1"/>
  <c r="T9" i="211" s="1"/>
  <c r="L9" i="211"/>
  <c r="O8" i="211"/>
  <c r="M8" i="211"/>
  <c r="S8" i="211" s="1"/>
  <c r="T8" i="211" s="1"/>
  <c r="L8" i="211"/>
  <c r="O7" i="211"/>
  <c r="M7" i="211"/>
  <c r="S7" i="211" s="1"/>
  <c r="T7" i="211" s="1"/>
  <c r="L7" i="211"/>
  <c r="O6" i="211"/>
  <c r="M6" i="211"/>
  <c r="S6" i="211" s="1"/>
  <c r="T6" i="211" s="1"/>
  <c r="L6" i="211"/>
  <c r="O5" i="211"/>
  <c r="M5" i="211"/>
  <c r="S5" i="211" s="1"/>
  <c r="T5" i="211" s="1"/>
  <c r="L5" i="211"/>
  <c r="S4" i="211"/>
  <c r="O4" i="211"/>
  <c r="M4" i="211"/>
  <c r="L4" i="211"/>
  <c r="AI36" i="201"/>
  <c r="AH36" i="201"/>
  <c r="AG36" i="201"/>
  <c r="AF36" i="201"/>
  <c r="AE36" i="201"/>
  <c r="AD36" i="201"/>
  <c r="AC36" i="201"/>
  <c r="AB36" i="201"/>
  <c r="AA36" i="201"/>
  <c r="Z36" i="201"/>
  <c r="Y36" i="201"/>
  <c r="X36" i="201"/>
  <c r="W36" i="201"/>
  <c r="V36" i="201"/>
  <c r="U36" i="201"/>
  <c r="K36" i="201"/>
  <c r="S35" i="201"/>
  <c r="T35" i="201" s="1"/>
  <c r="O35" i="201"/>
  <c r="M35" i="201"/>
  <c r="L35" i="201"/>
  <c r="O34" i="201"/>
  <c r="M34" i="201"/>
  <c r="S34" i="201" s="1"/>
  <c r="T34" i="201" s="1"/>
  <c r="L34" i="201"/>
  <c r="O33" i="201"/>
  <c r="M33" i="201"/>
  <c r="S33" i="201" s="1"/>
  <c r="T33" i="201" s="1"/>
  <c r="L33" i="201"/>
  <c r="S31" i="201"/>
  <c r="T31" i="201" s="1"/>
  <c r="O31" i="201"/>
  <c r="M31" i="201"/>
  <c r="L31" i="201"/>
  <c r="S30" i="201"/>
  <c r="T30" i="201" s="1"/>
  <c r="O30" i="201"/>
  <c r="M30" i="201"/>
  <c r="L30" i="201"/>
  <c r="O29" i="201"/>
  <c r="M29" i="201"/>
  <c r="S29" i="201" s="1"/>
  <c r="T29" i="201" s="1"/>
  <c r="L29" i="201"/>
  <c r="S28" i="201"/>
  <c r="T28" i="201" s="1"/>
  <c r="O28" i="201"/>
  <c r="M28" i="201"/>
  <c r="L28" i="201"/>
  <c r="O27" i="201"/>
  <c r="M27" i="201"/>
  <c r="S27" i="201" s="1"/>
  <c r="T27" i="201" s="1"/>
  <c r="L27" i="201"/>
  <c r="O26" i="201"/>
  <c r="M26" i="201"/>
  <c r="S26" i="201" s="1"/>
  <c r="T26" i="201" s="1"/>
  <c r="L26" i="201"/>
  <c r="S25" i="201"/>
  <c r="T25" i="201" s="1"/>
  <c r="O25" i="201"/>
  <c r="M25" i="201"/>
  <c r="L25" i="201"/>
  <c r="S24" i="201"/>
  <c r="T24" i="201" s="1"/>
  <c r="O24" i="201"/>
  <c r="M24" i="201"/>
  <c r="L24" i="201"/>
  <c r="O23" i="201"/>
  <c r="M23" i="201"/>
  <c r="S23" i="201" s="1"/>
  <c r="T23" i="201" s="1"/>
  <c r="L23" i="201"/>
  <c r="S22" i="201"/>
  <c r="T22" i="201" s="1"/>
  <c r="O22" i="201"/>
  <c r="M22" i="201"/>
  <c r="L22" i="201"/>
  <c r="O21" i="201"/>
  <c r="M21" i="201"/>
  <c r="S21" i="201" s="1"/>
  <c r="T21" i="201" s="1"/>
  <c r="L21" i="201"/>
  <c r="O20" i="201"/>
  <c r="M20" i="201"/>
  <c r="S20" i="201" s="1"/>
  <c r="T20" i="201" s="1"/>
  <c r="L20" i="201"/>
  <c r="S19" i="201"/>
  <c r="T19" i="201" s="1"/>
  <c r="O19" i="201"/>
  <c r="M19" i="201"/>
  <c r="L19" i="201"/>
  <c r="S18" i="201"/>
  <c r="T18" i="201" s="1"/>
  <c r="O18" i="201"/>
  <c r="M18" i="201"/>
  <c r="L18" i="201"/>
  <c r="O17" i="201"/>
  <c r="M17" i="201"/>
  <c r="S17" i="201" s="1"/>
  <c r="T17" i="201" s="1"/>
  <c r="L17" i="201"/>
  <c r="S16" i="201"/>
  <c r="T16" i="201" s="1"/>
  <c r="O16" i="201"/>
  <c r="M16" i="201"/>
  <c r="L16" i="201"/>
  <c r="O15" i="201"/>
  <c r="M15" i="201"/>
  <c r="S15" i="201" s="1"/>
  <c r="T15" i="201" s="1"/>
  <c r="L15" i="201"/>
  <c r="O14" i="201"/>
  <c r="M14" i="201"/>
  <c r="S14" i="201" s="1"/>
  <c r="T14" i="201" s="1"/>
  <c r="L14" i="201"/>
  <c r="S13" i="201"/>
  <c r="T13" i="201" s="1"/>
  <c r="O13" i="201"/>
  <c r="M13" i="201"/>
  <c r="L13" i="201"/>
  <c r="S12" i="201"/>
  <c r="T12" i="201" s="1"/>
  <c r="O12" i="201"/>
  <c r="M12" i="201"/>
  <c r="L12" i="201"/>
  <c r="O11" i="201"/>
  <c r="M11" i="201"/>
  <c r="S11" i="201" s="1"/>
  <c r="T11" i="201" s="1"/>
  <c r="L11" i="201"/>
  <c r="S10" i="201"/>
  <c r="T10" i="201" s="1"/>
  <c r="O10" i="201"/>
  <c r="M10" i="201"/>
  <c r="L10" i="201"/>
  <c r="O9" i="201"/>
  <c r="M9" i="201"/>
  <c r="S9" i="201" s="1"/>
  <c r="T9" i="201" s="1"/>
  <c r="L9" i="201"/>
  <c r="O8" i="201"/>
  <c r="M8" i="201"/>
  <c r="S8" i="201" s="1"/>
  <c r="T8" i="201" s="1"/>
  <c r="L8" i="201"/>
  <c r="S7" i="201"/>
  <c r="T7" i="201" s="1"/>
  <c r="O7" i="201"/>
  <c r="M7" i="201"/>
  <c r="L7" i="201"/>
  <c r="S6" i="201"/>
  <c r="T6" i="201" s="1"/>
  <c r="O6" i="201"/>
  <c r="M6" i="201"/>
  <c r="L6" i="201"/>
  <c r="O5" i="201"/>
  <c r="M5" i="201"/>
  <c r="S5" i="201" s="1"/>
  <c r="T5" i="201" s="1"/>
  <c r="L5" i="201"/>
  <c r="S4" i="201"/>
  <c r="T4" i="201" s="1"/>
  <c r="O4" i="201"/>
  <c r="M4" i="201"/>
  <c r="L4" i="201"/>
  <c r="K36" i="205"/>
  <c r="O35" i="205"/>
  <c r="M35" i="205"/>
  <c r="S35" i="205" s="1"/>
  <c r="T35" i="205" s="1"/>
  <c r="L35" i="205"/>
  <c r="O34" i="205"/>
  <c r="M34" i="205"/>
  <c r="S34" i="205" s="1"/>
  <c r="T34" i="205" s="1"/>
  <c r="L34" i="205"/>
  <c r="O33" i="205"/>
  <c r="M33" i="205"/>
  <c r="S33" i="205" s="1"/>
  <c r="T33" i="205" s="1"/>
  <c r="L33" i="205"/>
  <c r="O31" i="205"/>
  <c r="M31" i="205"/>
  <c r="S31" i="205" s="1"/>
  <c r="T31" i="205" s="1"/>
  <c r="L31" i="205"/>
  <c r="O30" i="205"/>
  <c r="M30" i="205"/>
  <c r="S30" i="205" s="1"/>
  <c r="T30" i="205" s="1"/>
  <c r="L30" i="205"/>
  <c r="O29" i="205"/>
  <c r="M29" i="205"/>
  <c r="S29" i="205" s="1"/>
  <c r="T29" i="205" s="1"/>
  <c r="L29" i="205"/>
  <c r="O28" i="205"/>
  <c r="M28" i="205"/>
  <c r="S28" i="205" s="1"/>
  <c r="T28" i="205" s="1"/>
  <c r="L28" i="205"/>
  <c r="O27" i="205"/>
  <c r="M27" i="205"/>
  <c r="S27" i="205" s="1"/>
  <c r="T27" i="205" s="1"/>
  <c r="L27" i="205"/>
  <c r="O26" i="205"/>
  <c r="M26" i="205"/>
  <c r="S26" i="205" s="1"/>
  <c r="T26" i="205" s="1"/>
  <c r="L26" i="205"/>
  <c r="O25" i="205"/>
  <c r="M25" i="205"/>
  <c r="S25" i="205" s="1"/>
  <c r="T25" i="205" s="1"/>
  <c r="L25" i="205"/>
  <c r="O24" i="205"/>
  <c r="M24" i="205"/>
  <c r="S24" i="205" s="1"/>
  <c r="T24" i="205" s="1"/>
  <c r="L24" i="205"/>
  <c r="O23" i="205"/>
  <c r="M23" i="205"/>
  <c r="S23" i="205" s="1"/>
  <c r="T23" i="205" s="1"/>
  <c r="L23" i="205"/>
  <c r="S22" i="205"/>
  <c r="T22" i="205" s="1"/>
  <c r="O22" i="205"/>
  <c r="M22" i="205"/>
  <c r="L22" i="205"/>
  <c r="O21" i="205"/>
  <c r="M21" i="205"/>
  <c r="S21" i="205" s="1"/>
  <c r="T21" i="205" s="1"/>
  <c r="L21" i="205"/>
  <c r="O20" i="205"/>
  <c r="M20" i="205"/>
  <c r="S20" i="205" s="1"/>
  <c r="T20" i="205" s="1"/>
  <c r="L20" i="205"/>
  <c r="O19" i="205"/>
  <c r="M19" i="205"/>
  <c r="S19" i="205" s="1"/>
  <c r="T19" i="205" s="1"/>
  <c r="L19" i="205"/>
  <c r="O18" i="205"/>
  <c r="M18" i="205"/>
  <c r="S18" i="205" s="1"/>
  <c r="T18" i="205" s="1"/>
  <c r="L18" i="205"/>
  <c r="O17" i="205"/>
  <c r="M17" i="205"/>
  <c r="S17" i="205" s="1"/>
  <c r="T17" i="205" s="1"/>
  <c r="L17" i="205"/>
  <c r="O16" i="205"/>
  <c r="M16" i="205"/>
  <c r="S16" i="205" s="1"/>
  <c r="T16" i="205" s="1"/>
  <c r="L16" i="205"/>
  <c r="O15" i="205"/>
  <c r="M15" i="205"/>
  <c r="S15" i="205" s="1"/>
  <c r="T15" i="205" s="1"/>
  <c r="L15" i="205"/>
  <c r="O14" i="205"/>
  <c r="M14" i="205"/>
  <c r="S14" i="205" s="1"/>
  <c r="T14" i="205" s="1"/>
  <c r="L14" i="205"/>
  <c r="O13" i="205"/>
  <c r="M13" i="205"/>
  <c r="S13" i="205" s="1"/>
  <c r="T13" i="205" s="1"/>
  <c r="L13" i="205"/>
  <c r="O12" i="205"/>
  <c r="M12" i="205"/>
  <c r="S12" i="205" s="1"/>
  <c r="T12" i="205" s="1"/>
  <c r="L12" i="205"/>
  <c r="O11" i="205"/>
  <c r="M11" i="205"/>
  <c r="S11" i="205" s="1"/>
  <c r="T11" i="205" s="1"/>
  <c r="L11" i="205"/>
  <c r="O10" i="205"/>
  <c r="M10" i="205"/>
  <c r="S10" i="205" s="1"/>
  <c r="T10" i="205" s="1"/>
  <c r="L10" i="205"/>
  <c r="O9" i="205"/>
  <c r="M9" i="205"/>
  <c r="S9" i="205" s="1"/>
  <c r="T9" i="205" s="1"/>
  <c r="L9" i="205"/>
  <c r="O8" i="205"/>
  <c r="M8" i="205"/>
  <c r="S8" i="205" s="1"/>
  <c r="T8" i="205" s="1"/>
  <c r="L8" i="205"/>
  <c r="O7" i="205"/>
  <c r="M7" i="205"/>
  <c r="S7" i="205" s="1"/>
  <c r="T7" i="205" s="1"/>
  <c r="L7" i="205"/>
  <c r="O6" i="205"/>
  <c r="M6" i="205"/>
  <c r="S6" i="205" s="1"/>
  <c r="T6" i="205" s="1"/>
  <c r="L6" i="205"/>
  <c r="O5" i="205"/>
  <c r="M5" i="205"/>
  <c r="S5" i="205" s="1"/>
  <c r="T5" i="205" s="1"/>
  <c r="L5" i="205"/>
  <c r="O4" i="205"/>
  <c r="M4" i="205"/>
  <c r="S4" i="205" s="1"/>
  <c r="T4" i="205" s="1"/>
  <c r="L4" i="205"/>
  <c r="K36" i="206"/>
  <c r="O35" i="206"/>
  <c r="M35" i="206"/>
  <c r="S35" i="206" s="1"/>
  <c r="T35" i="206" s="1"/>
  <c r="L35" i="206"/>
  <c r="O34" i="206"/>
  <c r="M34" i="206"/>
  <c r="S34" i="206" s="1"/>
  <c r="T34" i="206" s="1"/>
  <c r="L34" i="206"/>
  <c r="O33" i="206"/>
  <c r="M33" i="206"/>
  <c r="S33" i="206" s="1"/>
  <c r="T33" i="206" s="1"/>
  <c r="L33" i="206"/>
  <c r="S31" i="206"/>
  <c r="T31" i="206" s="1"/>
  <c r="O31" i="206"/>
  <c r="M31" i="206"/>
  <c r="L31" i="206"/>
  <c r="S30" i="206"/>
  <c r="T30" i="206" s="1"/>
  <c r="O30" i="206"/>
  <c r="M30" i="206"/>
  <c r="L30" i="206"/>
  <c r="O29" i="206"/>
  <c r="M29" i="206"/>
  <c r="S29" i="206" s="1"/>
  <c r="T29" i="206" s="1"/>
  <c r="L29" i="206"/>
  <c r="O28" i="206"/>
  <c r="M28" i="206"/>
  <c r="S28" i="206" s="1"/>
  <c r="T28" i="206" s="1"/>
  <c r="L28" i="206"/>
  <c r="O27" i="206"/>
  <c r="M27" i="206"/>
  <c r="S27" i="206" s="1"/>
  <c r="T27" i="206" s="1"/>
  <c r="L27" i="206"/>
  <c r="O26" i="206"/>
  <c r="M26" i="206"/>
  <c r="S26" i="206" s="1"/>
  <c r="T26" i="206" s="1"/>
  <c r="L26" i="206"/>
  <c r="S25" i="206"/>
  <c r="T25" i="206" s="1"/>
  <c r="O25" i="206"/>
  <c r="M25" i="206"/>
  <c r="L25" i="206"/>
  <c r="S24" i="206"/>
  <c r="T24" i="206" s="1"/>
  <c r="O24" i="206"/>
  <c r="M24" i="206"/>
  <c r="L24" i="206"/>
  <c r="O23" i="206"/>
  <c r="M23" i="206"/>
  <c r="S23" i="206" s="1"/>
  <c r="T23" i="206" s="1"/>
  <c r="L23" i="206"/>
  <c r="O22" i="206"/>
  <c r="M22" i="206"/>
  <c r="S22" i="206" s="1"/>
  <c r="T22" i="206" s="1"/>
  <c r="L22" i="206"/>
  <c r="O21" i="206"/>
  <c r="M21" i="206"/>
  <c r="S21" i="206" s="1"/>
  <c r="T21" i="206" s="1"/>
  <c r="L21" i="206"/>
  <c r="O20" i="206"/>
  <c r="M20" i="206"/>
  <c r="S20" i="206" s="1"/>
  <c r="T20" i="206" s="1"/>
  <c r="L20" i="206"/>
  <c r="S19" i="206"/>
  <c r="T19" i="206" s="1"/>
  <c r="O19" i="206"/>
  <c r="M19" i="206"/>
  <c r="L19" i="206"/>
  <c r="S18" i="206"/>
  <c r="T18" i="206" s="1"/>
  <c r="O18" i="206"/>
  <c r="M18" i="206"/>
  <c r="L18" i="206"/>
  <c r="O17" i="206"/>
  <c r="M17" i="206"/>
  <c r="S17" i="206" s="1"/>
  <c r="T17" i="206" s="1"/>
  <c r="L17" i="206"/>
  <c r="O16" i="206"/>
  <c r="M16" i="206"/>
  <c r="S16" i="206" s="1"/>
  <c r="T16" i="206" s="1"/>
  <c r="L16" i="206"/>
  <c r="O15" i="206"/>
  <c r="M15" i="206"/>
  <c r="S15" i="206" s="1"/>
  <c r="T15" i="206" s="1"/>
  <c r="L15" i="206"/>
  <c r="O14" i="206"/>
  <c r="M14" i="206"/>
  <c r="S14" i="206" s="1"/>
  <c r="T14" i="206" s="1"/>
  <c r="L14" i="206"/>
  <c r="S13" i="206"/>
  <c r="T13" i="206" s="1"/>
  <c r="O13" i="206"/>
  <c r="M13" i="206"/>
  <c r="L13" i="206"/>
  <c r="S12" i="206"/>
  <c r="T12" i="206" s="1"/>
  <c r="O12" i="206"/>
  <c r="M12" i="206"/>
  <c r="L12" i="206"/>
  <c r="O11" i="206"/>
  <c r="M11" i="206"/>
  <c r="S11" i="206" s="1"/>
  <c r="T11" i="206" s="1"/>
  <c r="L11" i="206"/>
  <c r="O10" i="206"/>
  <c r="M10" i="206"/>
  <c r="S10" i="206" s="1"/>
  <c r="T10" i="206" s="1"/>
  <c r="L10" i="206"/>
  <c r="O9" i="206"/>
  <c r="M9" i="206"/>
  <c r="S9" i="206" s="1"/>
  <c r="T9" i="206" s="1"/>
  <c r="L9" i="206"/>
  <c r="O8" i="206"/>
  <c r="M8" i="206"/>
  <c r="S8" i="206" s="1"/>
  <c r="T8" i="206" s="1"/>
  <c r="L8" i="206"/>
  <c r="S7" i="206"/>
  <c r="T7" i="206" s="1"/>
  <c r="O7" i="206"/>
  <c r="M7" i="206"/>
  <c r="L7" i="206"/>
  <c r="S6" i="206"/>
  <c r="T6" i="206" s="1"/>
  <c r="O6" i="206"/>
  <c r="M6" i="206"/>
  <c r="L6" i="206"/>
  <c r="O5" i="206"/>
  <c r="M5" i="206"/>
  <c r="S5" i="206" s="1"/>
  <c r="T5" i="206" s="1"/>
  <c r="L5" i="206"/>
  <c r="O4" i="206"/>
  <c r="M4" i="206"/>
  <c r="S4" i="206" s="1"/>
  <c r="T4" i="206" s="1"/>
  <c r="L4" i="206"/>
  <c r="AI36" i="199"/>
  <c r="AH36" i="199"/>
  <c r="AG36" i="199"/>
  <c r="AF36" i="199"/>
  <c r="AE36" i="199"/>
  <c r="AD36" i="199"/>
  <c r="AC36" i="199"/>
  <c r="AB36" i="199"/>
  <c r="AA36" i="199"/>
  <c r="Z36" i="199"/>
  <c r="Y36" i="199"/>
  <c r="X36" i="199"/>
  <c r="W36" i="199"/>
  <c r="V36" i="199"/>
  <c r="U36" i="199"/>
  <c r="K36" i="199"/>
  <c r="S35" i="199"/>
  <c r="T35" i="199" s="1"/>
  <c r="O35" i="199"/>
  <c r="M35" i="199"/>
  <c r="L35" i="199"/>
  <c r="S34" i="199"/>
  <c r="T34" i="199" s="1"/>
  <c r="O34" i="199"/>
  <c r="M34" i="199"/>
  <c r="L34" i="199"/>
  <c r="O33" i="199"/>
  <c r="M33" i="199"/>
  <c r="S33" i="199" s="1"/>
  <c r="T33" i="199" s="1"/>
  <c r="L33" i="199"/>
  <c r="S31" i="199"/>
  <c r="T31" i="199" s="1"/>
  <c r="O31" i="199"/>
  <c r="M31" i="199"/>
  <c r="L31" i="199"/>
  <c r="S30" i="199"/>
  <c r="T30" i="199" s="1"/>
  <c r="O30" i="199"/>
  <c r="M30" i="199"/>
  <c r="L30" i="199"/>
  <c r="O29" i="199"/>
  <c r="M29" i="199"/>
  <c r="S29" i="199" s="1"/>
  <c r="T29" i="199" s="1"/>
  <c r="L29" i="199"/>
  <c r="S28" i="199"/>
  <c r="T28" i="199" s="1"/>
  <c r="O28" i="199"/>
  <c r="M28" i="199"/>
  <c r="L28" i="199"/>
  <c r="S27" i="199"/>
  <c r="T27" i="199" s="1"/>
  <c r="O27" i="199"/>
  <c r="M27" i="199"/>
  <c r="L27" i="199"/>
  <c r="O26" i="199"/>
  <c r="M26" i="199"/>
  <c r="S26" i="199" s="1"/>
  <c r="T26" i="199" s="1"/>
  <c r="L26" i="199"/>
  <c r="S25" i="199"/>
  <c r="T25" i="199" s="1"/>
  <c r="O25" i="199"/>
  <c r="M25" i="199"/>
  <c r="L25" i="199"/>
  <c r="S24" i="199"/>
  <c r="T24" i="199" s="1"/>
  <c r="O24" i="199"/>
  <c r="M24" i="199"/>
  <c r="L24" i="199"/>
  <c r="O23" i="199"/>
  <c r="M23" i="199"/>
  <c r="S23" i="199" s="1"/>
  <c r="T23" i="199" s="1"/>
  <c r="L23" i="199"/>
  <c r="S22" i="199"/>
  <c r="T22" i="199" s="1"/>
  <c r="O22" i="199"/>
  <c r="M22" i="199"/>
  <c r="L22" i="199"/>
  <c r="S21" i="199"/>
  <c r="T21" i="199" s="1"/>
  <c r="O21" i="199"/>
  <c r="M21" i="199"/>
  <c r="L21" i="199"/>
  <c r="O20" i="199"/>
  <c r="M20" i="199"/>
  <c r="S20" i="199" s="1"/>
  <c r="T20" i="199" s="1"/>
  <c r="L20" i="199"/>
  <c r="S19" i="199"/>
  <c r="T19" i="199" s="1"/>
  <c r="O19" i="199"/>
  <c r="M19" i="199"/>
  <c r="L19" i="199"/>
  <c r="S18" i="199"/>
  <c r="T18" i="199" s="1"/>
  <c r="O18" i="199"/>
  <c r="M18" i="199"/>
  <c r="L18" i="199"/>
  <c r="O17" i="199"/>
  <c r="M17" i="199"/>
  <c r="S17" i="199" s="1"/>
  <c r="T17" i="199" s="1"/>
  <c r="L17" i="199"/>
  <c r="S16" i="199"/>
  <c r="T16" i="199" s="1"/>
  <c r="O16" i="199"/>
  <c r="M16" i="199"/>
  <c r="L16" i="199"/>
  <c r="S15" i="199"/>
  <c r="T15" i="199" s="1"/>
  <c r="O15" i="199"/>
  <c r="M15" i="199"/>
  <c r="L15" i="199"/>
  <c r="O14" i="199"/>
  <c r="M14" i="199"/>
  <c r="S14" i="199" s="1"/>
  <c r="T14" i="199" s="1"/>
  <c r="L14" i="199"/>
  <c r="S13" i="199"/>
  <c r="T13" i="199" s="1"/>
  <c r="O13" i="199"/>
  <c r="M13" i="199"/>
  <c r="L13" i="199"/>
  <c r="S12" i="199"/>
  <c r="T12" i="199" s="1"/>
  <c r="O12" i="199"/>
  <c r="M12" i="199"/>
  <c r="L12" i="199"/>
  <c r="O11" i="199"/>
  <c r="M11" i="199"/>
  <c r="S11" i="199" s="1"/>
  <c r="T11" i="199" s="1"/>
  <c r="L11" i="199"/>
  <c r="S10" i="199"/>
  <c r="T10" i="199" s="1"/>
  <c r="O10" i="199"/>
  <c r="M10" i="199"/>
  <c r="L10" i="199"/>
  <c r="S9" i="199"/>
  <c r="T9" i="199" s="1"/>
  <c r="O9" i="199"/>
  <c r="M9" i="199"/>
  <c r="L9" i="199"/>
  <c r="O8" i="199"/>
  <c r="M8" i="199"/>
  <c r="S8" i="199" s="1"/>
  <c r="T8" i="199" s="1"/>
  <c r="L8" i="199"/>
  <c r="S7" i="199"/>
  <c r="T7" i="199" s="1"/>
  <c r="O7" i="199"/>
  <c r="M7" i="199"/>
  <c r="L7" i="199"/>
  <c r="S6" i="199"/>
  <c r="T6" i="199" s="1"/>
  <c r="O6" i="199"/>
  <c r="M6" i="199"/>
  <c r="L6" i="199"/>
  <c r="O5" i="199"/>
  <c r="M5" i="199"/>
  <c r="S5" i="199" s="1"/>
  <c r="T5" i="199" s="1"/>
  <c r="L5" i="199"/>
  <c r="S4" i="199"/>
  <c r="T4" i="199" s="1"/>
  <c r="O4" i="199"/>
  <c r="M4" i="199"/>
  <c r="L4" i="199"/>
  <c r="K36" i="197"/>
  <c r="O35" i="197"/>
  <c r="M35" i="197"/>
  <c r="S35" i="197" s="1"/>
  <c r="T35" i="197" s="1"/>
  <c r="L35" i="197"/>
  <c r="O34" i="197"/>
  <c r="M34" i="197"/>
  <c r="S34" i="197" s="1"/>
  <c r="T34" i="197" s="1"/>
  <c r="L34" i="197"/>
  <c r="O33" i="197"/>
  <c r="M33" i="197"/>
  <c r="S33" i="197" s="1"/>
  <c r="T33" i="197" s="1"/>
  <c r="L33" i="197"/>
  <c r="S31" i="197"/>
  <c r="T31" i="197" s="1"/>
  <c r="O31" i="197"/>
  <c r="M31" i="197"/>
  <c r="L31" i="197"/>
  <c r="O30" i="197"/>
  <c r="M30" i="197"/>
  <c r="S30" i="197" s="1"/>
  <c r="T30" i="197" s="1"/>
  <c r="L30" i="197"/>
  <c r="O29" i="197"/>
  <c r="M29" i="197"/>
  <c r="S29" i="197" s="1"/>
  <c r="T29" i="197" s="1"/>
  <c r="L29" i="197"/>
  <c r="S28" i="197"/>
  <c r="T28" i="197" s="1"/>
  <c r="O28" i="197"/>
  <c r="M28" i="197"/>
  <c r="L28" i="197"/>
  <c r="O27" i="197"/>
  <c r="M27" i="197"/>
  <c r="S27" i="197" s="1"/>
  <c r="T27" i="197" s="1"/>
  <c r="L27" i="197"/>
  <c r="O26" i="197"/>
  <c r="M26" i="197"/>
  <c r="S26" i="197" s="1"/>
  <c r="T26" i="197" s="1"/>
  <c r="L26" i="197"/>
  <c r="O25" i="197"/>
  <c r="M25" i="197"/>
  <c r="S25" i="197" s="1"/>
  <c r="T25" i="197" s="1"/>
  <c r="L25" i="197"/>
  <c r="O24" i="197"/>
  <c r="M24" i="197"/>
  <c r="S24" i="197" s="1"/>
  <c r="T24" i="197" s="1"/>
  <c r="L24" i="197"/>
  <c r="O23" i="197"/>
  <c r="M23" i="197"/>
  <c r="S23" i="197" s="1"/>
  <c r="T23" i="197" s="1"/>
  <c r="L23" i="197"/>
  <c r="S22" i="197"/>
  <c r="T22" i="197" s="1"/>
  <c r="O22" i="197"/>
  <c r="M22" i="197"/>
  <c r="L22" i="197"/>
  <c r="O21" i="197"/>
  <c r="M21" i="197"/>
  <c r="S21" i="197" s="1"/>
  <c r="T21" i="197" s="1"/>
  <c r="L21" i="197"/>
  <c r="O20" i="197"/>
  <c r="M20" i="197"/>
  <c r="S20" i="197" s="1"/>
  <c r="T20" i="197" s="1"/>
  <c r="L20" i="197"/>
  <c r="O19" i="197"/>
  <c r="M19" i="197"/>
  <c r="S19" i="197" s="1"/>
  <c r="T19" i="197" s="1"/>
  <c r="L19" i="197"/>
  <c r="O18" i="197"/>
  <c r="M18" i="197"/>
  <c r="S18" i="197" s="1"/>
  <c r="T18" i="197" s="1"/>
  <c r="L18" i="197"/>
  <c r="O17" i="197"/>
  <c r="M17" i="197"/>
  <c r="S17" i="197" s="1"/>
  <c r="T17" i="197" s="1"/>
  <c r="L17" i="197"/>
  <c r="S16" i="197"/>
  <c r="T16" i="197" s="1"/>
  <c r="O16" i="197"/>
  <c r="M16" i="197"/>
  <c r="L16" i="197"/>
  <c r="O15" i="197"/>
  <c r="M15" i="197"/>
  <c r="S15" i="197" s="1"/>
  <c r="T15" i="197" s="1"/>
  <c r="L15" i="197"/>
  <c r="O14" i="197"/>
  <c r="M14" i="197"/>
  <c r="S14" i="197" s="1"/>
  <c r="T14" i="197" s="1"/>
  <c r="L14" i="197"/>
  <c r="S13" i="197"/>
  <c r="T13" i="197" s="1"/>
  <c r="O13" i="197"/>
  <c r="M13" i="197"/>
  <c r="L13" i="197"/>
  <c r="O12" i="197"/>
  <c r="M12" i="197"/>
  <c r="S12" i="197" s="1"/>
  <c r="T12" i="197" s="1"/>
  <c r="L12" i="197"/>
  <c r="O11" i="197"/>
  <c r="M11" i="197"/>
  <c r="S11" i="197" s="1"/>
  <c r="T11" i="197" s="1"/>
  <c r="L11" i="197"/>
  <c r="O10" i="197"/>
  <c r="M10" i="197"/>
  <c r="S10" i="197" s="1"/>
  <c r="T10" i="197" s="1"/>
  <c r="L10" i="197"/>
  <c r="O9" i="197"/>
  <c r="M9" i="197"/>
  <c r="S9" i="197" s="1"/>
  <c r="T9" i="197" s="1"/>
  <c r="L9" i="197"/>
  <c r="O8" i="197"/>
  <c r="M8" i="197"/>
  <c r="S8" i="197" s="1"/>
  <c r="T8" i="197" s="1"/>
  <c r="L8" i="197"/>
  <c r="O7" i="197"/>
  <c r="M7" i="197"/>
  <c r="S7" i="197" s="1"/>
  <c r="T7" i="197" s="1"/>
  <c r="L7" i="197"/>
  <c r="O6" i="197"/>
  <c r="M6" i="197"/>
  <c r="S6" i="197" s="1"/>
  <c r="T6" i="197" s="1"/>
  <c r="L6" i="197"/>
  <c r="O5" i="197"/>
  <c r="M5" i="197"/>
  <c r="S5" i="197" s="1"/>
  <c r="T5" i="197" s="1"/>
  <c r="L5" i="197"/>
  <c r="O4" i="197"/>
  <c r="M4" i="197"/>
  <c r="S4" i="197" s="1"/>
  <c r="L4" i="197"/>
  <c r="K36" i="208"/>
  <c r="O35" i="208"/>
  <c r="M35" i="208"/>
  <c r="S35" i="208" s="1"/>
  <c r="T35" i="208" s="1"/>
  <c r="L35" i="208"/>
  <c r="S34" i="208"/>
  <c r="T34" i="208" s="1"/>
  <c r="O34" i="208"/>
  <c r="M34" i="208"/>
  <c r="L34" i="208"/>
  <c r="O33" i="208"/>
  <c r="M33" i="208"/>
  <c r="S33" i="208" s="1"/>
  <c r="T33" i="208" s="1"/>
  <c r="L33" i="208"/>
  <c r="O31" i="208"/>
  <c r="M31" i="208"/>
  <c r="S31" i="208" s="1"/>
  <c r="T31" i="208" s="1"/>
  <c r="L31" i="208"/>
  <c r="S30" i="208"/>
  <c r="T30" i="208" s="1"/>
  <c r="O30" i="208"/>
  <c r="M30" i="208"/>
  <c r="L30" i="208"/>
  <c r="O29" i="208"/>
  <c r="M29" i="208"/>
  <c r="S29" i="208" s="1"/>
  <c r="T29" i="208" s="1"/>
  <c r="L29" i="208"/>
  <c r="S28" i="208"/>
  <c r="T28" i="208" s="1"/>
  <c r="O28" i="208"/>
  <c r="M28" i="208"/>
  <c r="L28" i="208"/>
  <c r="O27" i="208"/>
  <c r="M27" i="208"/>
  <c r="S27" i="208" s="1"/>
  <c r="T27" i="208" s="1"/>
  <c r="L27" i="208"/>
  <c r="O26" i="208"/>
  <c r="M26" i="208"/>
  <c r="S26" i="208" s="1"/>
  <c r="T26" i="208" s="1"/>
  <c r="L26" i="208"/>
  <c r="O25" i="208"/>
  <c r="M25" i="208"/>
  <c r="S25" i="208" s="1"/>
  <c r="T25" i="208" s="1"/>
  <c r="L25" i="208"/>
  <c r="O24" i="208"/>
  <c r="M24" i="208"/>
  <c r="S24" i="208" s="1"/>
  <c r="T24" i="208" s="1"/>
  <c r="L24" i="208"/>
  <c r="O23" i="208"/>
  <c r="M23" i="208"/>
  <c r="S23" i="208" s="1"/>
  <c r="T23" i="208" s="1"/>
  <c r="L23" i="208"/>
  <c r="O22" i="208"/>
  <c r="M22" i="208"/>
  <c r="S22" i="208" s="1"/>
  <c r="T22" i="208" s="1"/>
  <c r="L22" i="208"/>
  <c r="S21" i="208"/>
  <c r="T21" i="208" s="1"/>
  <c r="O21" i="208"/>
  <c r="M21" i="208"/>
  <c r="L21" i="208"/>
  <c r="O20" i="208"/>
  <c r="M20" i="208"/>
  <c r="S20" i="208" s="1"/>
  <c r="T20" i="208" s="1"/>
  <c r="L20" i="208"/>
  <c r="O19" i="208"/>
  <c r="M19" i="208"/>
  <c r="S19" i="208" s="1"/>
  <c r="T19" i="208" s="1"/>
  <c r="L19" i="208"/>
  <c r="S18" i="208"/>
  <c r="T18" i="208" s="1"/>
  <c r="O18" i="208"/>
  <c r="M18" i="208"/>
  <c r="L18" i="208"/>
  <c r="O17" i="208"/>
  <c r="M17" i="208"/>
  <c r="S17" i="208" s="1"/>
  <c r="T17" i="208" s="1"/>
  <c r="L17" i="208"/>
  <c r="O16" i="208"/>
  <c r="M16" i="208"/>
  <c r="S16" i="208" s="1"/>
  <c r="T16" i="208" s="1"/>
  <c r="L16" i="208"/>
  <c r="O15" i="208"/>
  <c r="M15" i="208"/>
  <c r="S15" i="208" s="1"/>
  <c r="T15" i="208" s="1"/>
  <c r="L15" i="208"/>
  <c r="O14" i="208"/>
  <c r="M14" i="208"/>
  <c r="S14" i="208" s="1"/>
  <c r="T14" i="208" s="1"/>
  <c r="L14" i="208"/>
  <c r="O13" i="208"/>
  <c r="M13" i="208"/>
  <c r="S13" i="208" s="1"/>
  <c r="T13" i="208" s="1"/>
  <c r="L13" i="208"/>
  <c r="S12" i="208"/>
  <c r="T12" i="208" s="1"/>
  <c r="O12" i="208"/>
  <c r="M12" i="208"/>
  <c r="L12" i="208"/>
  <c r="O11" i="208"/>
  <c r="M11" i="208"/>
  <c r="S11" i="208" s="1"/>
  <c r="T11" i="208" s="1"/>
  <c r="L11" i="208"/>
  <c r="O10" i="208"/>
  <c r="M10" i="208"/>
  <c r="S10" i="208" s="1"/>
  <c r="T10" i="208" s="1"/>
  <c r="L10" i="208"/>
  <c r="S9" i="208"/>
  <c r="T9" i="208" s="1"/>
  <c r="O9" i="208"/>
  <c r="M9" i="208"/>
  <c r="L9" i="208"/>
  <c r="O8" i="208"/>
  <c r="M8" i="208"/>
  <c r="S8" i="208" s="1"/>
  <c r="T8" i="208" s="1"/>
  <c r="L8" i="208"/>
  <c r="O7" i="208"/>
  <c r="M7" i="208"/>
  <c r="S7" i="208" s="1"/>
  <c r="T7" i="208" s="1"/>
  <c r="L7" i="208"/>
  <c r="O6" i="208"/>
  <c r="M6" i="208"/>
  <c r="S6" i="208" s="1"/>
  <c r="T6" i="208" s="1"/>
  <c r="L6" i="208"/>
  <c r="O5" i="208"/>
  <c r="M5" i="208"/>
  <c r="S5" i="208" s="1"/>
  <c r="T5" i="208" s="1"/>
  <c r="L5" i="208"/>
  <c r="O4" i="208"/>
  <c r="M4" i="208"/>
  <c r="S4" i="208" s="1"/>
  <c r="T4" i="208" s="1"/>
  <c r="L4" i="208"/>
  <c r="K36" i="207"/>
  <c r="O35" i="207"/>
  <c r="M35" i="207"/>
  <c r="S35" i="207" s="1"/>
  <c r="T35" i="207" s="1"/>
  <c r="L35" i="207"/>
  <c r="O34" i="207"/>
  <c r="M34" i="207"/>
  <c r="S34" i="207" s="1"/>
  <c r="T34" i="207" s="1"/>
  <c r="L34" i="207"/>
  <c r="O33" i="207"/>
  <c r="M33" i="207"/>
  <c r="S33" i="207" s="1"/>
  <c r="T33" i="207" s="1"/>
  <c r="L33" i="207"/>
  <c r="O31" i="207"/>
  <c r="M31" i="207"/>
  <c r="S31" i="207" s="1"/>
  <c r="T31" i="207" s="1"/>
  <c r="L31" i="207"/>
  <c r="S30" i="207"/>
  <c r="T30" i="207" s="1"/>
  <c r="O30" i="207"/>
  <c r="M30" i="207"/>
  <c r="L30" i="207"/>
  <c r="O29" i="207"/>
  <c r="M29" i="207"/>
  <c r="S29" i="207" s="1"/>
  <c r="T29" i="207" s="1"/>
  <c r="L29" i="207"/>
  <c r="S28" i="207"/>
  <c r="T28" i="207" s="1"/>
  <c r="O28" i="207"/>
  <c r="M28" i="207"/>
  <c r="L28" i="207"/>
  <c r="S27" i="207"/>
  <c r="T27" i="207" s="1"/>
  <c r="O27" i="207"/>
  <c r="M27" i="207"/>
  <c r="L27" i="207"/>
  <c r="O26" i="207"/>
  <c r="M26" i="207"/>
  <c r="S26" i="207" s="1"/>
  <c r="T26" i="207" s="1"/>
  <c r="L26" i="207"/>
  <c r="O25" i="207"/>
  <c r="M25" i="207"/>
  <c r="S25" i="207" s="1"/>
  <c r="T25" i="207" s="1"/>
  <c r="L25" i="207"/>
  <c r="S24" i="207"/>
  <c r="T24" i="207" s="1"/>
  <c r="O24" i="207"/>
  <c r="M24" i="207"/>
  <c r="L24" i="207"/>
  <c r="O23" i="207"/>
  <c r="M23" i="207"/>
  <c r="S23" i="207" s="1"/>
  <c r="T23" i="207" s="1"/>
  <c r="L23" i="207"/>
  <c r="S22" i="207"/>
  <c r="T22" i="207" s="1"/>
  <c r="O22" i="207"/>
  <c r="M22" i="207"/>
  <c r="L22" i="207"/>
  <c r="S21" i="207"/>
  <c r="T21" i="207" s="1"/>
  <c r="O21" i="207"/>
  <c r="M21" i="207"/>
  <c r="L21" i="207"/>
  <c r="O20" i="207"/>
  <c r="M20" i="207"/>
  <c r="S20" i="207" s="1"/>
  <c r="T20" i="207" s="1"/>
  <c r="L20" i="207"/>
  <c r="O19" i="207"/>
  <c r="M19" i="207"/>
  <c r="S19" i="207" s="1"/>
  <c r="T19" i="207" s="1"/>
  <c r="L19" i="207"/>
  <c r="O18" i="207"/>
  <c r="M18" i="207"/>
  <c r="S18" i="207" s="1"/>
  <c r="T18" i="207" s="1"/>
  <c r="L18" i="207"/>
  <c r="O17" i="207"/>
  <c r="M17" i="207"/>
  <c r="S17" i="207" s="1"/>
  <c r="T17" i="207" s="1"/>
  <c r="L17" i="207"/>
  <c r="O16" i="207"/>
  <c r="M16" i="207"/>
  <c r="S16" i="207" s="1"/>
  <c r="T16" i="207" s="1"/>
  <c r="L16" i="207"/>
  <c r="S15" i="207"/>
  <c r="T15" i="207" s="1"/>
  <c r="O15" i="207"/>
  <c r="M15" i="207"/>
  <c r="L15" i="207"/>
  <c r="O14" i="207"/>
  <c r="M14" i="207"/>
  <c r="S14" i="207" s="1"/>
  <c r="T14" i="207" s="1"/>
  <c r="L14" i="207"/>
  <c r="O13" i="207"/>
  <c r="M13" i="207"/>
  <c r="S13" i="207" s="1"/>
  <c r="T13" i="207" s="1"/>
  <c r="L13" i="207"/>
  <c r="S12" i="207"/>
  <c r="T12" i="207" s="1"/>
  <c r="O12" i="207"/>
  <c r="M12" i="207"/>
  <c r="L12" i="207"/>
  <c r="O11" i="207"/>
  <c r="M11" i="207"/>
  <c r="S11" i="207" s="1"/>
  <c r="T11" i="207" s="1"/>
  <c r="L11" i="207"/>
  <c r="O10" i="207"/>
  <c r="M10" i="207"/>
  <c r="S10" i="207" s="1"/>
  <c r="T10" i="207" s="1"/>
  <c r="L10" i="207"/>
  <c r="O9" i="207"/>
  <c r="M9" i="207"/>
  <c r="S9" i="207" s="1"/>
  <c r="T9" i="207" s="1"/>
  <c r="L9" i="207"/>
  <c r="O8" i="207"/>
  <c r="M8" i="207"/>
  <c r="S8" i="207" s="1"/>
  <c r="T8" i="207" s="1"/>
  <c r="L8" i="207"/>
  <c r="O7" i="207"/>
  <c r="M7" i="207"/>
  <c r="S7" i="207" s="1"/>
  <c r="T7" i="207" s="1"/>
  <c r="L7" i="207"/>
  <c r="S6" i="207"/>
  <c r="T6" i="207" s="1"/>
  <c r="O6" i="207"/>
  <c r="M6" i="207"/>
  <c r="L6" i="207"/>
  <c r="O5" i="207"/>
  <c r="M5" i="207"/>
  <c r="S5" i="207" s="1"/>
  <c r="T5" i="207" s="1"/>
  <c r="L5" i="207"/>
  <c r="S4" i="207"/>
  <c r="T4" i="207" s="1"/>
  <c r="O4" i="207"/>
  <c r="M4" i="207"/>
  <c r="L4" i="207"/>
  <c r="K36" i="203"/>
  <c r="O35" i="203"/>
  <c r="M35" i="203"/>
  <c r="S35" i="203" s="1"/>
  <c r="T35" i="203" s="1"/>
  <c r="L35" i="203"/>
  <c r="O34" i="203"/>
  <c r="M34" i="203"/>
  <c r="S34" i="203" s="1"/>
  <c r="T34" i="203" s="1"/>
  <c r="L34" i="203"/>
  <c r="S33" i="203"/>
  <c r="T33" i="203" s="1"/>
  <c r="O33" i="203"/>
  <c r="M33" i="203"/>
  <c r="L33" i="203"/>
  <c r="O31" i="203"/>
  <c r="M31" i="203"/>
  <c r="S31" i="203" s="1"/>
  <c r="T31" i="203" s="1"/>
  <c r="L31" i="203"/>
  <c r="O30" i="203"/>
  <c r="M30" i="203"/>
  <c r="S30" i="203" s="1"/>
  <c r="T30" i="203" s="1"/>
  <c r="L30" i="203"/>
  <c r="O29" i="203"/>
  <c r="M29" i="203"/>
  <c r="S29" i="203" s="1"/>
  <c r="T29" i="203" s="1"/>
  <c r="L29" i="203"/>
  <c r="O28" i="203"/>
  <c r="M28" i="203"/>
  <c r="S28" i="203" s="1"/>
  <c r="T28" i="203" s="1"/>
  <c r="L28" i="203"/>
  <c r="O27" i="203"/>
  <c r="M27" i="203"/>
  <c r="S27" i="203" s="1"/>
  <c r="T27" i="203" s="1"/>
  <c r="L27" i="203"/>
  <c r="O26" i="203"/>
  <c r="M26" i="203"/>
  <c r="S26" i="203" s="1"/>
  <c r="T26" i="203" s="1"/>
  <c r="L26" i="203"/>
  <c r="S25" i="203"/>
  <c r="T25" i="203" s="1"/>
  <c r="O25" i="203"/>
  <c r="M25" i="203"/>
  <c r="L25" i="203"/>
  <c r="O24" i="203"/>
  <c r="M24" i="203"/>
  <c r="S24" i="203" s="1"/>
  <c r="T24" i="203" s="1"/>
  <c r="L24" i="203"/>
  <c r="O23" i="203"/>
  <c r="M23" i="203"/>
  <c r="S23" i="203" s="1"/>
  <c r="T23" i="203" s="1"/>
  <c r="L23" i="203"/>
  <c r="O22" i="203"/>
  <c r="M22" i="203"/>
  <c r="S22" i="203" s="1"/>
  <c r="T22" i="203" s="1"/>
  <c r="L22" i="203"/>
  <c r="O21" i="203"/>
  <c r="M21" i="203"/>
  <c r="S21" i="203" s="1"/>
  <c r="T21" i="203" s="1"/>
  <c r="L21" i="203"/>
  <c r="S20" i="203"/>
  <c r="T20" i="203" s="1"/>
  <c r="O20" i="203"/>
  <c r="M20" i="203"/>
  <c r="L20" i="203"/>
  <c r="O19" i="203"/>
  <c r="M19" i="203"/>
  <c r="S19" i="203" s="1"/>
  <c r="T19" i="203" s="1"/>
  <c r="L19" i="203"/>
  <c r="O18" i="203"/>
  <c r="M18" i="203"/>
  <c r="S18" i="203" s="1"/>
  <c r="T18" i="203" s="1"/>
  <c r="L18" i="203"/>
  <c r="O17" i="203"/>
  <c r="M17" i="203"/>
  <c r="S17" i="203" s="1"/>
  <c r="T17" i="203" s="1"/>
  <c r="L17" i="203"/>
  <c r="O16" i="203"/>
  <c r="M16" i="203"/>
  <c r="S16" i="203" s="1"/>
  <c r="T16" i="203" s="1"/>
  <c r="L16" i="203"/>
  <c r="O15" i="203"/>
  <c r="M15" i="203"/>
  <c r="S15" i="203" s="1"/>
  <c r="T15" i="203" s="1"/>
  <c r="L15" i="203"/>
  <c r="O14" i="203"/>
  <c r="M14" i="203"/>
  <c r="S14" i="203" s="1"/>
  <c r="T14" i="203" s="1"/>
  <c r="L14" i="203"/>
  <c r="S13" i="203"/>
  <c r="T13" i="203" s="1"/>
  <c r="O13" i="203"/>
  <c r="M13" i="203"/>
  <c r="L13" i="203"/>
  <c r="O12" i="203"/>
  <c r="M12" i="203"/>
  <c r="S12" i="203" s="1"/>
  <c r="T12" i="203" s="1"/>
  <c r="L12" i="203"/>
  <c r="O11" i="203"/>
  <c r="M11" i="203"/>
  <c r="S11" i="203" s="1"/>
  <c r="T11" i="203" s="1"/>
  <c r="L11" i="203"/>
  <c r="O10" i="203"/>
  <c r="M10" i="203"/>
  <c r="S10" i="203" s="1"/>
  <c r="T10" i="203" s="1"/>
  <c r="L10" i="203"/>
  <c r="O9" i="203"/>
  <c r="M9" i="203"/>
  <c r="S9" i="203" s="1"/>
  <c r="T9" i="203" s="1"/>
  <c r="L9" i="203"/>
  <c r="S8" i="203"/>
  <c r="T8" i="203" s="1"/>
  <c r="O8" i="203"/>
  <c r="M8" i="203"/>
  <c r="L8" i="203"/>
  <c r="O7" i="203"/>
  <c r="M7" i="203"/>
  <c r="S7" i="203" s="1"/>
  <c r="T7" i="203" s="1"/>
  <c r="L7" i="203"/>
  <c r="O6" i="203"/>
  <c r="M6" i="203"/>
  <c r="S6" i="203" s="1"/>
  <c r="T6" i="203" s="1"/>
  <c r="L6" i="203"/>
  <c r="O5" i="203"/>
  <c r="M5" i="203"/>
  <c r="S5" i="203" s="1"/>
  <c r="T5" i="203" s="1"/>
  <c r="L5" i="203"/>
  <c r="O4" i="203"/>
  <c r="M4" i="203"/>
  <c r="S4" i="203" s="1"/>
  <c r="T4" i="203" s="1"/>
  <c r="L4" i="203"/>
  <c r="K36" i="210"/>
  <c r="O35" i="210"/>
  <c r="M35" i="210"/>
  <c r="S35" i="210" s="1"/>
  <c r="T35" i="210" s="1"/>
  <c r="L35" i="210"/>
  <c r="O34" i="210"/>
  <c r="M34" i="210"/>
  <c r="S34" i="210" s="1"/>
  <c r="T34" i="210" s="1"/>
  <c r="L34" i="210"/>
  <c r="S33" i="210"/>
  <c r="T33" i="210" s="1"/>
  <c r="O33" i="210"/>
  <c r="M33" i="210"/>
  <c r="L33" i="210"/>
  <c r="O31" i="210"/>
  <c r="M31" i="210"/>
  <c r="S31" i="210" s="1"/>
  <c r="T31" i="210" s="1"/>
  <c r="L31" i="210"/>
  <c r="O30" i="210"/>
  <c r="M30" i="210"/>
  <c r="S30" i="210" s="1"/>
  <c r="T30" i="210" s="1"/>
  <c r="L30" i="210"/>
  <c r="O29" i="210"/>
  <c r="M29" i="210"/>
  <c r="S29" i="210" s="1"/>
  <c r="T29" i="210" s="1"/>
  <c r="L29" i="210"/>
  <c r="O28" i="210"/>
  <c r="M28" i="210"/>
  <c r="S28" i="210" s="1"/>
  <c r="T28" i="210" s="1"/>
  <c r="L28" i="210"/>
  <c r="O27" i="210"/>
  <c r="M27" i="210"/>
  <c r="S27" i="210" s="1"/>
  <c r="T27" i="210" s="1"/>
  <c r="L27" i="210"/>
  <c r="O26" i="210"/>
  <c r="M26" i="210"/>
  <c r="S26" i="210" s="1"/>
  <c r="T26" i="210" s="1"/>
  <c r="L26" i="210"/>
  <c r="S25" i="210"/>
  <c r="T25" i="210" s="1"/>
  <c r="O25" i="210"/>
  <c r="M25" i="210"/>
  <c r="L25" i="210"/>
  <c r="O24" i="210"/>
  <c r="M24" i="210"/>
  <c r="S24" i="210" s="1"/>
  <c r="T24" i="210" s="1"/>
  <c r="L24" i="210"/>
  <c r="O23" i="210"/>
  <c r="M23" i="210"/>
  <c r="S23" i="210" s="1"/>
  <c r="T23" i="210" s="1"/>
  <c r="L23" i="210"/>
  <c r="O22" i="210"/>
  <c r="M22" i="210"/>
  <c r="S22" i="210" s="1"/>
  <c r="T22" i="210" s="1"/>
  <c r="L22" i="210"/>
  <c r="O21" i="210"/>
  <c r="M21" i="210"/>
  <c r="S21" i="210" s="1"/>
  <c r="T21" i="210" s="1"/>
  <c r="L21" i="210"/>
  <c r="S20" i="210"/>
  <c r="T20" i="210" s="1"/>
  <c r="O20" i="210"/>
  <c r="M20" i="210"/>
  <c r="L20" i="210"/>
  <c r="O19" i="210"/>
  <c r="M19" i="210"/>
  <c r="S19" i="210" s="1"/>
  <c r="T19" i="210" s="1"/>
  <c r="L19" i="210"/>
  <c r="O18" i="210"/>
  <c r="M18" i="210"/>
  <c r="S18" i="210" s="1"/>
  <c r="T18" i="210" s="1"/>
  <c r="L18" i="210"/>
  <c r="O17" i="210"/>
  <c r="M17" i="210"/>
  <c r="S17" i="210" s="1"/>
  <c r="T17" i="210" s="1"/>
  <c r="L17" i="210"/>
  <c r="O16" i="210"/>
  <c r="M16" i="210"/>
  <c r="S16" i="210" s="1"/>
  <c r="T16" i="210" s="1"/>
  <c r="L16" i="210"/>
  <c r="O15" i="210"/>
  <c r="M15" i="210"/>
  <c r="S15" i="210" s="1"/>
  <c r="T15" i="210" s="1"/>
  <c r="L15" i="210"/>
  <c r="O14" i="210"/>
  <c r="M14" i="210"/>
  <c r="S14" i="210" s="1"/>
  <c r="T14" i="210" s="1"/>
  <c r="L14" i="210"/>
  <c r="S13" i="210"/>
  <c r="T13" i="210" s="1"/>
  <c r="O13" i="210"/>
  <c r="M13" i="210"/>
  <c r="L13" i="210"/>
  <c r="O12" i="210"/>
  <c r="M12" i="210"/>
  <c r="S12" i="210" s="1"/>
  <c r="T12" i="210" s="1"/>
  <c r="L12" i="210"/>
  <c r="O11" i="210"/>
  <c r="M11" i="210"/>
  <c r="S11" i="210" s="1"/>
  <c r="T11" i="210" s="1"/>
  <c r="L11" i="210"/>
  <c r="O10" i="210"/>
  <c r="M10" i="210"/>
  <c r="S10" i="210" s="1"/>
  <c r="T10" i="210" s="1"/>
  <c r="L10" i="210"/>
  <c r="O9" i="210"/>
  <c r="M9" i="210"/>
  <c r="S9" i="210" s="1"/>
  <c r="T9" i="210" s="1"/>
  <c r="L9" i="210"/>
  <c r="S8" i="210"/>
  <c r="T8" i="210" s="1"/>
  <c r="O8" i="210"/>
  <c r="M8" i="210"/>
  <c r="L8" i="210"/>
  <c r="O7" i="210"/>
  <c r="M7" i="210"/>
  <c r="S7" i="210" s="1"/>
  <c r="T7" i="210" s="1"/>
  <c r="L7" i="210"/>
  <c r="O6" i="210"/>
  <c r="M6" i="210"/>
  <c r="S6" i="210" s="1"/>
  <c r="T6" i="210" s="1"/>
  <c r="L6" i="210"/>
  <c r="O5" i="210"/>
  <c r="M5" i="210"/>
  <c r="S5" i="210" s="1"/>
  <c r="T5" i="210" s="1"/>
  <c r="L5" i="210"/>
  <c r="O4" i="210"/>
  <c r="M4" i="210"/>
  <c r="S4" i="210" s="1"/>
  <c r="T4" i="210" s="1"/>
  <c r="L4" i="210"/>
  <c r="K36" i="204"/>
  <c r="O35" i="204"/>
  <c r="M35" i="204"/>
  <c r="S35" i="204" s="1"/>
  <c r="T35" i="204" s="1"/>
  <c r="L35" i="204"/>
  <c r="O34" i="204"/>
  <c r="M34" i="204"/>
  <c r="S34" i="204" s="1"/>
  <c r="T34" i="204" s="1"/>
  <c r="L34" i="204"/>
  <c r="O33" i="204"/>
  <c r="M33" i="204"/>
  <c r="S33" i="204" s="1"/>
  <c r="T33" i="204" s="1"/>
  <c r="L33" i="204"/>
  <c r="O31" i="204"/>
  <c r="M31" i="204"/>
  <c r="S31" i="204" s="1"/>
  <c r="T31" i="204" s="1"/>
  <c r="L31" i="204"/>
  <c r="O30" i="204"/>
  <c r="M30" i="204"/>
  <c r="S30" i="204" s="1"/>
  <c r="T30" i="204" s="1"/>
  <c r="L30" i="204"/>
  <c r="O29" i="204"/>
  <c r="M29" i="204"/>
  <c r="S29" i="204" s="1"/>
  <c r="T29" i="204" s="1"/>
  <c r="L29" i="204"/>
  <c r="S28" i="204"/>
  <c r="T28" i="204" s="1"/>
  <c r="O28" i="204"/>
  <c r="M28" i="204"/>
  <c r="L28" i="204"/>
  <c r="O27" i="204"/>
  <c r="M27" i="204"/>
  <c r="S27" i="204" s="1"/>
  <c r="T27" i="204" s="1"/>
  <c r="L27" i="204"/>
  <c r="O26" i="204"/>
  <c r="M26" i="204"/>
  <c r="S26" i="204" s="1"/>
  <c r="T26" i="204" s="1"/>
  <c r="L26" i="204"/>
  <c r="S25" i="204"/>
  <c r="T25" i="204" s="1"/>
  <c r="O25" i="204"/>
  <c r="M25" i="204"/>
  <c r="L25" i="204"/>
  <c r="O24" i="204"/>
  <c r="M24" i="204"/>
  <c r="S24" i="204" s="1"/>
  <c r="T24" i="204" s="1"/>
  <c r="L24" i="204"/>
  <c r="O23" i="204"/>
  <c r="M23" i="204"/>
  <c r="S23" i="204" s="1"/>
  <c r="T23" i="204" s="1"/>
  <c r="L23" i="204"/>
  <c r="O22" i="204"/>
  <c r="M22" i="204"/>
  <c r="S22" i="204" s="1"/>
  <c r="T22" i="204" s="1"/>
  <c r="L22" i="204"/>
  <c r="O21" i="204"/>
  <c r="M21" i="204"/>
  <c r="S21" i="204" s="1"/>
  <c r="T21" i="204" s="1"/>
  <c r="L21" i="204"/>
  <c r="O20" i="204"/>
  <c r="M20" i="204"/>
  <c r="S20" i="204" s="1"/>
  <c r="T20" i="204" s="1"/>
  <c r="L20" i="204"/>
  <c r="S19" i="204"/>
  <c r="T19" i="204" s="1"/>
  <c r="O19" i="204"/>
  <c r="M19" i="204"/>
  <c r="L19" i="204"/>
  <c r="O18" i="204"/>
  <c r="M18" i="204"/>
  <c r="S18" i="204" s="1"/>
  <c r="T18" i="204" s="1"/>
  <c r="L18" i="204"/>
  <c r="O17" i="204"/>
  <c r="M17" i="204"/>
  <c r="S17" i="204" s="1"/>
  <c r="T17" i="204" s="1"/>
  <c r="L17" i="204"/>
  <c r="O16" i="204"/>
  <c r="M16" i="204"/>
  <c r="S16" i="204" s="1"/>
  <c r="T16" i="204" s="1"/>
  <c r="L16" i="204"/>
  <c r="O15" i="204"/>
  <c r="M15" i="204"/>
  <c r="S15" i="204" s="1"/>
  <c r="T15" i="204" s="1"/>
  <c r="L15" i="204"/>
  <c r="O14" i="204"/>
  <c r="M14" i="204"/>
  <c r="S14" i="204" s="1"/>
  <c r="T14" i="204" s="1"/>
  <c r="L14" i="204"/>
  <c r="O13" i="204"/>
  <c r="M13" i="204"/>
  <c r="S13" i="204" s="1"/>
  <c r="T13" i="204" s="1"/>
  <c r="L13" i="204"/>
  <c r="O12" i="204"/>
  <c r="M12" i="204"/>
  <c r="S12" i="204" s="1"/>
  <c r="T12" i="204" s="1"/>
  <c r="L12" i="204"/>
  <c r="O11" i="204"/>
  <c r="M11" i="204"/>
  <c r="S11" i="204" s="1"/>
  <c r="T11" i="204" s="1"/>
  <c r="L11" i="204"/>
  <c r="S10" i="204"/>
  <c r="T10" i="204" s="1"/>
  <c r="O10" i="204"/>
  <c r="M10" i="204"/>
  <c r="L10" i="204"/>
  <c r="O9" i="204"/>
  <c r="M9" i="204"/>
  <c r="S9" i="204" s="1"/>
  <c r="T9" i="204" s="1"/>
  <c r="L9" i="204"/>
  <c r="O8" i="204"/>
  <c r="M8" i="204"/>
  <c r="S8" i="204" s="1"/>
  <c r="T8" i="204" s="1"/>
  <c r="L8" i="204"/>
  <c r="O7" i="204"/>
  <c r="M7" i="204"/>
  <c r="S7" i="204" s="1"/>
  <c r="T7" i="204" s="1"/>
  <c r="L7" i="204"/>
  <c r="O6" i="204"/>
  <c r="M6" i="204"/>
  <c r="S6" i="204" s="1"/>
  <c r="T6" i="204" s="1"/>
  <c r="L6" i="204"/>
  <c r="O5" i="204"/>
  <c r="M5" i="204"/>
  <c r="S5" i="204" s="1"/>
  <c r="T5" i="204" s="1"/>
  <c r="L5" i="204"/>
  <c r="O4" i="204"/>
  <c r="M4" i="204"/>
  <c r="S4" i="204" s="1"/>
  <c r="L4" i="204"/>
  <c r="K36" i="198"/>
  <c r="O35" i="198"/>
  <c r="M35" i="198"/>
  <c r="S35" i="198" s="1"/>
  <c r="T35" i="198" s="1"/>
  <c r="L35" i="198"/>
  <c r="O34" i="198"/>
  <c r="M34" i="198"/>
  <c r="S34" i="198" s="1"/>
  <c r="T34" i="198" s="1"/>
  <c r="L34" i="198"/>
  <c r="O33" i="198"/>
  <c r="M33" i="198"/>
  <c r="S33" i="198" s="1"/>
  <c r="T33" i="198" s="1"/>
  <c r="L33" i="198"/>
  <c r="O31" i="198"/>
  <c r="M31" i="198"/>
  <c r="S31" i="198" s="1"/>
  <c r="T31" i="198" s="1"/>
  <c r="L31" i="198"/>
  <c r="O30" i="198"/>
  <c r="M30" i="198"/>
  <c r="S30" i="198" s="1"/>
  <c r="T30" i="198" s="1"/>
  <c r="L30" i="198"/>
  <c r="O29" i="198"/>
  <c r="M29" i="198"/>
  <c r="S29" i="198" s="1"/>
  <c r="T29" i="198" s="1"/>
  <c r="L29" i="198"/>
  <c r="O28" i="198"/>
  <c r="M28" i="198"/>
  <c r="S28" i="198" s="1"/>
  <c r="T28" i="198" s="1"/>
  <c r="L28" i="198"/>
  <c r="O27" i="198"/>
  <c r="M27" i="198"/>
  <c r="S27" i="198" s="1"/>
  <c r="T27" i="198" s="1"/>
  <c r="L27" i="198"/>
  <c r="O26" i="198"/>
  <c r="M26" i="198"/>
  <c r="S26" i="198" s="1"/>
  <c r="T26" i="198" s="1"/>
  <c r="L26" i="198"/>
  <c r="O25" i="198"/>
  <c r="M25" i="198"/>
  <c r="S25" i="198" s="1"/>
  <c r="T25" i="198" s="1"/>
  <c r="L25" i="198"/>
  <c r="O24" i="198"/>
  <c r="M24" i="198"/>
  <c r="S24" i="198" s="1"/>
  <c r="T24" i="198" s="1"/>
  <c r="L24" i="198"/>
  <c r="O23" i="198"/>
  <c r="M23" i="198"/>
  <c r="S23" i="198" s="1"/>
  <c r="T23" i="198" s="1"/>
  <c r="L23" i="198"/>
  <c r="O22" i="198"/>
  <c r="M22" i="198"/>
  <c r="S22" i="198" s="1"/>
  <c r="T22" i="198" s="1"/>
  <c r="L22" i="198"/>
  <c r="O21" i="198"/>
  <c r="M21" i="198"/>
  <c r="S21" i="198" s="1"/>
  <c r="T21" i="198" s="1"/>
  <c r="L21" i="198"/>
  <c r="O20" i="198"/>
  <c r="M20" i="198"/>
  <c r="S20" i="198" s="1"/>
  <c r="T20" i="198" s="1"/>
  <c r="L20" i="198"/>
  <c r="O19" i="198"/>
  <c r="M19" i="198"/>
  <c r="S19" i="198" s="1"/>
  <c r="T19" i="198" s="1"/>
  <c r="L19" i="198"/>
  <c r="O18" i="198"/>
  <c r="M18" i="198"/>
  <c r="S18" i="198" s="1"/>
  <c r="T18" i="198" s="1"/>
  <c r="L18" i="198"/>
  <c r="O17" i="198"/>
  <c r="M17" i="198"/>
  <c r="S17" i="198" s="1"/>
  <c r="T17" i="198" s="1"/>
  <c r="L17" i="198"/>
  <c r="O16" i="198"/>
  <c r="M16" i="198"/>
  <c r="S16" i="198" s="1"/>
  <c r="T16" i="198" s="1"/>
  <c r="L16" i="198"/>
  <c r="O15" i="198"/>
  <c r="M15" i="198"/>
  <c r="S15" i="198" s="1"/>
  <c r="T15" i="198" s="1"/>
  <c r="L15" i="198"/>
  <c r="O14" i="198"/>
  <c r="M14" i="198"/>
  <c r="S14" i="198" s="1"/>
  <c r="T14" i="198" s="1"/>
  <c r="L14" i="198"/>
  <c r="O13" i="198"/>
  <c r="M13" i="198"/>
  <c r="S13" i="198" s="1"/>
  <c r="T13" i="198" s="1"/>
  <c r="L13" i="198"/>
  <c r="O12" i="198"/>
  <c r="M12" i="198"/>
  <c r="S12" i="198" s="1"/>
  <c r="T12" i="198" s="1"/>
  <c r="L12" i="198"/>
  <c r="O11" i="198"/>
  <c r="M11" i="198"/>
  <c r="S11" i="198" s="1"/>
  <c r="T11" i="198" s="1"/>
  <c r="L11" i="198"/>
  <c r="O10" i="198"/>
  <c r="M10" i="198"/>
  <c r="S10" i="198" s="1"/>
  <c r="T10" i="198" s="1"/>
  <c r="L10" i="198"/>
  <c r="O9" i="198"/>
  <c r="M9" i="198"/>
  <c r="S9" i="198" s="1"/>
  <c r="T9" i="198" s="1"/>
  <c r="L9" i="198"/>
  <c r="O8" i="198"/>
  <c r="M8" i="198"/>
  <c r="S8" i="198" s="1"/>
  <c r="T8" i="198" s="1"/>
  <c r="L8" i="198"/>
  <c r="O7" i="198"/>
  <c r="M7" i="198"/>
  <c r="S7" i="198" s="1"/>
  <c r="T7" i="198" s="1"/>
  <c r="L7" i="198"/>
  <c r="O6" i="198"/>
  <c r="M6" i="198"/>
  <c r="S6" i="198" s="1"/>
  <c r="T6" i="198" s="1"/>
  <c r="L6" i="198"/>
  <c r="O5" i="198"/>
  <c r="M5" i="198"/>
  <c r="S5" i="198" s="1"/>
  <c r="T5" i="198" s="1"/>
  <c r="L5" i="198"/>
  <c r="O4" i="198"/>
  <c r="M4" i="198"/>
  <c r="S4" i="198" s="1"/>
  <c r="L4" i="198"/>
  <c r="T4" i="198" l="1"/>
  <c r="S36" i="198"/>
  <c r="T36" i="198" s="1"/>
  <c r="T4" i="211"/>
  <c r="S36" i="211"/>
  <c r="T36" i="211" s="1"/>
  <c r="T4" i="204"/>
  <c r="S36" i="204"/>
  <c r="T36" i="204" s="1"/>
  <c r="T4" i="197"/>
  <c r="S36" i="197"/>
  <c r="T36" i="197" s="1"/>
  <c r="M4" i="212"/>
  <c r="S4" i="212" s="1"/>
  <c r="L22" i="212"/>
  <c r="M22" i="212"/>
  <c r="S22" i="212" s="1"/>
  <c r="L25" i="212"/>
  <c r="L34" i="212"/>
  <c r="M6" i="212"/>
  <c r="S6" i="212" s="1"/>
  <c r="L4" i="212"/>
  <c r="L20" i="212"/>
  <c r="S4" i="195"/>
  <c r="T4" i="195" s="1"/>
  <c r="L31" i="212"/>
  <c r="L9" i="212"/>
  <c r="L18" i="212"/>
  <c r="M31" i="212"/>
  <c r="S31" i="212" s="1"/>
  <c r="L35" i="212"/>
  <c r="L6" i="212"/>
  <c r="L17" i="212"/>
  <c r="M18" i="212"/>
  <c r="S18" i="212" s="1"/>
  <c r="M35" i="212"/>
  <c r="S35" i="212" s="1"/>
  <c r="L15" i="212"/>
  <c r="L10" i="212"/>
  <c r="L26" i="212"/>
  <c r="L29" i="212"/>
  <c r="L16" i="212"/>
  <c r="L24" i="212"/>
  <c r="L33" i="212"/>
  <c r="L14" i="212"/>
  <c r="L30" i="212"/>
  <c r="M30" i="212"/>
  <c r="S30" i="212" s="1"/>
  <c r="L12" i="212"/>
  <c r="M25" i="212"/>
  <c r="S25" i="212" s="1"/>
  <c r="L28" i="212"/>
  <c r="L23" i="212"/>
  <c r="M7" i="212"/>
  <c r="S7" i="212" s="1"/>
  <c r="L5" i="212"/>
  <c r="M10" i="212"/>
  <c r="S10" i="212" s="1"/>
  <c r="L21" i="212"/>
  <c r="L11" i="212"/>
  <c r="M16" i="212"/>
  <c r="S16" i="212" s="1"/>
  <c r="L19" i="212"/>
  <c r="M24" i="212"/>
  <c r="S24" i="212" s="1"/>
  <c r="L27" i="212"/>
  <c r="L8" i="212"/>
  <c r="T8" i="195"/>
  <c r="L13" i="212"/>
  <c r="L7" i="212"/>
  <c r="S6" i="163"/>
  <c r="T6" i="163" s="1"/>
  <c r="Q27" i="212"/>
  <c r="S10" i="163"/>
  <c r="T10" i="163" s="1"/>
  <c r="S30" i="163"/>
  <c r="T30" i="163" s="1"/>
  <c r="S18" i="163"/>
  <c r="T18" i="163" s="1"/>
  <c r="Q9" i="212"/>
  <c r="S24" i="163"/>
  <c r="T24" i="163" s="1"/>
  <c r="S22" i="163"/>
  <c r="T22" i="163" s="1"/>
  <c r="M14" i="212"/>
  <c r="S14" i="212" s="1"/>
  <c r="S16" i="163"/>
  <c r="T16" i="163" s="1"/>
  <c r="S25" i="163"/>
  <c r="T25" i="163" s="1"/>
  <c r="S35" i="163"/>
  <c r="T35" i="163" s="1"/>
  <c r="Q35" i="212"/>
  <c r="G35" i="214"/>
  <c r="Y27" i="214"/>
  <c r="T27" i="214"/>
  <c r="W27" i="214" s="1"/>
  <c r="K27" i="214" s="1"/>
  <c r="M27" i="214" s="1"/>
  <c r="Q19" i="212"/>
  <c r="G19" i="214"/>
  <c r="Q11" i="212"/>
  <c r="G11" i="214"/>
  <c r="Q21" i="212"/>
  <c r="M29" i="212"/>
  <c r="S29" i="212" s="1"/>
  <c r="M21" i="212"/>
  <c r="S21" i="212" s="1"/>
  <c r="Q20" i="212"/>
  <c r="G20" i="214"/>
  <c r="T34" i="214"/>
  <c r="W34" i="214" s="1"/>
  <c r="K34" i="214" s="1"/>
  <c r="M34" i="214" s="1"/>
  <c r="Y34" i="214"/>
  <c r="Q26" i="212"/>
  <c r="G26" i="214"/>
  <c r="Q18" i="212"/>
  <c r="G18" i="214"/>
  <c r="Q10" i="212"/>
  <c r="G10" i="214"/>
  <c r="M28" i="212"/>
  <c r="S28" i="212" s="1"/>
  <c r="M20" i="212"/>
  <c r="S20" i="212" s="1"/>
  <c r="M9" i="212"/>
  <c r="S9" i="212" s="1"/>
  <c r="Q28" i="212"/>
  <c r="G28" i="214"/>
  <c r="Q33" i="212"/>
  <c r="G33" i="214"/>
  <c r="Q25" i="212"/>
  <c r="G25" i="214"/>
  <c r="Q17" i="212"/>
  <c r="G17" i="214"/>
  <c r="Y9" i="214"/>
  <c r="T9" i="214"/>
  <c r="W9" i="214" s="1"/>
  <c r="N9" i="214" s="1"/>
  <c r="P9" i="214" s="1"/>
  <c r="M27" i="212"/>
  <c r="S27" i="212" s="1"/>
  <c r="M19" i="212"/>
  <c r="S19" i="212" s="1"/>
  <c r="M8" i="212"/>
  <c r="S8" i="212" s="1"/>
  <c r="Q4" i="212"/>
  <c r="G4" i="214"/>
  <c r="Q12" i="212"/>
  <c r="G12" i="214"/>
  <c r="S7" i="163"/>
  <c r="T7" i="163" s="1"/>
  <c r="Q32" i="212"/>
  <c r="G32" i="214"/>
  <c r="Q24" i="212"/>
  <c r="G24" i="214"/>
  <c r="Q16" i="212"/>
  <c r="G16" i="214"/>
  <c r="Q8" i="212"/>
  <c r="G8" i="214"/>
  <c r="M34" i="212"/>
  <c r="S34" i="212" s="1"/>
  <c r="M26" i="212"/>
  <c r="S26" i="212" s="1"/>
  <c r="Q31" i="212"/>
  <c r="G31" i="214"/>
  <c r="Q23" i="212"/>
  <c r="G23" i="214"/>
  <c r="Q15" i="212"/>
  <c r="G15" i="214"/>
  <c r="Q7" i="212"/>
  <c r="G7" i="214"/>
  <c r="M33" i="212"/>
  <c r="S33" i="212" s="1"/>
  <c r="M17" i="212"/>
  <c r="S17" i="212" s="1"/>
  <c r="Q30" i="212"/>
  <c r="G30" i="214"/>
  <c r="Q22" i="212"/>
  <c r="G22" i="214"/>
  <c r="Q14" i="212"/>
  <c r="G14" i="214"/>
  <c r="Q6" i="212"/>
  <c r="G6" i="214"/>
  <c r="M5" i="212"/>
  <c r="S5" i="212" s="1"/>
  <c r="S31" i="163"/>
  <c r="T31" i="163" s="1"/>
  <c r="Q29" i="212"/>
  <c r="G29" i="214"/>
  <c r="Y21" i="214"/>
  <c r="T21" i="214"/>
  <c r="W21" i="214" s="1"/>
  <c r="K21" i="214" s="1"/>
  <c r="M21" i="214" s="1"/>
  <c r="Q13" i="212"/>
  <c r="G13" i="214"/>
  <c r="Q5" i="212"/>
  <c r="G5" i="214"/>
  <c r="M23" i="212"/>
  <c r="S23" i="212" s="1"/>
  <c r="M15" i="212"/>
  <c r="S15" i="212" s="1"/>
  <c r="M13" i="212"/>
  <c r="S13" i="212" s="1"/>
  <c r="M12" i="212"/>
  <c r="S12" i="212" s="1"/>
  <c r="M11" i="212"/>
  <c r="S11" i="212" s="1"/>
  <c r="T4" i="163"/>
  <c r="N33" i="212"/>
  <c r="N35" i="212"/>
  <c r="N34" i="212"/>
  <c r="Q34" i="212"/>
  <c r="O5" i="212"/>
  <c r="R5" i="212" s="1"/>
  <c r="O6" i="212"/>
  <c r="R6" i="212" s="1"/>
  <c r="O7" i="212"/>
  <c r="R7" i="212" s="1"/>
  <c r="O8" i="212"/>
  <c r="R8" i="212" s="1"/>
  <c r="O9" i="212"/>
  <c r="R9" i="212" s="1"/>
  <c r="O10" i="212"/>
  <c r="R10" i="212" s="1"/>
  <c r="O11" i="212"/>
  <c r="R11" i="212" s="1"/>
  <c r="O12" i="212"/>
  <c r="R12" i="212" s="1"/>
  <c r="O13" i="212"/>
  <c r="R13" i="212" s="1"/>
  <c r="O14" i="212"/>
  <c r="R14" i="212" s="1"/>
  <c r="O15" i="212"/>
  <c r="R15" i="212" s="1"/>
  <c r="O16" i="212"/>
  <c r="R16" i="212" s="1"/>
  <c r="O17" i="212"/>
  <c r="R17" i="212" s="1"/>
  <c r="O18" i="212"/>
  <c r="R18" i="212" s="1"/>
  <c r="O19" i="212"/>
  <c r="R19" i="212" s="1"/>
  <c r="O20" i="212"/>
  <c r="R20" i="212" s="1"/>
  <c r="O21" i="212"/>
  <c r="R21" i="212" s="1"/>
  <c r="O22" i="212"/>
  <c r="R22" i="212" s="1"/>
  <c r="O23" i="212"/>
  <c r="R23" i="212" s="1"/>
  <c r="O24" i="212"/>
  <c r="R24" i="212" s="1"/>
  <c r="O25" i="212"/>
  <c r="R25" i="212" s="1"/>
  <c r="O26" i="212"/>
  <c r="R26" i="212" s="1"/>
  <c r="O27" i="212"/>
  <c r="R27" i="212" s="1"/>
  <c r="O28" i="212"/>
  <c r="R28" i="212" s="1"/>
  <c r="O29" i="212"/>
  <c r="R29" i="212" s="1"/>
  <c r="O30" i="212"/>
  <c r="R30" i="212" s="1"/>
  <c r="O31" i="212"/>
  <c r="R31" i="212" s="1"/>
  <c r="O32" i="212"/>
  <c r="R32" i="212" s="1"/>
  <c r="O4" i="212"/>
  <c r="R4" i="212" s="1"/>
  <c r="P35" i="212" l="1"/>
  <c r="S36" i="195"/>
  <c r="T36" i="195" s="1"/>
  <c r="H27" i="214"/>
  <c r="J27" i="214" s="1"/>
  <c r="N27" i="214"/>
  <c r="P27" i="214" s="1"/>
  <c r="Q27" i="214"/>
  <c r="S27" i="214" s="1"/>
  <c r="P33" i="212"/>
  <c r="H9" i="214"/>
  <c r="J9" i="214" s="1"/>
  <c r="K9" i="214"/>
  <c r="M9" i="214" s="1"/>
  <c r="P34" i="212"/>
  <c r="N21" i="214"/>
  <c r="P21" i="214" s="1"/>
  <c r="Q21" i="214"/>
  <c r="S21" i="214" s="1"/>
  <c r="Y13" i="214"/>
  <c r="T13" i="214"/>
  <c r="W13" i="214" s="1"/>
  <c r="K13" i="214" s="1"/>
  <c r="M13" i="214" s="1"/>
  <c r="Y23" i="214"/>
  <c r="T23" i="214"/>
  <c r="W23" i="214" s="1"/>
  <c r="K23" i="214" s="1"/>
  <c r="M23" i="214" s="1"/>
  <c r="T4" i="214"/>
  <c r="W4" i="214" s="1"/>
  <c r="N4" i="214" s="1"/>
  <c r="P4" i="214" s="1"/>
  <c r="Y4" i="214"/>
  <c r="Y31" i="214"/>
  <c r="T31" i="214"/>
  <c r="W31" i="214" s="1"/>
  <c r="N31" i="214" s="1"/>
  <c r="P31" i="214" s="1"/>
  <c r="Y7" i="214"/>
  <c r="T7" i="214"/>
  <c r="W7" i="214" s="1"/>
  <c r="H7" i="214" s="1"/>
  <c r="J7" i="214" s="1"/>
  <c r="Q34" i="214"/>
  <c r="S34" i="214" s="1"/>
  <c r="Y25" i="214"/>
  <c r="T25" i="214"/>
  <c r="W25" i="214" s="1"/>
  <c r="K25" i="214" s="1"/>
  <c r="M25" i="214" s="1"/>
  <c r="N34" i="214"/>
  <c r="P34" i="214" s="1"/>
  <c r="T30" i="214"/>
  <c r="W30" i="214" s="1"/>
  <c r="N30" i="214" s="1"/>
  <c r="P30" i="214" s="1"/>
  <c r="Y30" i="214"/>
  <c r="Q36" i="212"/>
  <c r="T26" i="214"/>
  <c r="W26" i="214" s="1"/>
  <c r="H26" i="214" s="1"/>
  <c r="J26" i="214" s="1"/>
  <c r="Y26" i="214"/>
  <c r="T14" i="214"/>
  <c r="W14" i="214" s="1"/>
  <c r="H14" i="214" s="1"/>
  <c r="J14" i="214" s="1"/>
  <c r="Y14" i="214"/>
  <c r="T32" i="214"/>
  <c r="W32" i="214" s="1"/>
  <c r="K32" i="214" s="1"/>
  <c r="M32" i="214" s="1"/>
  <c r="Y32" i="214"/>
  <c r="Y5" i="214"/>
  <c r="T5" i="214"/>
  <c r="W5" i="214" s="1"/>
  <c r="Q5" i="214" s="1"/>
  <c r="S5" i="214" s="1"/>
  <c r="S36" i="163"/>
  <c r="Y29" i="214"/>
  <c r="T29" i="214"/>
  <c r="W29" i="214" s="1"/>
  <c r="N29" i="214" s="1"/>
  <c r="P29" i="214" s="1"/>
  <c r="T22" i="214"/>
  <c r="W22" i="214" s="1"/>
  <c r="Q22" i="214" s="1"/>
  <c r="S22" i="214" s="1"/>
  <c r="Y22" i="214"/>
  <c r="Y15" i="214"/>
  <c r="T15" i="214"/>
  <c r="W15" i="214" s="1"/>
  <c r="K15" i="214" s="1"/>
  <c r="M15" i="214" s="1"/>
  <c r="Y8" i="214"/>
  <c r="T8" i="214"/>
  <c r="W8" i="214" s="1"/>
  <c r="K8" i="214" s="1"/>
  <c r="M8" i="214" s="1"/>
  <c r="Q9" i="214"/>
  <c r="S9" i="214" s="1"/>
  <c r="T10" i="214"/>
  <c r="W10" i="214" s="1"/>
  <c r="K10" i="214" s="1"/>
  <c r="M10" i="214" s="1"/>
  <c r="Y10" i="214"/>
  <c r="H34" i="214"/>
  <c r="J34" i="214" s="1"/>
  <c r="Y11" i="214"/>
  <c r="T11" i="214"/>
  <c r="W11" i="214" s="1"/>
  <c r="Q11" i="214" s="1"/>
  <c r="S11" i="214" s="1"/>
  <c r="T20" i="214"/>
  <c r="W20" i="214" s="1"/>
  <c r="H20" i="214" s="1"/>
  <c r="J20" i="214" s="1"/>
  <c r="Y20" i="214"/>
  <c r="Y33" i="214"/>
  <c r="T33" i="214"/>
  <c r="W33" i="214" s="1"/>
  <c r="K33" i="214" s="1"/>
  <c r="M33" i="214" s="1"/>
  <c r="T16" i="214"/>
  <c r="W16" i="214" s="1"/>
  <c r="Q16" i="214" s="1"/>
  <c r="S16" i="214" s="1"/>
  <c r="Y16" i="214"/>
  <c r="Y19" i="214"/>
  <c r="T19" i="214"/>
  <c r="W19" i="214" s="1"/>
  <c r="K19" i="214" s="1"/>
  <c r="M19" i="214" s="1"/>
  <c r="Y35" i="214"/>
  <c r="T35" i="214"/>
  <c r="W35" i="214" s="1"/>
  <c r="Q35" i="214" s="1"/>
  <c r="S35" i="214" s="1"/>
  <c r="T6" i="214"/>
  <c r="W6" i="214" s="1"/>
  <c r="Q6" i="214" s="1"/>
  <c r="S6" i="214" s="1"/>
  <c r="Y6" i="214"/>
  <c r="H21" i="214"/>
  <c r="J21" i="214" s="1"/>
  <c r="Y17" i="214"/>
  <c r="T17" i="214"/>
  <c r="W17" i="214" s="1"/>
  <c r="N17" i="214" s="1"/>
  <c r="P17" i="214" s="1"/>
  <c r="T12" i="214"/>
  <c r="W12" i="214" s="1"/>
  <c r="K12" i="214" s="1"/>
  <c r="M12" i="214" s="1"/>
  <c r="Y12" i="214"/>
  <c r="T18" i="214"/>
  <c r="W18" i="214" s="1"/>
  <c r="N18" i="214" s="1"/>
  <c r="P18" i="214" s="1"/>
  <c r="Y18" i="214"/>
  <c r="T28" i="214"/>
  <c r="W28" i="214" s="1"/>
  <c r="Q28" i="214" s="1"/>
  <c r="S28" i="214" s="1"/>
  <c r="Y28" i="214"/>
  <c r="T24" i="214"/>
  <c r="W24" i="214" s="1"/>
  <c r="K24" i="214" s="1"/>
  <c r="M24" i="214" s="1"/>
  <c r="Y24" i="214"/>
  <c r="N5" i="212"/>
  <c r="N6" i="212"/>
  <c r="N32" i="212"/>
  <c r="N27" i="212"/>
  <c r="N17" i="212"/>
  <c r="N24" i="212"/>
  <c r="N14" i="212"/>
  <c r="P15" i="212"/>
  <c r="P18" i="212"/>
  <c r="N26" i="212"/>
  <c r="P9" i="212"/>
  <c r="P12" i="212"/>
  <c r="N7" i="212"/>
  <c r="N12" i="212"/>
  <c r="N16" i="212"/>
  <c r="P25" i="212"/>
  <c r="P20" i="212"/>
  <c r="P10" i="212"/>
  <c r="N15" i="212"/>
  <c r="P14" i="212"/>
  <c r="N22" i="212"/>
  <c r="N20" i="212"/>
  <c r="P19" i="212"/>
  <c r="P16" i="212"/>
  <c r="N18" i="212"/>
  <c r="P22" i="212"/>
  <c r="N19" i="212"/>
  <c r="N9" i="212"/>
  <c r="P7" i="212"/>
  <c r="N29" i="212"/>
  <c r="N10" i="212"/>
  <c r="N8" i="212"/>
  <c r="N25" i="212"/>
  <c r="H16" i="214" l="1"/>
  <c r="J16" i="214" s="1"/>
  <c r="K16" i="214"/>
  <c r="M16" i="214" s="1"/>
  <c r="N23" i="214"/>
  <c r="P23" i="214" s="1"/>
  <c r="N16" i="214"/>
  <c r="P16" i="214" s="1"/>
  <c r="K31" i="214"/>
  <c r="M31" i="214" s="1"/>
  <c r="Q18" i="214"/>
  <c r="S18" i="214" s="1"/>
  <c r="H31" i="214"/>
  <c r="J31" i="214" s="1"/>
  <c r="K14" i="214"/>
  <c r="M14" i="214" s="1"/>
  <c r="N22" i="214"/>
  <c r="P22" i="214" s="1"/>
  <c r="Q23" i="214"/>
  <c r="S23" i="214" s="1"/>
  <c r="N14" i="214"/>
  <c r="P14" i="214" s="1"/>
  <c r="H23" i="214"/>
  <c r="J23" i="214" s="1"/>
  <c r="H25" i="214"/>
  <c r="J25" i="214" s="1"/>
  <c r="Q31" i="214"/>
  <c r="S31" i="214" s="1"/>
  <c r="H28" i="214"/>
  <c r="J28" i="214" s="1"/>
  <c r="K28" i="214"/>
  <c r="M28" i="214" s="1"/>
  <c r="N10" i="214"/>
  <c r="P10" i="214" s="1"/>
  <c r="H22" i="214"/>
  <c r="J22" i="214" s="1"/>
  <c r="N28" i="214"/>
  <c r="P28" i="214" s="1"/>
  <c r="K17" i="214"/>
  <c r="M17" i="214" s="1"/>
  <c r="K22" i="214"/>
  <c r="M22" i="214" s="1"/>
  <c r="Q13" i="214"/>
  <c r="S13" i="214" s="1"/>
  <c r="N35" i="214"/>
  <c r="P35" i="214" s="1"/>
  <c r="N8" i="214"/>
  <c r="P8" i="214" s="1"/>
  <c r="K6" i="214"/>
  <c r="M6" i="214" s="1"/>
  <c r="N19" i="214"/>
  <c r="P19" i="214" s="1"/>
  <c r="H11" i="214"/>
  <c r="J11" i="214" s="1"/>
  <c r="H10" i="214"/>
  <c r="J10" i="214" s="1"/>
  <c r="H15" i="214"/>
  <c r="J15" i="214" s="1"/>
  <c r="Q32" i="214"/>
  <c r="S32" i="214" s="1"/>
  <c r="Q14" i="214"/>
  <c r="S14" i="214" s="1"/>
  <c r="K7" i="214"/>
  <c r="M7" i="214" s="1"/>
  <c r="Q17" i="214"/>
  <c r="S17" i="214" s="1"/>
  <c r="N6" i="214"/>
  <c r="P6" i="214" s="1"/>
  <c r="H19" i="214"/>
  <c r="J19" i="214" s="1"/>
  <c r="N11" i="214"/>
  <c r="P11" i="214" s="1"/>
  <c r="Q10" i="214"/>
  <c r="S10" i="214" s="1"/>
  <c r="N15" i="214"/>
  <c r="P15" i="214" s="1"/>
  <c r="H32" i="214"/>
  <c r="J32" i="214" s="1"/>
  <c r="N7" i="214"/>
  <c r="P7" i="214" s="1"/>
  <c r="H17" i="214"/>
  <c r="J17" i="214" s="1"/>
  <c r="H6" i="214"/>
  <c r="J6" i="214" s="1"/>
  <c r="Q19" i="214"/>
  <c r="S19" i="214" s="1"/>
  <c r="K11" i="214"/>
  <c r="M11" i="214" s="1"/>
  <c r="Q15" i="214"/>
  <c r="S15" i="214" s="1"/>
  <c r="K29" i="214"/>
  <c r="M29" i="214" s="1"/>
  <c r="N32" i="214"/>
  <c r="P32" i="214" s="1"/>
  <c r="Q25" i="214"/>
  <c r="S25" i="214" s="1"/>
  <c r="Q7" i="214"/>
  <c r="S7" i="214" s="1"/>
  <c r="H4" i="214"/>
  <c r="J4" i="214" s="1"/>
  <c r="K18" i="214"/>
  <c r="M18" i="214" s="1"/>
  <c r="H33" i="214"/>
  <c r="J33" i="214" s="1"/>
  <c r="N25" i="214"/>
  <c r="P25" i="214" s="1"/>
  <c r="H13" i="214"/>
  <c r="J13" i="214" s="1"/>
  <c r="N26" i="214"/>
  <c r="P26" i="214" s="1"/>
  <c r="N5" i="214"/>
  <c r="P5" i="214" s="1"/>
  <c r="Q24" i="214"/>
  <c r="S24" i="214" s="1"/>
  <c r="N20" i="214"/>
  <c r="P20" i="214" s="1"/>
  <c r="Q29" i="214"/>
  <c r="S29" i="214" s="1"/>
  <c r="H5" i="214"/>
  <c r="J5" i="214" s="1"/>
  <c r="K30" i="214"/>
  <c r="M30" i="214" s="1"/>
  <c r="H24" i="214"/>
  <c r="J24" i="214" s="1"/>
  <c r="H12" i="214"/>
  <c r="J12" i="214" s="1"/>
  <c r="K35" i="214"/>
  <c r="M35" i="214" s="1"/>
  <c r="Q33" i="214"/>
  <c r="S33" i="214" s="1"/>
  <c r="K20" i="214"/>
  <c r="M20" i="214" s="1"/>
  <c r="Q8" i="214"/>
  <c r="S8" i="214" s="1"/>
  <c r="H29" i="214"/>
  <c r="J29" i="214" s="1"/>
  <c r="K5" i="214"/>
  <c r="M5" i="214" s="1"/>
  <c r="K26" i="214"/>
  <c r="M26" i="214" s="1"/>
  <c r="Q30" i="214"/>
  <c r="S30" i="214" s="1"/>
  <c r="K4" i="214"/>
  <c r="M4" i="214" s="1"/>
  <c r="Q26" i="214"/>
  <c r="S26" i="214" s="1"/>
  <c r="Q20" i="214"/>
  <c r="S20" i="214" s="1"/>
  <c r="N12" i="214"/>
  <c r="P12" i="214" s="1"/>
  <c r="H35" i="214"/>
  <c r="J35" i="214" s="1"/>
  <c r="Q4" i="214"/>
  <c r="S4" i="214" s="1"/>
  <c r="N24" i="214"/>
  <c r="P24" i="214" s="1"/>
  <c r="H18" i="214"/>
  <c r="J18" i="214" s="1"/>
  <c r="N33" i="214"/>
  <c r="P33" i="214" s="1"/>
  <c r="H8" i="214"/>
  <c r="J8" i="214" s="1"/>
  <c r="H30" i="214"/>
  <c r="J30" i="214" s="1"/>
  <c r="N13" i="214"/>
  <c r="P13" i="214" s="1"/>
  <c r="Q12" i="214"/>
  <c r="S12" i="214" s="1"/>
  <c r="P24" i="212"/>
  <c r="P5" i="212"/>
  <c r="P6" i="212"/>
  <c r="P17" i="212"/>
  <c r="P27" i="212"/>
  <c r="P32" i="212"/>
  <c r="P23" i="212"/>
  <c r="P26" i="212"/>
  <c r="P21" i="212"/>
  <c r="P31" i="212"/>
  <c r="P13" i="212"/>
  <c r="N13" i="212"/>
  <c r="N21" i="212"/>
  <c r="P29" i="212"/>
  <c r="N23" i="212"/>
  <c r="N31" i="212"/>
  <c r="P8" i="212"/>
  <c r="N11" i="212"/>
  <c r="P11" i="212"/>
  <c r="N30" i="212" l="1"/>
  <c r="P30" i="212"/>
  <c r="P28" i="212"/>
  <c r="N28" i="212"/>
  <c r="N4" i="212" l="1"/>
  <c r="P4" i="212"/>
  <c r="F41" i="212"/>
  <c r="C40" i="212"/>
  <c r="C39" i="212"/>
  <c r="C38" i="212"/>
  <c r="F42" i="212" l="1"/>
  <c r="F44" i="2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DA8C03D1-C5F9-4B9C-8298-44FD314984F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RECEBIDO DA PROEX: 05.</t>
        </r>
      </text>
    </comment>
    <comment ref="N7" authorId="0" shapeId="0" xr:uid="{38C32523-D687-4608-A415-7C60E2E19DE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14/10/2025:CEDIDO AO MUSEU: 05.</t>
        </r>
      </text>
    </comment>
    <comment ref="N28" authorId="0" shapeId="0" xr:uid="{DA9174B7-1F79-490B-B520-25CDE468615A}">
      <text>
        <r>
          <rPr>
            <b/>
            <sz val="10"/>
            <color indexed="81"/>
            <rFont val="Segoe UI"/>
            <family val="2"/>
          </rPr>
          <t xml:space="preserve">LETÍCIA-SEGECON/FPOLIS:
</t>
        </r>
        <r>
          <rPr>
            <sz val="10"/>
            <color indexed="81"/>
            <rFont val="Segoe UI"/>
            <family val="2"/>
          </rPr>
          <t>12/08/2025: RECEBIDO DA COVEST: 55.000.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D2AA403E-807D-4C1B-B986-8DFD5E9493D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13/08/2025: CEDIDO AO CEART: 01.</t>
        </r>
      </text>
    </comment>
    <comment ref="N7" authorId="0" shapeId="0" xr:uid="{A7C3F553-1FC1-4A6D-8AD9-17BA87A63EA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04/07/2025: CEDIDO AO MESC: 04.</t>
        </r>
      </text>
    </comment>
    <comment ref="N13" authorId="0" shapeId="0" xr:uid="{6909095D-95C1-42C1-A580-006B8F1009D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04/07/2025: CEDIDO AO MESC: 01.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5" authorId="0" shapeId="0" xr:uid="{6031AFFA-53E4-49C2-BC2E-0B20FD17E61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06/11/2025: CEDIDO AO CCT: 12.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4" authorId="0" shapeId="0" xr:uid="{C753EED3-327F-4E73-B84D-558769B39C0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15/08/2025: CEDIDO PARA FAED: 100.</t>
        </r>
      </text>
    </comment>
    <comment ref="N19" authorId="0" shapeId="0" xr:uid="{7825320E-B5F2-46F8-BA85-FD9E79245B8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12/09/2025: CEDIDO À FAED: 99.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8D1A4247-F451-48F7-B4AD-FEE0FE735B6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9ACAC7D4-8B00-4C29-8B15-6189B7BBE2B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CEDIDO PARA SECOM: 05.</t>
        </r>
      </text>
    </comment>
    <comment ref="N33" authorId="0" shapeId="0" xr:uid="{45401A9C-7350-4CFE-82AA-374A4840A54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25/09/2025: CEDIDO À ESAG: 170.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7" authorId="0" shapeId="0" xr:uid="{5398512F-D884-4A70-850D-BD6F5C5B1BF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04/07/2025: RECEBIDO DO CEAD: 04.
14/10/2025: RECEBIDO DA SECOM: 05.</t>
        </r>
      </text>
    </comment>
    <comment ref="N13" authorId="0" shapeId="0" xr:uid="{6E74F9B8-9FA3-4787-94D8-8E14A4B16BE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04/07/2025: RECEBIDO DO CEAD: 01.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28" authorId="0" shapeId="0" xr:uid="{903C12E6-4E7F-4045-A0BB-55854A1E2F5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CEDIDO PARA SECOM: 55.000.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F600D170-548A-49C9-AEDA-F9667EDD953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13/08/2025: RECEBIDO DO CEAD: 01.</t>
        </r>
      </text>
    </comment>
    <comment ref="N11" authorId="0" shapeId="0" xr:uid="{DE8D919C-591D-4C5F-B3C6-29187116F27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18/08/2025: CEDIDO PARA FAED: 02.</t>
        </r>
      </text>
    </comment>
    <comment ref="N15" authorId="0" shapeId="0" xr:uid="{179B2F30-ED2C-43BD-A2F2-FE7DBBAFBF2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19/11/2025: RECEBIDO DA FAED: 01.</t>
        </r>
      </text>
    </comment>
    <comment ref="N17" authorId="0" shapeId="0" xr:uid="{D34C5796-7176-482C-BE6A-F183809B5C0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18/08/2025: CEDIDO PARA CEFID: 100.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7" authorId="0" shapeId="0" xr:uid="{F46DFE35-6EB0-4CDA-AA95-1E1971C8B3D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18/08/2025: RECEBIDO DO CEART: 100.</t>
        </r>
      </text>
    </comment>
    <comment ref="N29" authorId="0" shapeId="0" xr:uid="{B3BE21FC-064D-4DD0-A491-74FBBD0D18A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10/09/2025: CEDIDO à FAED: 800.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5" authorId="0" shapeId="0" xr:uid="{8D8B5944-9D32-40B1-8E46-DBD27281EA0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06/11/2025: RECEBIDO DO CESMO: 12.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33" authorId="0" shapeId="0" xr:uid="{4B26F3F9-A4B6-4B78-B953-1DF23DCE6F7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25/09/2025: RECEBIDO DA PROEX: 170.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1" authorId="0" shapeId="0" xr:uid="{46B3BD3D-80F4-4347-AB8A-4698FF67A78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18/08/2025: RECEBIDO DO CEART: 02</t>
        </r>
      </text>
    </comment>
    <comment ref="N14" authorId="0" shapeId="0" xr:uid="{6ED7BD3E-0278-42BB-B7F8-9B50481B876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15/08/2025: RECEBIDO DO CERES: 100.</t>
        </r>
      </text>
    </comment>
    <comment ref="N15" authorId="0" shapeId="0" xr:uid="{D4E1C99D-6FAE-43EA-BB53-591D46A8009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19/11/2025: CEDIDO AO CEART: 01.</t>
        </r>
      </text>
    </comment>
    <comment ref="N19" authorId="0" shapeId="0" xr:uid="{7F96744B-23B4-43F4-9056-5F77BF12429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12/09/2025: RECEBIDO DO CERES: 99.</t>
        </r>
      </text>
    </comment>
    <comment ref="N29" authorId="0" shapeId="0" xr:uid="{50A13372-1EDA-4D6F-82F7-F2198CF3716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10/09/2025: RECEBIDO DO CEFID: 800.</t>
        </r>
      </text>
    </comment>
  </commentList>
</comments>
</file>

<file path=xl/sharedStrings.xml><?xml version="1.0" encoding="utf-8"?>
<sst xmlns="http://schemas.openxmlformats.org/spreadsheetml/2006/main" count="5018" uniqueCount="260">
  <si>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</si>
  <si>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</si>
  <si>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</si>
  <si>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</si>
  <si>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</si>
  <si>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</si>
  <si>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</si>
  <si>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Utilizado</t>
  </si>
  <si>
    <t>Valor Utilizado</t>
  </si>
  <si>
    <t>% Aditivos</t>
  </si>
  <si>
    <t>% Utilizado</t>
  </si>
  <si>
    <t>Dimensões</t>
  </si>
  <si>
    <t xml:space="preserve">Placa em PVC, branca, impressão digital 4x0 cores, resolução mínima 300dpi's e espessura de 2mm, acabamento corte a laser, inclui adequação de layout, instalada com fita. </t>
  </si>
  <si>
    <t>Especificação</t>
  </si>
  <si>
    <t>Grupo-Classe</t>
  </si>
  <si>
    <t>Código NUC</t>
  </si>
  <si>
    <t>02-12</t>
  </si>
  <si>
    <t>50031-001</t>
  </si>
  <si>
    <t>Empresa</t>
  </si>
  <si>
    <t>até 100 un.</t>
  </si>
  <si>
    <t>101 a 500 un.</t>
  </si>
  <si>
    <t>100 a 1.000 un.</t>
  </si>
  <si>
    <t>acima de 1.001 un.</t>
  </si>
  <si>
    <t>100 a 500 un.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</si>
  <si>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</si>
  <si>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</si>
  <si>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</si>
  <si>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t>CARTÃO DE VISITA; FORMATO = 9 (largura) X 5 (altura) cm; Papel Couchê Fosco, com gramatura 240 G; COR DE IMPRESSÃO 4 CORES (Colorido) - impressão frente e verso</t>
  </si>
  <si>
    <t>Preço  Unitário</t>
  </si>
  <si>
    <t xml:space="preserve">Valor Total da Ata </t>
  </si>
  <si>
    <t>OS nº   XXXX/2024 Qtde. DT</t>
  </si>
  <si>
    <t>50 X 70cm</t>
  </si>
  <si>
    <t>90 X 150cm</t>
  </si>
  <si>
    <t>110 X 150cm</t>
  </si>
  <si>
    <t>130 X 180cm</t>
  </si>
  <si>
    <t>80 X 120cm</t>
  </si>
  <si>
    <t xml:space="preserve">90 X 120cm </t>
  </si>
  <si>
    <t>Detalhamento</t>
  </si>
  <si>
    <t>339039.63</t>
  </si>
  <si>
    <t>255 X 275cm</t>
  </si>
  <si>
    <t xml:space="preserve">295 X  875cm   </t>
  </si>
  <si>
    <t>310 X 914cm</t>
  </si>
  <si>
    <t>75cm X metro linear</t>
  </si>
  <si>
    <t>99 x 44,5cm</t>
  </si>
  <si>
    <t>90cm x metro linear</t>
  </si>
  <si>
    <t>Crachá c/ cordão</t>
  </si>
  <si>
    <t xml:space="preserve">Placa em PVC branco, impressão digital 4x0 cores, resolução mínima 300 dpi's e espessura de 2mm, com fixação dupla face de espuma acrílica para ambiente externo de no mínimo 20mm de largura e de no mínimo 10cm de tamanho para cada 150g de placa. </t>
  </si>
  <si>
    <t>200 X 100cm</t>
  </si>
  <si>
    <t>70 x 35cm</t>
  </si>
  <si>
    <t>14 x 14cm</t>
  </si>
  <si>
    <t>CARTAZ. Formato 30 (largura) x 40 (altura) cm; Impresso em papel fotográfico de alta qualidade, brilho, com gramatura 200g; qualidade de impressão de pelo menos 300 DPIs; Impressão colorida 4 cores - impressão só frente (sem verso)</t>
  </si>
  <si>
    <t>30 x 40 cm</t>
  </si>
  <si>
    <t>FLYER FRENTE E VERSO; FORMATO A5 = 15 (largura) X 21 (altura) cm; Papel Couchê Brilho, com gramatura 115 G; COR DE IMPRESSÃO 4 CORES (Colorido) - impressão frente e verso</t>
  </si>
  <si>
    <t>CENTRO PARTICIPANTE: REITORIA/PROEX</t>
  </si>
  <si>
    <r>
      <t xml:space="preserve">OBS: </t>
    </r>
    <r>
      <rPr>
        <b/>
        <u/>
        <sz val="11"/>
        <rFont val="Calibri"/>
        <family val="2"/>
        <scheme val="minor"/>
      </rPr>
      <t>VALOR MÍNIMO</t>
    </r>
    <r>
      <rPr>
        <b/>
        <sz val="11"/>
        <rFont val="Calibri"/>
        <family val="2"/>
        <scheme val="minor"/>
      </rPr>
      <t xml:space="preserve"> DA OS: </t>
    </r>
    <r>
      <rPr>
        <b/>
        <u/>
        <sz val="11"/>
        <rFont val="Calibri"/>
        <family val="2"/>
        <scheme val="minor"/>
      </rPr>
      <t>R$ 300,00</t>
    </r>
  </si>
  <si>
    <t>OS nº   XXXX/2025 Qtde. DT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</si>
  <si>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</si>
  <si>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</si>
  <si>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</si>
  <si>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</si>
  <si>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</si>
  <si>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</si>
  <si>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</si>
  <si>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</si>
  <si>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Qtde Utilizada Total</t>
  </si>
  <si>
    <t>Quantidade disponível para aditivar</t>
  </si>
  <si>
    <t>Qtde Aditivada</t>
  </si>
  <si>
    <t>SALDO</t>
  </si>
  <si>
    <t>Valor Total Registrado</t>
  </si>
  <si>
    <t>Valor Total Aditivado</t>
  </si>
  <si>
    <r>
      <t>VIGÊNCIA DA ATA: 29/05/2025</t>
    </r>
    <r>
      <rPr>
        <b/>
        <sz val="10"/>
        <rFont val="Calibri"/>
        <family val="2"/>
        <scheme val="minor"/>
      </rPr>
      <t xml:space="preserve"> até 29/05/2026</t>
    </r>
  </si>
  <si>
    <r>
      <t xml:space="preserve">OBJETO: </t>
    </r>
    <r>
      <rPr>
        <b/>
        <sz val="10"/>
        <rFont val="Calibri"/>
        <family val="2"/>
        <scheme val="minor"/>
      </rPr>
      <t>Contratação de empresa especializada em Serviços Gráficos (IMPRESSOS ADAPTADOS, BANNERS, ADESIVOS, ENTRE OUTROS) – TODA UDESC</t>
    </r>
  </si>
  <si>
    <t>PROCESSO: PE 630/2025 - SGPE 52651/2024</t>
  </si>
  <si>
    <t>YNOV DISTRIBUICAO DE PRODUTOS LTDA ME
CNPJ 38.903.127/0001-93</t>
  </si>
  <si>
    <t xml:space="preserve">Banner em lona, impressão digital 4x0 cores, resolução mínima 720 dpi's e 280 g/m² de gramatura mínima;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</t>
  </si>
  <si>
    <t>ARAÇÁ MATERIAL PUBLICITARIO EIRELLI
CNPJ 16.600.308/0001-08</t>
  </si>
  <si>
    <t>6</t>
  </si>
  <si>
    <t xml:space="preserve">Banner em papel sulfite - impressão digital 4x0 cores, resolução mínima 720 dpi's e 120 g/m² de gramatura mínima;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</si>
  <si>
    <t xml:space="preserve">Frontlight em lona, impressão digital 4x0 cores, resolução mínima 1200 dpi's e 440 g/m² de gramatura mínima; fixado com ilhóses dispostos de 20 em 20 cm, em ferro ou alumínio e de diâmetro compatível com a corda utilizada - corda trançada de no mínimo 4mm e de resistência suficiente e compatível com o frontlight. INSTALADO E RETIRADO. DIMENSÕES </t>
  </si>
  <si>
    <t xml:space="preserve">Adesivo em vinil, impressão digital 4x0 cores, resolução mínima 300 dpi's e 26 a 30 g/m² de gramatura mínima de cola; acabamento meio corte especial com faca. DIMENSÕES </t>
  </si>
  <si>
    <t xml:space="preserve">Adesivo recortado em vinil colorido (cores diversas a escolher), para adesivagem. DIMENSÃO </t>
  </si>
  <si>
    <t>VIXCARD COMERCIO, SERVICOS E IMPORTACAO DE ARTIGOS 
PARA IDENTIFICACAO LTDA
CNPJ 02.583.967/0001-79</t>
  </si>
  <si>
    <t>Crachá em cartão PVC laminado branco, impressão digital 4x1 cores, resolução mínima 300 dpi's e espessura de 0,70 a 0,80mm cantos arredondados, com perfuração entre 15 a 20mm compatível com grampo de metal tipo jacaré do cordão. Deverá acompanhar o desenvolvimento da arte para aprovação pela UDESC. Acompanha cordão para crachá personalizado em impressão digital, com grampo de metal tipo jacaré, em 100% poliéster. Crachá  5,4 X 8,60cm , cordão 1,3 a 1,6 X 80 a 90cm</t>
  </si>
  <si>
    <t>GALERIA 23 COMUNICAÇÃO VISUAL E GRÁFICA
CNPJ 51.257.431/0001-79</t>
  </si>
  <si>
    <t xml:space="preserve"> YNOV DISTRIBUICAO DE PRODUTOS LTDA ME
CNPJ 38.903.127/0001-93</t>
  </si>
  <si>
    <t>FONTANA &amp; JOAQUIM LTDA
CNPJ 31.381.381/0001-20</t>
  </si>
  <si>
    <t>MULTYGRAFHIC EDITORA LTDA
CNPJ 34.382.012/0001-40</t>
  </si>
  <si>
    <t>26</t>
  </si>
  <si>
    <t xml:space="preserve">FOLDER FRENTE E VERSO; FORMATO A4 = 29,7 (largura) X 21 (altura) cm; Papel Couchê Brilho ou Fosco, com gramatura 115 G; COR DE IMPRESSÃO 4 CORES (Colorido) - impressão frente e verso. Com UMA dobra. </t>
  </si>
  <si>
    <t>FOLDER. Formato aberto: 39 X 28 cm; cor de impressão 4 cores (colorido - impressão frente e verso); papel couchê fosco, gramatura 150g; acabamento: folder dobrado em 3 partes iguais. DUAS dobras</t>
  </si>
  <si>
    <t>30</t>
  </si>
  <si>
    <t>Confecção de crachás credencial e cordão personalizados com dados variáveis. CREDENCIAL: pvc, tamanho 9-10 x 14-15 cm em apresentação vertical ou horizontal, cores 4x4, resolução mínima 300 dpi's, borda arredondada, furo central ovoide. CORDÃO: personalizado, poliester acetinado, largura entre 2 e 3 cm e comprimento de 85 cm,  acabamento em jacaré. Deverá acompanhar o desenvolvimento da arte para aprovação pela UDESC</t>
  </si>
  <si>
    <t>14-15 x 9-10 cm</t>
  </si>
  <si>
    <t>31</t>
  </si>
  <si>
    <t>Minifolder de Bolso. Papel Offset 240 g/m². Formato fechado: 70 x 95 mm. Formato aberto: 425 x 95 mm. Cores: 4 x 4 cores
Manuseio: 5 dobras paralelas, refilo. Acabamento: laminação fosca</t>
  </si>
  <si>
    <t>até  1.000 un.</t>
  </si>
  <si>
    <t>32</t>
  </si>
  <si>
    <t>5000 un.</t>
  </si>
  <si>
    <t>metro</t>
  </si>
  <si>
    <t>Cartão</t>
  </si>
  <si>
    <t>Cartaz</t>
  </si>
  <si>
    <t>Flyer</t>
  </si>
  <si>
    <t>ÓRGÃO D</t>
  </si>
  <si>
    <t>TOTAL</t>
  </si>
  <si>
    <t>PREÇOS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</si>
  <si>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</si>
  <si>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Passível de Carona </t>
  </si>
  <si>
    <t xml:space="preserve">Quantidade Carona </t>
  </si>
  <si>
    <t xml:space="preserve">Saldo RESTANTE para CARONA </t>
  </si>
  <si>
    <t>Quantidade Aditivada</t>
  </si>
  <si>
    <t xml:space="preserve">Valor Unitário </t>
  </si>
  <si>
    <t xml:space="preserve">Total Registrado </t>
  </si>
  <si>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</si>
  <si>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</si>
  <si>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INSERIR ÓRGÃO</t>
  </si>
  <si>
    <t>OBJETO: Contratação de empresa especializada em Serviços Gráficos (IMPRESSOS ADAPTADOS, BANNERS, ADESIVOS, ENTRE OUTROS) – TODA UDESC</t>
  </si>
  <si>
    <t>VIGÊNCIA DA ATA: 29/05/2025 até 29/05/2026</t>
  </si>
  <si>
    <t>ARAÇÁ MATERIAL PUBLICITARIO EIRELLI, CNPJ 16.600.308/0001-08</t>
  </si>
  <si>
    <r>
      <rPr>
        <strike/>
        <sz val="11"/>
        <color rgb="FFFF0000"/>
        <rFont val="Calibri"/>
        <family val="2"/>
      </rPr>
      <t>339039.63</t>
    </r>
    <r>
      <rPr>
        <sz val="11"/>
        <color theme="1"/>
        <rFont val="Calibri"/>
        <family val="2"/>
      </rPr>
      <t xml:space="preserve"> 339030.44</t>
    </r>
  </si>
  <si>
    <t>OS nº   1162/2025 Qtde. DT</t>
  </si>
  <si>
    <t>OS nº 983/2025 Qtde. DT</t>
  </si>
  <si>
    <t>YNOV DISTRIBUICAO DE PRODUTOS LTDA ME, CNPJ 38.903.127/0001-93</t>
  </si>
  <si>
    <t>AF nº 1289/2025 Qtde. DT</t>
  </si>
  <si>
    <r>
      <rPr>
        <strike/>
        <sz val="11"/>
        <color rgb="FFFF0000"/>
        <rFont val="Calibri"/>
        <family val="2"/>
      </rPr>
      <t>339039.63</t>
    </r>
    <r>
      <rPr>
        <sz val="11"/>
        <color theme="1"/>
        <rFont val="Calibri"/>
        <family val="2"/>
      </rPr>
      <t xml:space="preserve"> </t>
    </r>
    <r>
      <rPr>
        <sz val="11"/>
        <color rgb="FF0000FF"/>
        <rFont val="Calibri"/>
        <family val="2"/>
      </rPr>
      <t>339030.16</t>
    </r>
  </si>
  <si>
    <t>AF nº   1303/2025 Qtde. DT</t>
  </si>
  <si>
    <t>AF nº   XXXX/2025 Qtde. DT</t>
  </si>
  <si>
    <r>
      <rPr>
        <strike/>
        <sz val="11"/>
        <color rgb="FFFF0000"/>
        <rFont val="Calibri"/>
        <family val="2"/>
      </rPr>
      <t>339039.63</t>
    </r>
    <r>
      <rPr>
        <sz val="11"/>
        <color theme="1"/>
        <rFont val="Calibri"/>
        <family val="2"/>
      </rPr>
      <t xml:space="preserve"> </t>
    </r>
    <r>
      <rPr>
        <sz val="11"/>
        <color rgb="FF0000FF"/>
        <rFont val="Calibri"/>
        <family val="2"/>
      </rPr>
      <t>339030.44</t>
    </r>
  </si>
  <si>
    <t>4</t>
  </si>
  <si>
    <t>AF nº 1335/2025 Qtde. DT</t>
  </si>
  <si>
    <t>AF nº 1336/2025 Qtde. DT</t>
  </si>
  <si>
    <t>AF nº 1337/2025 Qtde. DT</t>
  </si>
  <si>
    <t>AF nº 1340/2025 Qtde. DT</t>
  </si>
  <si>
    <t>FAPESC</t>
  </si>
  <si>
    <t>PROCESSO: PE 630/2025 - SGPE UDESC 52651/2024</t>
  </si>
  <si>
    <t>AF nº   1396/2025 Qtde. DT</t>
  </si>
  <si>
    <t>MULTYGRAFHIC EDITORA LTDA, CNPJ 34.382.012/0001-40</t>
  </si>
  <si>
    <t>CENTRO PARTICIPANTE: REITORIA/BU</t>
  </si>
  <si>
    <t>CENTRO PARTICIPANTE: REITORIA/MUSEU</t>
  </si>
  <si>
    <t>CENTRO PARTICIPANTE: REITORIA/COVEST</t>
  </si>
  <si>
    <t>CENTRO PARTICIPANTE: REITORIA/SECOM</t>
  </si>
  <si>
    <t>CENTRO PARTICIPANTE: REITORIA/SCII</t>
  </si>
  <si>
    <t>CENTRO PARTICIPANTE: CERES</t>
  </si>
  <si>
    <t>CENTRO PARTICIPANTE: CESMO</t>
  </si>
  <si>
    <t>CENTRO PARTICIPANTE: CEAD</t>
  </si>
  <si>
    <t>CENTRO PARTICIPANTE: CEO</t>
  </si>
  <si>
    <t>CENTRO PARTICIPANTE: CEPLAN</t>
  </si>
  <si>
    <t>CENTRO PARTICIPANTE: FAED</t>
  </si>
  <si>
    <t>CENTRO PARTICIPANTE: ESAG</t>
  </si>
  <si>
    <t>CENTRO PARTICIPANTE: CCT</t>
  </si>
  <si>
    <t>CENTRO PARTICIPANTE: CEAVI</t>
  </si>
  <si>
    <t>CENTRO PARTICIPANTE: CEFID</t>
  </si>
  <si>
    <t>CENTRO PARTICIPANTE: CESFI</t>
  </si>
  <si>
    <t>CENTRO PARTICIPANTE: CAV</t>
  </si>
  <si>
    <t>CENTRO PARTICIPANTE: CEART</t>
  </si>
  <si>
    <t>CONTROLE DO GESTOR</t>
  </si>
  <si>
    <t>AF nº XXXX/2025 Qtde. DT</t>
  </si>
  <si>
    <t>AF nº 1446/2025 Qtde. DT</t>
  </si>
  <si>
    <r>
      <rPr>
        <b/>
        <sz val="11"/>
        <color theme="1"/>
        <rFont val="Calibri"/>
        <family val="2"/>
        <scheme val="minor"/>
      </rPr>
      <t>FLYER FRENTE E VERSO; FORMATO A5</t>
    </r>
    <r>
      <rPr>
        <sz val="11"/>
        <color theme="1"/>
        <rFont val="Calibri"/>
        <family val="2"/>
        <scheme val="minor"/>
      </rPr>
      <t xml:space="preserve"> = 15 (largura) X 21 (altura) cm; Papel Couchê Brilho, com gramatura 115 G; COR DE IMPRESSÃO 4 CORES (Colorido) - impressão frente e verso</t>
    </r>
  </si>
  <si>
    <t>AF nº 1471/2025 Qtde. DT</t>
  </si>
  <si>
    <t>AF nº 1473/2025 Qtde. DT</t>
  </si>
  <si>
    <t>AF nº 1632/2025 Qtde. DT</t>
  </si>
  <si>
    <t>SAS</t>
  </si>
  <si>
    <t>VIXCARD COMÉRCIO, SERVIÇOS E IMPORTAÇÃO DE ARTIGOS PARA IDENTIFICAÇAO LTDA, CNPJ 02.583.967/0001-79</t>
  </si>
  <si>
    <t>SGPe FAPESC 2718/2025 (ofício 40/2025)</t>
  </si>
  <si>
    <t>SGPe SAS 3467/2025 (ofício 45/2025)</t>
  </si>
  <si>
    <t>SGPe (ÓRGÃO) XXX/2025 (ofício xx/202x)</t>
  </si>
  <si>
    <t>SGPe SAS 3490/2025 (ofício xx/202x)</t>
  </si>
  <si>
    <t>AF nº   1706/2025 Qtde. DT</t>
  </si>
  <si>
    <t>AF nº 1708/2025 Qtde. DT</t>
  </si>
  <si>
    <t>AF nº   1710/2025 Qtde. DT</t>
  </si>
  <si>
    <t>AF nº   1758/2025 Qtde. DT</t>
  </si>
  <si>
    <t>AF nº 1860/2025 Qtde. DT</t>
  </si>
  <si>
    <t>AF nº 1956/2025 Qtde. DT</t>
  </si>
  <si>
    <t>AF nº 2008/2025 Qtde. DT</t>
  </si>
  <si>
    <t>AF nº 2131/2025 Qtde. DT</t>
  </si>
  <si>
    <t>AF nº   2141/2025 Qtde. DT</t>
  </si>
  <si>
    <t>AF nº   2438/2025 Qtde. DT</t>
  </si>
  <si>
    <t>OS nº   1887/2025 VIXCARD</t>
  </si>
  <si>
    <t>OS nº   1896/2025   YNOV</t>
  </si>
  <si>
    <t>OS nº   1056/2025</t>
  </si>
  <si>
    <t>OS nº   1250/2025</t>
  </si>
  <si>
    <t>OS nº   1404/2025</t>
  </si>
  <si>
    <t>OS nº   1484/2025</t>
  </si>
  <si>
    <t>OS nº   1510/2025</t>
  </si>
  <si>
    <t>OS nº   1526/2025</t>
  </si>
  <si>
    <t>OS nº   1592/2025</t>
  </si>
  <si>
    <t>OS nº   2208/2025</t>
  </si>
  <si>
    <t>OS nº   2396/2025</t>
  </si>
  <si>
    <t>OS nº   1690/2025 Qtde. DT</t>
  </si>
  <si>
    <t>OS nº   1691/2025 Qtde. DT</t>
  </si>
  <si>
    <t>AF/OS nº   1322/2025 Qtde. DT</t>
  </si>
  <si>
    <t>AF/OS nº   1950/2025 Qtde. DT</t>
  </si>
  <si>
    <t>OS nº   1064/2025 Qtde. DT</t>
  </si>
  <si>
    <t>OS nº   1166/2025 Qtde. DT</t>
  </si>
  <si>
    <t>OS nº   1174/2025 Qtde. DT</t>
  </si>
  <si>
    <t>OS nº   1596/2025 Qtde. DT</t>
  </si>
  <si>
    <t>OS nº   1648/2025 Qtde. DT</t>
  </si>
  <si>
    <t>OS nº   1713/2025 Qtde. DT</t>
  </si>
  <si>
    <t>OS nº   1833/2025 Qtde. DT</t>
  </si>
  <si>
    <t>OS nº   1986/2025 Qtde. DT</t>
  </si>
  <si>
    <t>OS nº   1988/2025 Qtde. DT</t>
  </si>
  <si>
    <t>OS nº   2275/2025 Qtde. DT</t>
  </si>
  <si>
    <t>OS nº   2342/2025 Qtde. DT</t>
  </si>
  <si>
    <t>OS nº   2398/2025 Qtde. DT</t>
  </si>
  <si>
    <t>OS nº   967/2025 Qtde. DT</t>
  </si>
  <si>
    <t>OS nº   2061/2025 Qtde. DT</t>
  </si>
  <si>
    <t>OS nº   2095/2025 Qtde. DT</t>
  </si>
  <si>
    <t>OS nº  1052/2025 Qtde. DT</t>
  </si>
  <si>
    <t>OS nº   1403/2025 Qtde. DT</t>
  </si>
  <si>
    <t>OS nº   1496/2025 Qtde. DT</t>
  </si>
  <si>
    <t>OS nº   1497/2025 Qtde. DT</t>
  </si>
  <si>
    <t>OS nº   1530/2024 Qtde. DT</t>
  </si>
  <si>
    <t>OS nº   1912/2025 Qtde. DT</t>
  </si>
  <si>
    <t>OS nº   2104/2024 Qtde. DT</t>
  </si>
  <si>
    <t>OS nº   2347/2025 Qtde. DT</t>
  </si>
  <si>
    <t>OS nº   1503/2024 Qtde. DT</t>
  </si>
  <si>
    <t>OS nº   1354/2025 Qtde. DT</t>
  </si>
  <si>
    <t>OS nº   1373/2025 Qtde. DT</t>
  </si>
  <si>
    <t>OS nº   1505/2025 Qtde. DT</t>
  </si>
  <si>
    <t>OS nº   1584/2025 Qtde. DT</t>
  </si>
  <si>
    <t>OS nº   1611/2024 Qtde. DT</t>
  </si>
  <si>
    <t>OS nº   1787/2024 Qtde. DT</t>
  </si>
  <si>
    <t>OS nº   1905/2025 DEX</t>
  </si>
  <si>
    <t>OS nº   1907/2025 DEX+ Aleks.</t>
  </si>
  <si>
    <t>OS nº   1958/2025 MARCIA DEAQ</t>
  </si>
  <si>
    <t>OS nº   2261/2025 Qtde. DT</t>
  </si>
  <si>
    <t>OS nº   2267/2025 Qtde. DT</t>
  </si>
  <si>
    <t>Renata</t>
  </si>
  <si>
    <t>/ Renata enf</t>
  </si>
  <si>
    <t xml:space="preserve">ALINE-DEG </t>
  </si>
  <si>
    <t>DENF-SANDRA</t>
  </si>
  <si>
    <t>ALINE-DEG</t>
  </si>
  <si>
    <t>william DENF</t>
  </si>
  <si>
    <t>MARLENE-14842</t>
  </si>
  <si>
    <t>KICI -PAEX</t>
  </si>
  <si>
    <t>CLARISSA - PAEX</t>
  </si>
  <si>
    <t>OS nº   1114/2025 Qtde. DT</t>
  </si>
  <si>
    <t>OS nº   1560/2025 Qtde. DT</t>
  </si>
  <si>
    <t>OS nº   1633/2025 Qtde. DT</t>
  </si>
  <si>
    <t>OS nº   1879/2025 Qtde. DT</t>
  </si>
  <si>
    <t>OS nº   1987/2025 Qtde. DT</t>
  </si>
  <si>
    <t>OS nº   1072/2025 Qtde. DT</t>
  </si>
  <si>
    <t>OS nº   1168/2025 Qtde. DT</t>
  </si>
  <si>
    <t>OS nº   1228/2025 FONTANA E JOAQUIM</t>
  </si>
  <si>
    <t>OS nº   1226/2025 ARAÇÁ / SGPe 24043/2025</t>
  </si>
  <si>
    <t xml:space="preserve"> AF 1846/2025 SGPe 38965/2025 YNOV</t>
  </si>
  <si>
    <t>OS nº   2021/2025 SGPe 24043/2025</t>
  </si>
  <si>
    <t>OS nº   2114/2025 MULTYGRAFHIC SGPE 32114/2025</t>
  </si>
  <si>
    <t>OS nº  2352 /2025 FONTANA E JOAQUIM</t>
  </si>
  <si>
    <t>OS nº  2399/2025 GALERIA 23 sgpe 44144/2025</t>
  </si>
  <si>
    <t>OS nº   2420/2025 MULTIGRAPHIC SGPE 32117/2025</t>
  </si>
  <si>
    <t xml:space="preserve">AF nº   2505/2025 YNOV 38965/2025 </t>
  </si>
  <si>
    <t xml:space="preserve">OS nº   2590/2025 MULTYGRAFIC - </t>
  </si>
  <si>
    <t>OS nº   2558/2025 YNOV DISTRIBUIÇÃO</t>
  </si>
  <si>
    <t>03/10/2025    ARAÇA</t>
  </si>
  <si>
    <t>Resumo Atualizado em 18/11/2025</t>
  </si>
  <si>
    <r>
      <rPr>
        <u/>
        <sz val="11"/>
        <color rgb="FFC00000"/>
        <rFont val="Calibri"/>
        <family val="2"/>
        <scheme val="minor"/>
      </rPr>
      <t>USO EXCLUSIVO DO GESTOR</t>
    </r>
    <r>
      <rPr>
        <sz val="11"/>
        <rFont val="Calibri"/>
        <family val="2"/>
        <scheme val="minor"/>
      </rPr>
      <t xml:space="preserve">  - '</t>
    </r>
    <r>
      <rPr>
        <b/>
        <sz val="11"/>
        <rFont val="Calibri"/>
        <family val="2"/>
        <scheme val="minor"/>
      </rPr>
      <t>REGISTRO DE CARONA PARA OUTROS ÓRGÃOS:</t>
    </r>
    <r>
      <rPr>
        <sz val="11"/>
        <rFont val="Calibri"/>
        <family val="2"/>
        <scheme val="minor"/>
      </rPr>
      <t xml:space="preserve">  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C0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</t>
    </r>
    <r>
      <rPr>
        <u/>
        <sz val="11"/>
        <color rgb="FFC00000"/>
        <rFont val="Calibri"/>
        <family val="2"/>
        <scheme val="minor"/>
      </rPr>
      <t xml:space="preserve"> INDISPONÍVEIS PARA CARONA</t>
    </r>
    <r>
      <rPr>
        <sz val="11"/>
        <rFont val="Calibri"/>
        <family val="2"/>
        <scheme val="minor"/>
      </rPr>
      <t>!)</t>
    </r>
  </si>
  <si>
    <t>Valor cedido para carona</t>
  </si>
  <si>
    <t>% cedido para carona</t>
  </si>
  <si>
    <t>Resumo Atualizado em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</si>
</sst>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u/>
      <sz val="11"/>
      <name val="Calibri"/>
      <family val="2"/>
      <scheme val="minor"/>
    </font>
    <font>
      <strike/>
      <sz val="11"/>
      <color rgb="FFFF0000"/>
      <name val="Calibr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9"/>
      <color rgb="FF000000"/>
      <name val="Arial"/>
      <family val="2"/>
    </font>
    <font>
      <sz val="11"/>
      <color theme="0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rgb="FFFFFF0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7">
    <xf numFmtId="0" fontId="0" fillId="0" borderId="0"/>
    <xf numFmtId="0" fontId="20" fillId="0" borderId="0"/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1" fillId="0" borderId="0" applyNumberForma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9" fontId="2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9" fontId="25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ill="0" applyBorder="0" applyAlignment="0" applyProtection="0"/>
    <xf numFmtId="43" fontId="20" fillId="0" borderId="0" applyFill="0" applyBorder="0" applyAlignment="0" applyProtection="0"/>
  </cellStyleXfs>
  <cellXfs count="397">
    <xf numFmtId="0" fontId="0" fillId="0" borderId="0" xfId="0"/>
    <xf numFmtId="0" fontId="24" fillId="7" borderId="8" xfId="1" applyFont="1" applyFill="1" applyBorder="1" applyAlignment="1" applyProtection="1">
      <alignment horizontal="left" wrapText="1"/>
      <protection locked="0"/>
    </xf>
    <xf numFmtId="0" fontId="24" fillId="7" borderId="15" xfId="1" applyFont="1" applyFill="1" applyBorder="1" applyAlignment="1" applyProtection="1">
      <alignment horizontal="left" wrapText="1"/>
      <protection locked="0"/>
    </xf>
    <xf numFmtId="168" fontId="24" fillId="7" borderId="2" xfId="1" applyNumberFormat="1" applyFont="1" applyFill="1" applyBorder="1" applyAlignment="1" applyProtection="1">
      <alignment horizontal="right" wrapText="1"/>
      <protection locked="0"/>
    </xf>
    <xf numFmtId="0" fontId="24" fillId="7" borderId="10" xfId="1" applyFont="1" applyFill="1" applyBorder="1" applyAlignment="1" applyProtection="1">
      <alignment horizontal="left" wrapText="1"/>
      <protection locked="0"/>
    </xf>
    <xf numFmtId="0" fontId="24" fillId="7" borderId="0" xfId="1" applyFont="1" applyFill="1" applyBorder="1" applyAlignment="1" applyProtection="1">
      <alignment horizontal="left" wrapText="1"/>
      <protection locked="0"/>
    </xf>
    <xf numFmtId="168" fontId="24" fillId="7" borderId="7" xfId="1" applyNumberFormat="1" applyFont="1" applyFill="1" applyBorder="1" applyAlignment="1" applyProtection="1">
      <alignment horizontal="right" wrapText="1"/>
      <protection locked="0"/>
    </xf>
    <xf numFmtId="9" fontId="24" fillId="7" borderId="7" xfId="17" applyFont="1" applyFill="1" applyBorder="1" applyAlignment="1">
      <alignment horizontal="right" wrapText="1"/>
    </xf>
    <xf numFmtId="0" fontId="24" fillId="7" borderId="12" xfId="1" applyFont="1" applyFill="1" applyBorder="1" applyAlignment="1" applyProtection="1">
      <alignment horizontal="left" wrapText="1"/>
      <protection locked="0"/>
    </xf>
    <xf numFmtId="0" fontId="24" fillId="7" borderId="14" xfId="1" applyFont="1" applyFill="1" applyBorder="1" applyAlignment="1" applyProtection="1">
      <alignment horizontal="left" wrapText="1"/>
      <protection locked="0"/>
    </xf>
    <xf numFmtId="169" fontId="24" fillId="7" borderId="15" xfId="27" applyNumberFormat="1" applyFont="1" applyFill="1" applyBorder="1" applyAlignment="1" applyProtection="1">
      <alignment wrapText="1"/>
      <protection locked="0"/>
    </xf>
    <xf numFmtId="169" fontId="24" fillId="7" borderId="0" xfId="27" applyNumberFormat="1" applyFont="1" applyFill="1" applyBorder="1" applyAlignment="1" applyProtection="1">
      <alignment wrapText="1"/>
      <protection locked="0"/>
    </xf>
    <xf numFmtId="169" fontId="24" fillId="7" borderId="14" xfId="27" applyNumberFormat="1" applyFont="1" applyFill="1" applyBorder="1" applyAlignment="1" applyProtection="1">
      <alignment wrapText="1"/>
      <protection locked="0"/>
    </xf>
    <xf numFmtId="0" fontId="24" fillId="7" borderId="6" xfId="1" applyFont="1" applyFill="1" applyBorder="1" applyAlignment="1" applyProtection="1">
      <alignment wrapText="1"/>
      <protection locked="0"/>
    </xf>
    <xf numFmtId="0" fontId="27" fillId="7" borderId="8" xfId="1" applyFont="1" applyFill="1" applyBorder="1" applyAlignment="1">
      <alignment vertical="center" wrapText="1"/>
    </xf>
    <xf numFmtId="0" fontId="27" fillId="7" borderId="10" xfId="1" applyFont="1" applyFill="1" applyBorder="1" applyAlignment="1">
      <alignment vertical="center" wrapText="1"/>
    </xf>
    <xf numFmtId="0" fontId="27" fillId="7" borderId="12" xfId="1" applyFont="1" applyFill="1" applyBorder="1" applyAlignment="1">
      <alignment vertical="center" wrapText="1"/>
    </xf>
    <xf numFmtId="0" fontId="28" fillId="0" borderId="0" xfId="1" applyFont="1" applyAlignment="1">
      <alignment wrapText="1"/>
    </xf>
    <xf numFmtId="0" fontId="30" fillId="10" borderId="1" xfId="0" applyFont="1" applyFill="1" applyBorder="1" applyAlignment="1" applyProtection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44" fontId="30" fillId="10" borderId="1" xfId="13" applyFont="1" applyFill="1" applyBorder="1" applyAlignment="1" applyProtection="1">
      <alignment horizontal="center" vertical="center" wrapText="1"/>
    </xf>
    <xf numFmtId="0" fontId="2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Alignment="1">
      <alignment vertical="center" wrapText="1"/>
    </xf>
    <xf numFmtId="3" fontId="31" fillId="8" borderId="1" xfId="0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>
      <alignment horizontal="center" vertical="center" wrapText="1"/>
    </xf>
    <xf numFmtId="4" fontId="28" fillId="0" borderId="0" xfId="1" applyNumberFormat="1" applyFont="1" applyFill="1" applyAlignment="1">
      <alignment horizontal="center" vertical="center" wrapText="1"/>
    </xf>
    <xf numFmtId="44" fontId="28" fillId="0" borderId="0" xfId="13" applyFont="1" applyFill="1" applyAlignment="1">
      <alignment horizontal="center" vertical="center" wrapText="1"/>
    </xf>
    <xf numFmtId="1" fontId="28" fillId="0" borderId="0" xfId="1" applyNumberFormat="1" applyFont="1" applyFill="1" applyAlignment="1" applyProtection="1">
      <alignment horizontal="center" wrapText="1"/>
      <protection locked="0"/>
    </xf>
    <xf numFmtId="166" fontId="28" fillId="0" borderId="0" xfId="0" applyNumberFormat="1" applyFont="1" applyFill="1" applyAlignment="1">
      <alignment horizontal="center" vertical="center" wrapText="1"/>
    </xf>
    <xf numFmtId="3" fontId="28" fillId="0" borderId="0" xfId="1" applyNumberFormat="1" applyFont="1" applyAlignment="1" applyProtection="1">
      <alignment wrapText="1"/>
      <protection locked="0"/>
    </xf>
    <xf numFmtId="0" fontId="28" fillId="0" borderId="0" xfId="1" applyFont="1" applyAlignment="1" applyProtection="1">
      <alignment wrapText="1"/>
      <protection locked="0"/>
    </xf>
    <xf numFmtId="0" fontId="29" fillId="10" borderId="1" xfId="0" applyFont="1" applyFill="1" applyBorder="1" applyAlignment="1" applyProtection="1">
      <alignment horizontal="center" vertical="center" wrapText="1"/>
    </xf>
    <xf numFmtId="166" fontId="28" fillId="7" borderId="1" xfId="0" applyNumberFormat="1" applyFont="1" applyFill="1" applyBorder="1" applyAlignment="1">
      <alignment horizontal="center" vertical="center" wrapText="1"/>
    </xf>
    <xf numFmtId="170" fontId="28" fillId="12" borderId="1" xfId="1" applyNumberFormat="1" applyFont="1" applyFill="1" applyBorder="1" applyAlignment="1">
      <alignment wrapText="1"/>
    </xf>
    <xf numFmtId="170" fontId="28" fillId="0" borderId="0" xfId="1" applyNumberFormat="1" applyFont="1" applyAlignment="1">
      <alignment wrapText="1"/>
    </xf>
    <xf numFmtId="0" fontId="28" fillId="0" borderId="0" xfId="1" applyFont="1" applyAlignment="1">
      <alignment horizontal="center" wrapText="1"/>
    </xf>
    <xf numFmtId="3" fontId="35" fillId="15" borderId="1" xfId="0" applyNumberFormat="1" applyFont="1" applyFill="1" applyBorder="1" applyAlignment="1">
      <alignment horizontal="center" vertical="center" wrapText="1"/>
    </xf>
    <xf numFmtId="3" fontId="35" fillId="16" borderId="1" xfId="0" applyNumberFormat="1" applyFont="1" applyFill="1" applyBorder="1" applyAlignment="1">
      <alignment horizontal="center" vertical="center" wrapText="1"/>
    </xf>
    <xf numFmtId="3" fontId="35" fillId="6" borderId="1" xfId="0" applyNumberFormat="1" applyFont="1" applyFill="1" applyBorder="1" applyAlignment="1">
      <alignment horizontal="center" vertical="center" wrapText="1"/>
    </xf>
    <xf numFmtId="166" fontId="35" fillId="4" borderId="1" xfId="0" applyNumberFormat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166" fontId="28" fillId="10" borderId="1" xfId="1" applyNumberFormat="1" applyFont="1" applyFill="1" applyBorder="1" applyAlignment="1">
      <alignment horizontal="center" vertical="center" wrapText="1"/>
    </xf>
    <xf numFmtId="0" fontId="28" fillId="10" borderId="1" xfId="1" applyFont="1" applyFill="1" applyBorder="1" applyAlignment="1" applyProtection="1">
      <alignment horizontal="center" vertical="center" wrapText="1"/>
      <protection locked="0"/>
    </xf>
    <xf numFmtId="0" fontId="32" fillId="14" borderId="1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166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 applyProtection="1">
      <alignment horizontal="center" vertical="center" wrapText="1"/>
      <protection locked="0"/>
    </xf>
    <xf numFmtId="168" fontId="24" fillId="2" borderId="1" xfId="3" applyNumberFormat="1" applyFont="1" applyFill="1" applyBorder="1" applyAlignment="1" applyProtection="1">
      <alignment horizontal="center" vertical="center" wrapText="1"/>
    </xf>
    <xf numFmtId="3" fontId="31" fillId="15" borderId="1" xfId="0" applyNumberFormat="1" applyFont="1" applyFill="1" applyBorder="1" applyAlignment="1" applyProtection="1">
      <alignment horizontal="center" vertical="center"/>
    </xf>
    <xf numFmtId="3" fontId="31" fillId="17" borderId="1" xfId="0" applyNumberFormat="1" applyFont="1" applyFill="1" applyBorder="1" applyAlignment="1" applyProtection="1">
      <alignment horizontal="center" vertical="center"/>
    </xf>
    <xf numFmtId="166" fontId="24" fillId="16" borderId="1" xfId="0" applyNumberFormat="1" applyFont="1" applyFill="1" applyBorder="1" applyAlignment="1">
      <alignment horizontal="center" vertical="center" wrapText="1"/>
    </xf>
    <xf numFmtId="49" fontId="36" fillId="9" borderId="1" xfId="0" applyNumberFormat="1" applyFont="1" applyFill="1" applyBorder="1" applyAlignment="1">
      <alignment horizontal="center" vertical="center"/>
    </xf>
    <xf numFmtId="49" fontId="36" fillId="18" borderId="1" xfId="0" applyNumberFormat="1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/>
    </xf>
    <xf numFmtId="0" fontId="37" fillId="18" borderId="1" xfId="0" applyFont="1" applyFill="1" applyBorder="1" applyAlignment="1">
      <alignment horizontal="center"/>
    </xf>
    <xf numFmtId="0" fontId="37" fillId="18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49" fontId="38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4" fontId="38" fillId="9" borderId="1" xfId="13" applyFont="1" applyFill="1" applyBorder="1" applyAlignment="1" applyProtection="1">
      <alignment horizontal="center" vertical="center" wrapText="1"/>
      <protection locked="0"/>
    </xf>
    <xf numFmtId="49" fontId="38" fillId="18" borderId="1" xfId="0" applyNumberFormat="1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left" vertical="center" wrapText="1"/>
    </xf>
    <xf numFmtId="49" fontId="35" fillId="11" borderId="1" xfId="0" applyNumberFormat="1" applyFont="1" applyFill="1" applyBorder="1" applyAlignment="1">
      <alignment horizontal="center" vertical="center" wrapText="1"/>
    </xf>
    <xf numFmtId="44" fontId="38" fillId="18" borderId="1" xfId="13" applyFont="1" applyFill="1" applyBorder="1" applyAlignment="1" applyProtection="1">
      <alignment horizontal="center" vertical="center" wrapText="1"/>
      <protection locked="0"/>
    </xf>
    <xf numFmtId="49" fontId="35" fillId="9" borderId="1" xfId="0" applyNumberFormat="1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top" wrapText="1"/>
    </xf>
    <xf numFmtId="49" fontId="35" fillId="9" borderId="1" xfId="0" applyNumberFormat="1" applyFont="1" applyFill="1" applyBorder="1" applyAlignment="1" applyProtection="1">
      <alignment horizontal="center" vertical="center"/>
      <protection locked="0"/>
    </xf>
    <xf numFmtId="49" fontId="38" fillId="9" borderId="1" xfId="0" applyNumberFormat="1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left" vertical="top" wrapText="1"/>
    </xf>
    <xf numFmtId="49" fontId="35" fillId="11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9" borderId="1" xfId="1" applyFont="1" applyFill="1" applyBorder="1" applyAlignment="1">
      <alignment horizontal="left" vertical="center" wrapText="1"/>
    </xf>
    <xf numFmtId="49" fontId="38" fillId="18" borderId="1" xfId="0" applyNumberFormat="1" applyFont="1" applyFill="1" applyBorder="1" applyAlignment="1">
      <alignment horizontal="center" vertical="center"/>
    </xf>
    <xf numFmtId="0" fontId="19" fillId="9" borderId="1" xfId="0" applyFont="1" applyFill="1" applyBorder="1"/>
    <xf numFmtId="0" fontId="19" fillId="9" borderId="1" xfId="0" applyFont="1" applyFill="1" applyBorder="1" applyAlignment="1">
      <alignment horizontal="center"/>
    </xf>
    <xf numFmtId="0" fontId="19" fillId="18" borderId="1" xfId="0" applyFont="1" applyFill="1" applyBorder="1"/>
    <xf numFmtId="0" fontId="19" fillId="18" borderId="1" xfId="0" applyFont="1" applyFill="1" applyBorder="1" applyAlignment="1">
      <alignment horizontal="center"/>
    </xf>
    <xf numFmtId="0" fontId="39" fillId="18" borderId="1" xfId="0" applyFont="1" applyFill="1" applyBorder="1" applyAlignment="1">
      <alignment horizontal="center" vertical="center"/>
    </xf>
    <xf numFmtId="0" fontId="3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35" fillId="0" borderId="0" xfId="1" applyFont="1" applyFill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3" fontId="19" fillId="8" borderId="1" xfId="0" applyNumberFormat="1" applyFont="1" applyFill="1" applyBorder="1" applyAlignment="1" applyProtection="1">
      <alignment horizontal="center" vertical="center"/>
    </xf>
    <xf numFmtId="3" fontId="3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1" applyFont="1" applyFill="1" applyBorder="1" applyAlignment="1" applyProtection="1">
      <alignment wrapText="1"/>
      <protection locked="0"/>
    </xf>
    <xf numFmtId="0" fontId="35" fillId="0" borderId="1" xfId="1" applyFont="1" applyFill="1" applyBorder="1" applyAlignment="1">
      <alignment wrapText="1"/>
    </xf>
    <xf numFmtId="0" fontId="35" fillId="0" borderId="1" xfId="1" applyFont="1" applyFill="1" applyBorder="1" applyAlignment="1">
      <alignment horizontal="center" wrapText="1"/>
    </xf>
    <xf numFmtId="0" fontId="35" fillId="9" borderId="1" xfId="1" applyFont="1" applyFill="1" applyBorder="1" applyAlignment="1">
      <alignment wrapText="1"/>
    </xf>
    <xf numFmtId="0" fontId="35" fillId="0" borderId="1" xfId="1" applyFont="1" applyFill="1" applyBorder="1" applyAlignment="1" applyProtection="1">
      <alignment horizontal="center" wrapText="1"/>
      <protection locked="0"/>
    </xf>
    <xf numFmtId="0" fontId="35" fillId="0" borderId="1" xfId="1" applyFont="1" applyFill="1" applyBorder="1" applyAlignment="1" applyProtection="1">
      <alignment horizontal="center" vertical="center" wrapText="1"/>
      <protection locked="0"/>
    </xf>
    <xf numFmtId="0" fontId="35" fillId="9" borderId="1" xfId="1" applyFont="1" applyFill="1" applyBorder="1" applyAlignment="1">
      <alignment horizontal="center" wrapText="1"/>
    </xf>
    <xf numFmtId="170" fontId="35" fillId="0" borderId="1" xfId="1" applyNumberFormat="1" applyFont="1" applyFill="1" applyBorder="1" applyAlignment="1">
      <alignment wrapText="1"/>
    </xf>
    <xf numFmtId="0" fontId="35" fillId="0" borderId="1" xfId="1" applyFont="1" applyFill="1" applyBorder="1" applyAlignment="1">
      <alignment horizontal="center" vertical="center" wrapText="1"/>
    </xf>
    <xf numFmtId="170" fontId="35" fillId="9" borderId="1" xfId="1" applyNumberFormat="1" applyFont="1" applyFill="1" applyBorder="1" applyAlignment="1">
      <alignment wrapText="1"/>
    </xf>
    <xf numFmtId="0" fontId="35" fillId="0" borderId="1" xfId="1" applyNumberFormat="1" applyFont="1" applyFill="1" applyBorder="1" applyAlignment="1">
      <alignment horizontal="center" wrapText="1"/>
    </xf>
    <xf numFmtId="0" fontId="35" fillId="8" borderId="4" xfId="1" applyFont="1" applyFill="1" applyBorder="1" applyAlignment="1">
      <alignment horizontal="center" vertical="center" wrapText="1"/>
    </xf>
    <xf numFmtId="168" fontId="35" fillId="12" borderId="1" xfId="3" applyNumberFormat="1" applyFont="1" applyFill="1" applyBorder="1" applyAlignment="1" applyProtection="1">
      <alignment horizontal="center" vertical="center" wrapText="1"/>
    </xf>
    <xf numFmtId="3" fontId="35" fillId="8" borderId="4" xfId="0" applyNumberFormat="1" applyFont="1" applyFill="1" applyBorder="1" applyAlignment="1">
      <alignment horizontal="center" vertical="center" wrapText="1"/>
    </xf>
    <xf numFmtId="166" fontId="35" fillId="20" borderId="22" xfId="0" applyNumberFormat="1" applyFont="1" applyFill="1" applyBorder="1" applyAlignment="1">
      <alignment horizontal="center" vertical="center" wrapText="1"/>
    </xf>
    <xf numFmtId="166" fontId="35" fillId="20" borderId="4" xfId="0" applyNumberFormat="1" applyFont="1" applyFill="1" applyBorder="1" applyAlignment="1">
      <alignment horizontal="center" vertical="center" wrapText="1"/>
    </xf>
    <xf numFmtId="166" fontId="35" fillId="21" borderId="1" xfId="0" applyNumberFormat="1" applyFont="1" applyFill="1" applyBorder="1" applyAlignment="1">
      <alignment horizontal="center" vertical="center" wrapText="1"/>
    </xf>
    <xf numFmtId="166" fontId="35" fillId="21" borderId="4" xfId="0" applyNumberFormat="1" applyFont="1" applyFill="1" applyBorder="1" applyAlignment="1">
      <alignment horizontal="center" vertical="center" wrapText="1"/>
    </xf>
    <xf numFmtId="166" fontId="35" fillId="22" borderId="1" xfId="0" applyNumberFormat="1" applyFont="1" applyFill="1" applyBorder="1" applyAlignment="1">
      <alignment horizontal="center" vertical="center" wrapText="1"/>
    </xf>
    <xf numFmtId="166" fontId="35" fillId="22" borderId="4" xfId="0" applyNumberFormat="1" applyFont="1" applyFill="1" applyBorder="1" applyAlignment="1">
      <alignment horizontal="center" vertical="center" wrapText="1"/>
    </xf>
    <xf numFmtId="166" fontId="35" fillId="23" borderId="1" xfId="0" applyNumberFormat="1" applyFont="1" applyFill="1" applyBorder="1" applyAlignment="1">
      <alignment horizontal="center" vertical="center" wrapText="1"/>
    </xf>
    <xf numFmtId="166" fontId="35" fillId="23" borderId="4" xfId="0" applyNumberFormat="1" applyFont="1" applyFill="1" applyBorder="1" applyAlignment="1">
      <alignment horizontal="center" vertical="center" wrapText="1"/>
    </xf>
    <xf numFmtId="166" fontId="35" fillId="23" borderId="23" xfId="0" applyNumberFormat="1" applyFont="1" applyFill="1" applyBorder="1" applyAlignment="1">
      <alignment horizontal="center" vertical="center" wrapText="1"/>
    </xf>
    <xf numFmtId="166" fontId="35" fillId="24" borderId="6" xfId="0" applyNumberFormat="1" applyFont="1" applyFill="1" applyBorder="1" applyAlignment="1">
      <alignment horizontal="center" vertical="center" wrapText="1"/>
    </xf>
    <xf numFmtId="166" fontId="35" fillId="24" borderId="1" xfId="0" applyNumberFormat="1" applyFont="1" applyFill="1" applyBorder="1" applyAlignment="1">
      <alignment horizontal="center" vertical="center" wrapText="1"/>
    </xf>
    <xf numFmtId="3" fontId="35" fillId="25" borderId="4" xfId="1" applyNumberFormat="1" applyFont="1" applyFill="1" applyBorder="1" applyAlignment="1" applyProtection="1">
      <alignment horizontal="center" vertical="center" wrapText="1"/>
      <protection locked="0"/>
    </xf>
    <xf numFmtId="44" fontId="35" fillId="12" borderId="1" xfId="1" applyNumberFormat="1" applyFont="1" applyFill="1" applyBorder="1" applyAlignment="1">
      <alignment horizontal="center" vertical="center" wrapText="1"/>
    </xf>
    <xf numFmtId="166" fontId="35" fillId="24" borderId="5" xfId="0" applyNumberFormat="1" applyFont="1" applyFill="1" applyBorder="1" applyAlignment="1">
      <alignment horizontal="center" vertical="center" wrapText="1"/>
    </xf>
    <xf numFmtId="3" fontId="35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5" fillId="5" borderId="3" xfId="1" applyNumberFormat="1" applyFont="1" applyFill="1" applyBorder="1" applyAlignment="1" applyProtection="1">
      <alignment horizontal="center" vertical="center" wrapText="1"/>
      <protection locked="0"/>
    </xf>
    <xf numFmtId="14" fontId="35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9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28" fillId="0" borderId="0" xfId="13" applyFont="1" applyAlignment="1" applyProtection="1">
      <alignment wrapText="1"/>
      <protection locked="0"/>
    </xf>
    <xf numFmtId="0" fontId="35" fillId="9" borderId="1" xfId="1" applyFont="1" applyFill="1" applyBorder="1" applyAlignment="1" applyProtection="1">
      <alignment horizontal="center" vertical="center" wrapText="1"/>
      <protection locked="0"/>
    </xf>
    <xf numFmtId="0" fontId="35" fillId="9" borderId="1" xfId="1" applyFont="1" applyFill="1" applyBorder="1" applyAlignment="1" applyProtection="1">
      <alignment horizontal="center" wrapText="1"/>
      <protection locked="0"/>
    </xf>
    <xf numFmtId="170" fontId="35" fillId="0" borderId="1" xfId="1" applyNumberFormat="1" applyFont="1" applyFill="1" applyBorder="1" applyAlignment="1">
      <alignment horizontal="center" wrapText="1"/>
    </xf>
    <xf numFmtId="170" fontId="35" fillId="9" borderId="1" xfId="1" applyNumberFormat="1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locked="0"/>
    </xf>
    <xf numFmtId="44" fontId="28" fillId="0" borderId="0" xfId="13" applyFont="1" applyFill="1" applyAlignment="1" applyProtection="1">
      <alignment horizontal="center" wrapText="1"/>
      <protection locked="0"/>
    </xf>
    <xf numFmtId="44" fontId="28" fillId="0" borderId="0" xfId="13" applyFont="1" applyAlignment="1" applyProtection="1">
      <alignment horizontal="center" wrapText="1"/>
      <protection locked="0"/>
    </xf>
    <xf numFmtId="44" fontId="28" fillId="0" borderId="0" xfId="13" applyFont="1" applyAlignment="1">
      <alignment wrapText="1"/>
    </xf>
    <xf numFmtId="0" fontId="19" fillId="9" borderId="1" xfId="0" applyFont="1" applyFill="1" applyBorder="1" applyAlignment="1">
      <alignment horizontal="left" vertical="center" wrapText="1"/>
    </xf>
    <xf numFmtId="168" fontId="28" fillId="0" borderId="0" xfId="1" applyNumberFormat="1" applyFont="1" applyAlignment="1" applyProtection="1">
      <alignment horizontal="center" wrapText="1"/>
      <protection locked="0"/>
    </xf>
    <xf numFmtId="0" fontId="16" fillId="9" borderId="1" xfId="0" applyFont="1" applyFill="1" applyBorder="1" applyAlignment="1">
      <alignment horizontal="left" vertical="center" wrapText="1"/>
    </xf>
    <xf numFmtId="44" fontId="28" fillId="0" borderId="0" xfId="1" applyNumberFormat="1" applyFont="1" applyAlignment="1" applyProtection="1">
      <alignment horizontal="center" wrapText="1"/>
      <protection locked="0"/>
    </xf>
    <xf numFmtId="0" fontId="15" fillId="18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44" fontId="28" fillId="0" borderId="0" xfId="1" applyNumberFormat="1" applyFont="1" applyAlignment="1">
      <alignment horizontal="center" wrapText="1"/>
    </xf>
    <xf numFmtId="0" fontId="28" fillId="0" borderId="0" xfId="1" applyFont="1" applyAlignment="1">
      <alignment horizontal="center" vertical="center" wrapText="1"/>
    </xf>
    <xf numFmtId="44" fontId="28" fillId="0" borderId="0" xfId="13" applyFont="1" applyAlignment="1" applyProtection="1">
      <alignment horizontal="center" vertical="center" wrapText="1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49" fontId="14" fillId="18" borderId="1" xfId="0" applyNumberFormat="1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top" wrapText="1"/>
    </xf>
    <xf numFmtId="49" fontId="14" fillId="9" borderId="1" xfId="0" applyNumberFormat="1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9" borderId="1" xfId="1" applyFont="1" applyFill="1" applyBorder="1" applyAlignment="1">
      <alignment horizontal="left" vertical="center" wrapText="1"/>
    </xf>
    <xf numFmtId="49" fontId="14" fillId="18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35" fillId="0" borderId="0" xfId="0" applyFont="1"/>
    <xf numFmtId="0" fontId="35" fillId="8" borderId="6" xfId="0" quotePrefix="1" applyFont="1" applyFill="1" applyBorder="1" applyAlignment="1">
      <alignment vertical="center" wrapText="1"/>
    </xf>
    <xf numFmtId="0" fontId="48" fillId="10" borderId="1" xfId="0" applyFont="1" applyFill="1" applyBorder="1" applyAlignment="1" applyProtection="1">
      <alignment horizontal="center" vertical="center" wrapText="1"/>
    </xf>
    <xf numFmtId="0" fontId="32" fillId="10" borderId="1" xfId="0" applyFont="1" applyFill="1" applyBorder="1" applyAlignment="1" applyProtection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166" fontId="35" fillId="20" borderId="19" xfId="1" applyNumberFormat="1" applyFont="1" applyFill="1" applyBorder="1" applyAlignment="1">
      <alignment horizontal="center" vertical="center" wrapText="1"/>
    </xf>
    <xf numFmtId="166" fontId="35" fillId="20" borderId="20" xfId="1" applyNumberFormat="1" applyFont="1" applyFill="1" applyBorder="1" applyAlignment="1">
      <alignment horizontal="center" vertical="center" wrapText="1"/>
    </xf>
    <xf numFmtId="166" fontId="35" fillId="21" borderId="20" xfId="1" applyNumberFormat="1" applyFont="1" applyFill="1" applyBorder="1" applyAlignment="1">
      <alignment horizontal="center" vertical="center" wrapText="1"/>
    </xf>
    <xf numFmtId="166" fontId="35" fillId="22" borderId="20" xfId="1" applyNumberFormat="1" applyFont="1" applyFill="1" applyBorder="1" applyAlignment="1">
      <alignment horizontal="center" vertical="center" wrapText="1"/>
    </xf>
    <xf numFmtId="166" fontId="35" fillId="23" borderId="20" xfId="1" applyNumberFormat="1" applyFont="1" applyFill="1" applyBorder="1" applyAlignment="1">
      <alignment horizontal="center" vertical="center" wrapText="1"/>
    </xf>
    <xf numFmtId="166" fontId="35" fillId="23" borderId="20" xfId="1" quotePrefix="1" applyNumberFormat="1" applyFont="1" applyFill="1" applyBorder="1" applyAlignment="1">
      <alignment horizontal="center" vertical="center" wrapText="1"/>
    </xf>
    <xf numFmtId="166" fontId="35" fillId="23" borderId="21" xfId="1" applyNumberFormat="1" applyFont="1" applyFill="1" applyBorder="1" applyAlignment="1">
      <alignment horizontal="center" vertical="center" wrapText="1"/>
    </xf>
    <xf numFmtId="166" fontId="32" fillId="24" borderId="6" xfId="1" applyNumberFormat="1" applyFont="1" applyFill="1" applyBorder="1" applyAlignment="1">
      <alignment horizontal="center" vertical="center" wrapText="1"/>
    </xf>
    <xf numFmtId="0" fontId="32" fillId="24" borderId="1" xfId="1" applyFont="1" applyFill="1" applyBorder="1" applyAlignment="1" applyProtection="1">
      <alignment horizontal="center" vertical="center" wrapText="1"/>
      <protection locked="0"/>
    </xf>
    <xf numFmtId="44" fontId="35" fillId="0" borderId="0" xfId="13" applyFont="1"/>
    <xf numFmtId="14" fontId="3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2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>
      <alignment horizontal="left" vertical="center" wrapText="1"/>
    </xf>
    <xf numFmtId="0" fontId="12" fillId="1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44" fontId="35" fillId="0" borderId="0" xfId="0" applyNumberFormat="1" applyFont="1"/>
    <xf numFmtId="3" fontId="35" fillId="0" borderId="1" xfId="1" applyNumberFormat="1" applyFont="1" applyFill="1" applyBorder="1" applyAlignment="1" applyProtection="1">
      <alignment horizontal="center" wrapText="1"/>
      <protection locked="0"/>
    </xf>
    <xf numFmtId="3" fontId="35" fillId="9" borderId="1" xfId="1" applyNumberFormat="1" applyFont="1" applyFill="1" applyBorder="1" applyAlignment="1">
      <alignment horizontal="center" wrapText="1"/>
    </xf>
    <xf numFmtId="3" fontId="35" fillId="0" borderId="1" xfId="1" applyNumberFormat="1" applyFont="1" applyFill="1" applyBorder="1" applyAlignment="1">
      <alignment horizontal="center" wrapText="1"/>
    </xf>
    <xf numFmtId="3" fontId="35" fillId="9" borderId="1" xfId="1" applyNumberFormat="1" applyFont="1" applyFill="1" applyBorder="1" applyAlignment="1" applyProtection="1">
      <alignment horizontal="center" vertical="center" wrapText="1"/>
      <protection locked="0"/>
    </xf>
    <xf numFmtId="3" fontId="35" fillId="9" borderId="1" xfId="1" applyNumberFormat="1" applyFont="1" applyFill="1" applyBorder="1" applyAlignment="1" applyProtection="1">
      <alignment horizontal="center" wrapText="1"/>
      <protection locked="0"/>
    </xf>
    <xf numFmtId="3" fontId="35" fillId="0" borderId="1" xfId="1" applyNumberFormat="1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left" vertical="center" wrapText="1"/>
    </xf>
    <xf numFmtId="49" fontId="35" fillId="15" borderId="1" xfId="0" applyNumberFormat="1" applyFont="1" applyFill="1" applyBorder="1" applyAlignment="1" applyProtection="1">
      <alignment horizontal="center" vertical="center"/>
      <protection locked="0"/>
    </xf>
    <xf numFmtId="0" fontId="19" fillId="15" borderId="1" xfId="0" applyFont="1" applyFill="1" applyBorder="1"/>
    <xf numFmtId="0" fontId="19" fillId="15" borderId="1" xfId="0" applyFont="1" applyFill="1" applyBorder="1" applyAlignment="1">
      <alignment horizontal="center"/>
    </xf>
    <xf numFmtId="44" fontId="38" fillId="15" borderId="1" xfId="13" applyFont="1" applyFill="1" applyBorder="1" applyAlignment="1" applyProtection="1">
      <alignment horizontal="center" vertical="center" wrapText="1"/>
      <protection locked="0"/>
    </xf>
    <xf numFmtId="49" fontId="38" fillId="15" borderId="1" xfId="0" applyNumberFormat="1" applyFont="1" applyFill="1" applyBorder="1" applyAlignment="1">
      <alignment horizontal="center" vertical="center" wrapText="1"/>
    </xf>
    <xf numFmtId="44" fontId="28" fillId="9" borderId="0" xfId="13" applyFont="1" applyFill="1" applyAlignment="1" applyProtection="1">
      <alignment wrapText="1"/>
      <protection locked="0"/>
    </xf>
    <xf numFmtId="0" fontId="9" fillId="18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49" fontId="8" fillId="18" borderId="1" xfId="0" applyNumberFormat="1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left" vertical="top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wrapText="1"/>
    </xf>
    <xf numFmtId="1" fontId="3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1" applyNumberFormat="1" applyFont="1" applyFill="1" applyBorder="1" applyAlignment="1">
      <alignment horizontal="center" vertical="center" wrapText="1"/>
    </xf>
    <xf numFmtId="1" fontId="35" fillId="9" borderId="1" xfId="1" applyNumberFormat="1" applyFont="1" applyFill="1" applyBorder="1" applyAlignment="1">
      <alignment horizontal="center" vertical="center" wrapText="1"/>
    </xf>
    <xf numFmtId="44" fontId="29" fillId="0" borderId="0" xfId="13" applyFont="1" applyAlignment="1" applyProtection="1">
      <alignment horizontal="center" vertical="center" wrapText="1"/>
      <protection locked="0"/>
    </xf>
    <xf numFmtId="49" fontId="50" fillId="9" borderId="1" xfId="0" applyNumberFormat="1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left" vertical="top" wrapText="1"/>
    </xf>
    <xf numFmtId="0" fontId="48" fillId="9" borderId="1" xfId="0" applyFont="1" applyFill="1" applyBorder="1" applyAlignment="1">
      <alignment horizontal="left" vertical="center" wrapText="1"/>
    </xf>
    <xf numFmtId="49" fontId="32" fillId="9" borderId="1" xfId="0" applyNumberFormat="1" applyFont="1" applyFill="1" applyBorder="1" applyAlignment="1" applyProtection="1">
      <alignment horizontal="center" vertical="center"/>
      <protection locked="0"/>
    </xf>
    <xf numFmtId="49" fontId="50" fillId="9" borderId="1" xfId="0" applyNumberFormat="1" applyFont="1" applyFill="1" applyBorder="1" applyAlignment="1">
      <alignment horizontal="center" vertical="center"/>
    </xf>
    <xf numFmtId="44" fontId="50" fillId="9" borderId="1" xfId="13" applyFont="1" applyFill="1" applyBorder="1" applyAlignment="1" applyProtection="1">
      <alignment horizontal="center" vertical="center" wrapText="1"/>
      <protection locked="0"/>
    </xf>
    <xf numFmtId="49" fontId="50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top" wrapText="1"/>
    </xf>
    <xf numFmtId="0" fontId="48" fillId="9" borderId="1" xfId="1" applyFont="1" applyFill="1" applyBorder="1" applyAlignment="1">
      <alignment horizontal="left" vertical="center" wrapText="1"/>
    </xf>
    <xf numFmtId="0" fontId="48" fillId="9" borderId="1" xfId="0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 vertical="center" wrapText="1"/>
    </xf>
    <xf numFmtId="43" fontId="28" fillId="0" borderId="0" xfId="1" applyNumberFormat="1" applyFont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 vertical="center" wrapText="1"/>
    </xf>
    <xf numFmtId="44" fontId="28" fillId="0" borderId="0" xfId="1" applyNumberFormat="1" applyFont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49" fontId="38" fillId="28" borderId="1" xfId="0" applyNumberFormat="1" applyFont="1" applyFill="1" applyBorder="1" applyAlignment="1">
      <alignment horizontal="center" vertical="center" wrapText="1"/>
    </xf>
    <xf numFmtId="0" fontId="19" fillId="28" borderId="1" xfId="0" applyFont="1" applyFill="1" applyBorder="1" applyAlignment="1">
      <alignment horizontal="left" vertical="center" wrapText="1"/>
    </xf>
    <xf numFmtId="49" fontId="35" fillId="28" borderId="1" xfId="0" applyNumberFormat="1" applyFont="1" applyFill="1" applyBorder="1" applyAlignment="1" applyProtection="1">
      <alignment horizontal="center" vertical="center"/>
      <protection locked="0"/>
    </xf>
    <xf numFmtId="49" fontId="38" fillId="28" borderId="1" xfId="0" applyNumberFormat="1" applyFont="1" applyFill="1" applyBorder="1" applyAlignment="1">
      <alignment horizontal="center" vertical="center"/>
    </xf>
    <xf numFmtId="44" fontId="38" fillId="28" borderId="1" xfId="13" applyFont="1" applyFill="1" applyBorder="1" applyAlignment="1" applyProtection="1">
      <alignment horizontal="center" vertical="center" wrapText="1"/>
      <protection locked="0"/>
    </xf>
    <xf numFmtId="0" fontId="10" fillId="28" borderId="1" xfId="0" applyFont="1" applyFill="1" applyBorder="1" applyAlignment="1">
      <alignment horizontal="left" vertical="center" wrapText="1"/>
    </xf>
    <xf numFmtId="44" fontId="28" fillId="0" borderId="0" xfId="1" applyNumberFormat="1" applyFont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166" fontId="29" fillId="0" borderId="0" xfId="0" applyNumberFormat="1" applyFont="1" applyFill="1" applyAlignment="1">
      <alignment horizontal="center" vertical="center" wrapText="1"/>
    </xf>
    <xf numFmtId="14" fontId="51" fillId="30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52" fillId="0" borderId="1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44" fontId="53" fillId="0" borderId="0" xfId="13" applyFont="1" applyAlignment="1">
      <alignment wrapText="1"/>
    </xf>
    <xf numFmtId="44" fontId="53" fillId="0" borderId="0" xfId="13" applyFont="1" applyAlignment="1">
      <alignment horizontal="center" wrapText="1"/>
    </xf>
    <xf numFmtId="0" fontId="52" fillId="31" borderId="1" xfId="0" applyFont="1" applyFill="1" applyBorder="1" applyAlignment="1">
      <alignment wrapText="1"/>
    </xf>
    <xf numFmtId="0" fontId="52" fillId="32" borderId="1" xfId="0" applyFont="1" applyFill="1" applyBorder="1" applyAlignment="1">
      <alignment horizontal="center" wrapText="1"/>
    </xf>
    <xf numFmtId="0" fontId="52" fillId="32" borderId="1" xfId="0" applyFont="1" applyFill="1" applyBorder="1" applyAlignment="1">
      <alignment wrapText="1"/>
    </xf>
    <xf numFmtId="0" fontId="52" fillId="31" borderId="1" xfId="0" applyFont="1" applyFill="1" applyBorder="1" applyAlignment="1">
      <alignment horizontal="center" wrapText="1"/>
    </xf>
    <xf numFmtId="0" fontId="52" fillId="32" borderId="1" xfId="0" applyFont="1" applyFill="1" applyBorder="1" applyAlignment="1">
      <alignment horizontal="center" vertical="center" wrapText="1"/>
    </xf>
    <xf numFmtId="0" fontId="54" fillId="32" borderId="1" xfId="0" applyFont="1" applyFill="1" applyBorder="1" applyAlignment="1">
      <alignment horizontal="center" vertical="center" wrapText="1"/>
    </xf>
    <xf numFmtId="0" fontId="54" fillId="31" borderId="1" xfId="0" applyFont="1" applyFill="1" applyBorder="1" applyAlignment="1">
      <alignment horizontal="center" vertical="center" wrapText="1"/>
    </xf>
    <xf numFmtId="8" fontId="53" fillId="0" borderId="0" xfId="0" applyNumberFormat="1" applyFont="1" applyAlignment="1">
      <alignment wrapText="1"/>
    </xf>
    <xf numFmtId="0" fontId="53" fillId="0" borderId="0" xfId="0" applyFont="1" applyAlignment="1">
      <alignment horizontal="center" wrapText="1"/>
    </xf>
    <xf numFmtId="0" fontId="51" fillId="30" borderId="1" xfId="0" applyFont="1" applyFill="1" applyBorder="1" applyAlignment="1">
      <alignment horizontal="center" vertical="center" wrapText="1"/>
    </xf>
    <xf numFmtId="8" fontId="53" fillId="0" borderId="0" xfId="0" applyNumberFormat="1" applyFont="1" applyAlignment="1">
      <alignment horizontal="center" wrapText="1"/>
    </xf>
    <xf numFmtId="0" fontId="51" fillId="0" borderId="1" xfId="0" applyFont="1" applyBorder="1" applyAlignment="1">
      <alignment horizontal="center" wrapText="1"/>
    </xf>
    <xf numFmtId="0" fontId="52" fillId="31" borderId="1" xfId="0" applyFont="1" applyFill="1" applyBorder="1" applyAlignment="1">
      <alignment horizontal="center" vertical="center" wrapText="1"/>
    </xf>
    <xf numFmtId="0" fontId="53" fillId="31" borderId="0" xfId="0" applyFont="1" applyFill="1" applyAlignment="1">
      <alignment wrapText="1"/>
    </xf>
    <xf numFmtId="8" fontId="53" fillId="31" borderId="0" xfId="0" applyNumberFormat="1" applyFont="1" applyFill="1" applyAlignment="1">
      <alignment wrapText="1"/>
    </xf>
    <xf numFmtId="44" fontId="53" fillId="31" borderId="0" xfId="13" applyFont="1" applyFill="1" applyAlignment="1">
      <alignment wrapText="1"/>
    </xf>
    <xf numFmtId="14" fontId="55" fillId="30" borderId="1" xfId="0" applyNumberFormat="1" applyFont="1" applyFill="1" applyBorder="1"/>
    <xf numFmtId="14" fontId="55" fillId="30" borderId="1" xfId="0" applyNumberFormat="1" applyFont="1" applyFill="1" applyBorder="1" applyAlignment="1">
      <alignment vertical="center"/>
    </xf>
    <xf numFmtId="14" fontId="55" fillId="30" borderId="1" xfId="0" applyNumberFormat="1" applyFont="1" applyFill="1" applyBorder="1" applyAlignment="1">
      <alignment horizontal="center" vertical="center"/>
    </xf>
    <xf numFmtId="0" fontId="35" fillId="7" borderId="0" xfId="1" applyFont="1" applyFill="1" applyAlignment="1" applyProtection="1">
      <alignment horizontal="left" wrapText="1"/>
      <protection locked="0"/>
    </xf>
    <xf numFmtId="44" fontId="56" fillId="0" borderId="0" xfId="0" applyNumberFormat="1" applyFont="1"/>
    <xf numFmtId="10" fontId="24" fillId="7" borderId="3" xfId="12" applyNumberFormat="1" applyFont="1" applyFill="1" applyBorder="1" applyAlignment="1" applyProtection="1">
      <alignment horizontal="right" wrapText="1"/>
      <protection locked="0"/>
    </xf>
    <xf numFmtId="0" fontId="38" fillId="9" borderId="2" xfId="0" applyFont="1" applyFill="1" applyBorder="1" applyAlignment="1">
      <alignment horizontal="center" vertical="center" wrapText="1"/>
    </xf>
    <xf numFmtId="0" fontId="38" fillId="9" borderId="7" xfId="0" applyFont="1" applyFill="1" applyBorder="1" applyAlignment="1">
      <alignment horizontal="center" vertical="center" wrapText="1"/>
    </xf>
    <xf numFmtId="0" fontId="38" fillId="9" borderId="3" xfId="0" applyFont="1" applyFill="1" applyBorder="1" applyAlignment="1">
      <alignment horizontal="center" vertical="center" wrapText="1"/>
    </xf>
    <xf numFmtId="0" fontId="38" fillId="18" borderId="2" xfId="0" applyFont="1" applyFill="1" applyBorder="1" applyAlignment="1">
      <alignment horizontal="center" vertical="center" wrapText="1"/>
    </xf>
    <xf numFmtId="0" fontId="38" fillId="18" borderId="3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left" vertical="top" wrapText="1"/>
    </xf>
    <xf numFmtId="0" fontId="19" fillId="9" borderId="1" xfId="0" applyFont="1" applyFill="1" applyBorder="1" applyAlignment="1">
      <alignment horizontal="left" vertical="top" wrapText="1"/>
    </xf>
    <xf numFmtId="0" fontId="28" fillId="12" borderId="4" xfId="0" applyNumberFormat="1" applyFont="1" applyFill="1" applyBorder="1" applyAlignment="1">
      <alignment vertical="center" wrapText="1"/>
    </xf>
    <xf numFmtId="0" fontId="28" fillId="12" borderId="5" xfId="0" applyNumberFormat="1" applyFont="1" applyFill="1" applyBorder="1" applyAlignment="1">
      <alignment vertical="center" wrapText="1"/>
    </xf>
    <xf numFmtId="0" fontId="28" fillId="12" borderId="6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9" fillId="18" borderId="1" xfId="0" applyFont="1" applyFill="1" applyBorder="1" applyAlignment="1">
      <alignment horizontal="left" vertical="top" wrapText="1"/>
    </xf>
    <xf numFmtId="3" fontId="2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12" borderId="4" xfId="0" applyNumberFormat="1" applyFont="1" applyFill="1" applyBorder="1" applyAlignment="1">
      <alignment horizontal="left" vertical="center" wrapText="1"/>
    </xf>
    <xf numFmtId="0" fontId="28" fillId="12" borderId="5" xfId="0" applyNumberFormat="1" applyFont="1" applyFill="1" applyBorder="1" applyAlignment="1">
      <alignment horizontal="left" vertical="center" wrapText="1"/>
    </xf>
    <xf numFmtId="0" fontId="28" fillId="12" borderId="6" xfId="0" applyNumberFormat="1" applyFont="1" applyFill="1" applyBorder="1" applyAlignment="1">
      <alignment horizontal="left"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32" fillId="13" borderId="5" xfId="0" applyFont="1" applyFill="1" applyBorder="1" applyAlignment="1">
      <alignment horizontal="center" vertical="center" wrapText="1"/>
    </xf>
    <xf numFmtId="0" fontId="32" fillId="13" borderId="6" xfId="0" applyFont="1" applyFill="1" applyBorder="1" applyAlignment="1">
      <alignment horizontal="center" vertical="center" wrapText="1"/>
    </xf>
    <xf numFmtId="3" fontId="28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9" fillId="26" borderId="1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9" fillId="18" borderId="2" xfId="0" applyFont="1" applyFill="1" applyBorder="1" applyAlignment="1">
      <alignment horizontal="center" vertical="center"/>
    </xf>
    <xf numFmtId="0" fontId="39" fillId="18" borderId="3" xfId="0" applyFont="1" applyFill="1" applyBorder="1" applyAlignment="1">
      <alignment horizontal="center" vertical="center"/>
    </xf>
    <xf numFmtId="0" fontId="39" fillId="18" borderId="2" xfId="0" applyFont="1" applyFill="1" applyBorder="1" applyAlignment="1">
      <alignment horizontal="center" vertical="center" wrapText="1"/>
    </xf>
    <xf numFmtId="0" fontId="10" fillId="28" borderId="1" xfId="0" applyFont="1" applyFill="1" applyBorder="1" applyAlignment="1">
      <alignment horizontal="left" vertical="top" wrapText="1"/>
    </xf>
    <xf numFmtId="0" fontId="19" fillId="28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top" wrapText="1"/>
    </xf>
    <xf numFmtId="0" fontId="39" fillId="9" borderId="2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left" vertical="top" wrapText="1"/>
    </xf>
    <xf numFmtId="0" fontId="3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18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left" vertical="top" wrapText="1"/>
    </xf>
    <xf numFmtId="0" fontId="13" fillId="9" borderId="1" xfId="0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top" wrapText="1"/>
    </xf>
    <xf numFmtId="0" fontId="11" fillId="15" borderId="1" xfId="0" applyFont="1" applyFill="1" applyBorder="1" applyAlignment="1">
      <alignment horizontal="left" vertical="center" wrapText="1"/>
    </xf>
    <xf numFmtId="0" fontId="19" fillId="15" borderId="1" xfId="0" applyFont="1" applyFill="1" applyBorder="1" applyAlignment="1">
      <alignment horizontal="left" vertical="center" wrapText="1"/>
    </xf>
    <xf numFmtId="0" fontId="51" fillId="32" borderId="2" xfId="0" applyFont="1" applyFill="1" applyBorder="1" applyAlignment="1">
      <alignment horizontal="center" vertical="center" wrapText="1"/>
    </xf>
    <xf numFmtId="0" fontId="51" fillId="32" borderId="3" xfId="0" applyFont="1" applyFill="1" applyBorder="1" applyAlignment="1">
      <alignment horizontal="center" vertical="center" wrapText="1"/>
    </xf>
    <xf numFmtId="0" fontId="51" fillId="29" borderId="2" xfId="0" applyFont="1" applyFill="1" applyBorder="1" applyAlignment="1">
      <alignment horizontal="center" vertical="center" wrapText="1"/>
    </xf>
    <xf numFmtId="0" fontId="51" fillId="29" borderId="3" xfId="0" applyFont="1" applyFill="1" applyBorder="1" applyAlignment="1">
      <alignment horizontal="center" vertical="center" wrapText="1"/>
    </xf>
    <xf numFmtId="0" fontId="24" fillId="7" borderId="15" xfId="1" applyFont="1" applyFill="1" applyBorder="1" applyAlignment="1">
      <alignment horizontal="center" vertical="center" wrapText="1"/>
    </xf>
    <xf numFmtId="0" fontId="24" fillId="7" borderId="9" xfId="1" applyFont="1" applyFill="1" applyBorder="1" applyAlignment="1">
      <alignment horizontal="center" vertical="center" wrapText="1"/>
    </xf>
    <xf numFmtId="0" fontId="24" fillId="7" borderId="0" xfId="1" applyFont="1" applyFill="1" applyBorder="1" applyAlignment="1">
      <alignment horizontal="center" vertical="center" wrapText="1"/>
    </xf>
    <xf numFmtId="0" fontId="24" fillId="7" borderId="11" xfId="1" applyFont="1" applyFill="1" applyBorder="1" applyAlignment="1">
      <alignment horizontal="center" vertical="center" wrapText="1"/>
    </xf>
    <xf numFmtId="0" fontId="24" fillId="7" borderId="14" xfId="1" applyFont="1" applyFill="1" applyBorder="1" applyAlignment="1">
      <alignment horizontal="center" vertical="center" wrapText="1"/>
    </xf>
    <xf numFmtId="0" fontId="24" fillId="7" borderId="13" xfId="1" applyFont="1" applyFill="1" applyBorder="1" applyAlignment="1">
      <alignment horizontal="center" vertical="center" wrapText="1"/>
    </xf>
    <xf numFmtId="0" fontId="34" fillId="7" borderId="4" xfId="1" applyFont="1" applyFill="1" applyBorder="1" applyAlignment="1" applyProtection="1">
      <alignment horizontal="left" wrapText="1"/>
      <protection locked="0"/>
    </xf>
    <xf numFmtId="0" fontId="34" fillId="7" borderId="5" xfId="1" applyFont="1" applyFill="1" applyBorder="1" applyAlignment="1" applyProtection="1">
      <alignment horizontal="left" wrapText="1"/>
      <protection locked="0"/>
    </xf>
    <xf numFmtId="0" fontId="28" fillId="27" borderId="4" xfId="0" applyNumberFormat="1" applyFont="1" applyFill="1" applyBorder="1" applyAlignment="1">
      <alignment horizontal="center" vertical="center" wrapText="1"/>
    </xf>
    <xf numFmtId="0" fontId="28" fillId="27" borderId="5" xfId="0" applyNumberFormat="1" applyFont="1" applyFill="1" applyBorder="1" applyAlignment="1">
      <alignment horizontal="center" vertical="center" wrapText="1"/>
    </xf>
    <xf numFmtId="0" fontId="28" fillId="27" borderId="6" xfId="0" applyNumberFormat="1" applyFont="1" applyFill="1" applyBorder="1" applyAlignment="1">
      <alignment horizontal="center" vertical="center" wrapText="1"/>
    </xf>
    <xf numFmtId="0" fontId="34" fillId="27" borderId="12" xfId="0" applyNumberFormat="1" applyFont="1" applyFill="1" applyBorder="1" applyAlignment="1">
      <alignment horizontal="center" vertical="center" wrapText="1"/>
    </xf>
    <xf numFmtId="0" fontId="34" fillId="27" borderId="14" xfId="0" applyNumberFormat="1" applyFont="1" applyFill="1" applyBorder="1" applyAlignment="1">
      <alignment horizontal="center" vertical="center" wrapText="1"/>
    </xf>
    <xf numFmtId="0" fontId="28" fillId="27" borderId="4" xfId="0" applyNumberFormat="1" applyFont="1" applyFill="1" applyBorder="1" applyAlignment="1">
      <alignment vertical="center" wrapText="1"/>
    </xf>
    <xf numFmtId="0" fontId="28" fillId="27" borderId="5" xfId="0" applyNumberFormat="1" applyFont="1" applyFill="1" applyBorder="1" applyAlignment="1">
      <alignment vertical="center" wrapText="1"/>
    </xf>
    <xf numFmtId="0" fontId="28" fillId="27" borderId="6" xfId="0" applyNumberFormat="1" applyFont="1" applyFill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5" fillId="7" borderId="4" xfId="0" applyFont="1" applyFill="1" applyBorder="1" applyAlignment="1">
      <alignment horizontal="center"/>
    </xf>
    <xf numFmtId="0" fontId="35" fillId="7" borderId="5" xfId="0" applyFont="1" applyFill="1" applyBorder="1" applyAlignment="1">
      <alignment horizontal="center"/>
    </xf>
    <xf numFmtId="0" fontId="35" fillId="7" borderId="6" xfId="0" applyFont="1" applyFill="1" applyBorder="1" applyAlignment="1">
      <alignment horizontal="center"/>
    </xf>
    <xf numFmtId="0" fontId="32" fillId="7" borderId="12" xfId="0" applyFont="1" applyFill="1" applyBorder="1" applyAlignment="1"/>
    <xf numFmtId="0" fontId="32" fillId="7" borderId="14" xfId="0" applyFont="1" applyFill="1" applyBorder="1" applyAlignment="1"/>
    <xf numFmtId="0" fontId="32" fillId="7" borderId="13" xfId="0" applyFont="1" applyFill="1" applyBorder="1" applyAlignment="1"/>
    <xf numFmtId="0" fontId="35" fillId="7" borderId="10" xfId="1" applyFont="1" applyFill="1" applyBorder="1" applyAlignment="1" applyProtection="1">
      <alignment horizontal="left" wrapText="1"/>
      <protection locked="0"/>
    </xf>
    <xf numFmtId="0" fontId="35" fillId="7" borderId="0" xfId="1" applyFont="1" applyFill="1" applyAlignment="1" applyProtection="1">
      <alignment horizontal="left" wrapText="1"/>
      <protection locked="0"/>
    </xf>
    <xf numFmtId="44" fontId="35" fillId="7" borderId="15" xfId="0" applyNumberFormat="1" applyFont="1" applyFill="1" applyBorder="1" applyAlignment="1">
      <alignment horizontal="center"/>
    </xf>
    <xf numFmtId="44" fontId="35" fillId="7" borderId="9" xfId="0" applyNumberFormat="1" applyFont="1" applyFill="1" applyBorder="1" applyAlignment="1">
      <alignment horizontal="center"/>
    </xf>
    <xf numFmtId="44" fontId="32" fillId="7" borderId="0" xfId="1" applyNumberFormat="1" applyFont="1" applyFill="1" applyAlignment="1" applyProtection="1">
      <alignment horizontal="center" wrapText="1"/>
      <protection locked="0"/>
    </xf>
    <xf numFmtId="0" fontId="32" fillId="7" borderId="11" xfId="1" applyFont="1" applyFill="1" applyBorder="1" applyAlignment="1" applyProtection="1">
      <alignment horizontal="center" wrapText="1"/>
      <protection locked="0"/>
    </xf>
    <xf numFmtId="10" fontId="35" fillId="7" borderId="14" xfId="17" applyNumberFormat="1" applyFont="1" applyFill="1" applyBorder="1" applyAlignment="1" applyProtection="1">
      <alignment horizontal="right" wrapText="1"/>
      <protection locked="0"/>
    </xf>
    <xf numFmtId="10" fontId="35" fillId="7" borderId="13" xfId="17" applyNumberFormat="1" applyFont="1" applyFill="1" applyBorder="1" applyAlignment="1" applyProtection="1">
      <alignment horizontal="right" wrapText="1"/>
      <protection locked="0"/>
    </xf>
    <xf numFmtId="0" fontId="35" fillId="7" borderId="12" xfId="1" applyFont="1" applyFill="1" applyBorder="1" applyAlignment="1" applyProtection="1">
      <alignment wrapText="1"/>
      <protection locked="0"/>
    </xf>
    <xf numFmtId="0" fontId="35" fillId="7" borderId="14" xfId="1" applyFont="1" applyFill="1" applyBorder="1" applyAlignment="1" applyProtection="1">
      <alignment wrapText="1"/>
      <protection locked="0"/>
    </xf>
    <xf numFmtId="0" fontId="35" fillId="9" borderId="2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5" fillId="18" borderId="2" xfId="0" applyFont="1" applyFill="1" applyBorder="1" applyAlignment="1">
      <alignment horizontal="center" vertical="center"/>
    </xf>
    <xf numFmtId="0" fontId="35" fillId="18" borderId="3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left" vertical="top" wrapText="1"/>
    </xf>
    <xf numFmtId="0" fontId="14" fillId="18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18" borderId="2" xfId="0" applyFont="1" applyFill="1" applyBorder="1" applyAlignment="1">
      <alignment horizontal="center" vertical="center" wrapText="1"/>
    </xf>
    <xf numFmtId="0" fontId="14" fillId="18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left" vertical="top" wrapText="1"/>
    </xf>
    <xf numFmtId="0" fontId="35" fillId="19" borderId="1" xfId="0" applyFont="1" applyFill="1" applyBorder="1" applyAlignment="1">
      <alignment horizontal="center" vertical="center" wrapText="1"/>
    </xf>
    <xf numFmtId="0" fontId="35" fillId="19" borderId="5" xfId="0" applyFont="1" applyFill="1" applyBorder="1" applyAlignment="1">
      <alignment vertical="center" wrapText="1"/>
    </xf>
    <xf numFmtId="0" fontId="35" fillId="19" borderId="6" xfId="0" applyFont="1" applyFill="1" applyBorder="1" applyAlignment="1">
      <alignment vertical="center" wrapText="1"/>
    </xf>
    <xf numFmtId="0" fontId="35" fillId="19" borderId="4" xfId="0" quotePrefix="1" applyFont="1" applyFill="1" applyBorder="1" applyAlignment="1">
      <alignment horizontal="center" vertical="center" wrapText="1"/>
    </xf>
    <xf numFmtId="0" fontId="35" fillId="19" borderId="5" xfId="0" quotePrefix="1" applyFont="1" applyFill="1" applyBorder="1" applyAlignment="1">
      <alignment horizontal="center" vertical="center" wrapText="1"/>
    </xf>
    <xf numFmtId="0" fontId="35" fillId="19" borderId="4" xfId="0" applyFont="1" applyFill="1" applyBorder="1" applyAlignment="1">
      <alignment horizontal="center" vertical="center" wrapText="1"/>
    </xf>
    <xf numFmtId="0" fontId="35" fillId="19" borderId="5" xfId="0" applyFont="1" applyFill="1" applyBorder="1" applyAlignment="1">
      <alignment horizontal="center" vertical="center" wrapText="1"/>
    </xf>
    <xf numFmtId="0" fontId="35" fillId="20" borderId="16" xfId="0" applyFont="1" applyFill="1" applyBorder="1" applyAlignment="1">
      <alignment horizontal="center" vertical="center" wrapText="1"/>
    </xf>
    <xf numFmtId="0" fontId="35" fillId="20" borderId="17" xfId="0" applyFont="1" applyFill="1" applyBorder="1" applyAlignment="1">
      <alignment horizontal="center" vertical="center" wrapText="1"/>
    </xf>
    <xf numFmtId="0" fontId="35" fillId="20" borderId="18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 wrapText="1"/>
    </xf>
    <xf numFmtId="0" fontId="35" fillId="21" borderId="17" xfId="0" applyFont="1" applyFill="1" applyBorder="1" applyAlignment="1">
      <alignment horizontal="center" vertical="center" wrapText="1"/>
    </xf>
    <xf numFmtId="0" fontId="35" fillId="21" borderId="18" xfId="0" applyFont="1" applyFill="1" applyBorder="1" applyAlignment="1">
      <alignment horizontal="center" vertical="center" wrapText="1"/>
    </xf>
    <xf numFmtId="0" fontId="35" fillId="22" borderId="16" xfId="0" applyFont="1" applyFill="1" applyBorder="1" applyAlignment="1">
      <alignment horizontal="center" vertical="center" wrapText="1"/>
    </xf>
    <xf numFmtId="0" fontId="35" fillId="22" borderId="17" xfId="0" applyFont="1" applyFill="1" applyBorder="1" applyAlignment="1">
      <alignment horizontal="center" vertical="center" wrapText="1"/>
    </xf>
    <xf numFmtId="0" fontId="35" fillId="22" borderId="18" xfId="0" applyFont="1" applyFill="1" applyBorder="1" applyAlignment="1">
      <alignment horizontal="center" vertical="center" wrapText="1"/>
    </xf>
    <xf numFmtId="0" fontId="35" fillId="23" borderId="16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18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horizontal="center" vertical="center" wrapText="1"/>
    </xf>
    <xf numFmtId="0" fontId="35" fillId="12" borderId="5" xfId="0" applyFont="1" applyFill="1" applyBorder="1" applyAlignment="1">
      <alignment horizontal="center" vertical="center" wrapText="1"/>
    </xf>
  </cellXfs>
  <cellStyles count="197">
    <cellStyle name="Moeda" xfId="13" builtinId="4"/>
    <cellStyle name="Moeda 10" xfId="108" xr:uid="{00000000-0005-0000-0000-000092000000}"/>
    <cellStyle name="Moeda 11" xfId="127" xr:uid="{00000000-0005-0000-0000-0000A5000000}"/>
    <cellStyle name="Moeda 12" xfId="146" xr:uid="{00000000-0005-0000-0000-0000B8000000}"/>
    <cellStyle name="Moeda 13" xfId="165" xr:uid="{00000000-0005-0000-0000-0000CB000000}"/>
    <cellStyle name="Moeda 14" xfId="184" xr:uid="{00000000-0005-0000-0000-0000DE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162" xr:uid="{00000000-0005-0000-0000-000003000000}"/>
    <cellStyle name="Moeda 3 11" xfId="181" xr:uid="{00000000-0005-0000-0000-000003000000}"/>
    <cellStyle name="Moeda 3 2" xfId="20" xr:uid="{00000000-0005-0000-0000-000004000000}"/>
    <cellStyle name="Moeda 3 2 10" xfId="190" xr:uid="{00000000-0005-0000-0000-000004000000}"/>
    <cellStyle name="Moeda 3 2 2" xfId="39" xr:uid="{00000000-0005-0000-0000-000004000000}"/>
    <cellStyle name="Moeda 3 2 3" xfId="58" xr:uid="{00000000-0005-0000-0000-000004000000}"/>
    <cellStyle name="Moeda 3 2 4" xfId="77" xr:uid="{00000000-0005-0000-0000-000004000000}"/>
    <cellStyle name="Moeda 3 2 5" xfId="95" xr:uid="{00000000-0005-0000-0000-000004000000}"/>
    <cellStyle name="Moeda 3 2 6" xfId="114" xr:uid="{00000000-0005-0000-0000-000004000000}"/>
    <cellStyle name="Moeda 3 2 7" xfId="133" xr:uid="{00000000-0005-0000-0000-000004000000}"/>
    <cellStyle name="Moeda 3 2 8" xfId="152" xr:uid="{00000000-0005-0000-0000-000004000000}"/>
    <cellStyle name="Moeda 3 2 9" xfId="171" xr:uid="{00000000-0005-0000-0000-000004000000}"/>
    <cellStyle name="Moeda 3 3" xfId="30" xr:uid="{00000000-0005-0000-0000-000003000000}"/>
    <cellStyle name="Moeda 3 4" xfId="49" xr:uid="{00000000-0005-0000-0000-000003000000}"/>
    <cellStyle name="Moeda 3 5" xfId="68" xr:uid="{00000000-0005-0000-0000-000003000000}"/>
    <cellStyle name="Moeda 3 6" xfId="86" xr:uid="{00000000-0005-0000-0000-000003000000}"/>
    <cellStyle name="Moeda 3 7" xfId="105" xr:uid="{00000000-0005-0000-0000-000003000000}"/>
    <cellStyle name="Moeda 3 8" xfId="124" xr:uid="{00000000-0005-0000-0000-000003000000}"/>
    <cellStyle name="Moeda 3 9" xfId="143" xr:uid="{00000000-0005-0000-0000-000003000000}"/>
    <cellStyle name="Moeda 4" xfId="14" xr:uid="{00000000-0005-0000-0000-000005000000}"/>
    <cellStyle name="Moeda 4 10" xfId="166" xr:uid="{00000000-0005-0000-0000-000005000000}"/>
    <cellStyle name="Moeda 4 11" xfId="185" xr:uid="{00000000-0005-0000-0000-000005000000}"/>
    <cellStyle name="Moeda 4 2" xfId="24" xr:uid="{00000000-0005-0000-0000-000006000000}"/>
    <cellStyle name="Moeda 4 2 10" xfId="194" xr:uid="{00000000-0005-0000-0000-000006000000}"/>
    <cellStyle name="Moeda 4 2 2" xfId="43" xr:uid="{00000000-0005-0000-0000-000006000000}"/>
    <cellStyle name="Moeda 4 2 3" xfId="62" xr:uid="{00000000-0005-0000-0000-000006000000}"/>
    <cellStyle name="Moeda 4 2 4" xfId="81" xr:uid="{00000000-0005-0000-0000-000006000000}"/>
    <cellStyle name="Moeda 4 2 5" xfId="99" xr:uid="{00000000-0005-0000-0000-000006000000}"/>
    <cellStyle name="Moeda 4 2 6" xfId="118" xr:uid="{00000000-0005-0000-0000-000006000000}"/>
    <cellStyle name="Moeda 4 2 7" xfId="137" xr:uid="{00000000-0005-0000-0000-000006000000}"/>
    <cellStyle name="Moeda 4 2 8" xfId="156" xr:uid="{00000000-0005-0000-0000-000006000000}"/>
    <cellStyle name="Moeda 4 2 9" xfId="175" xr:uid="{00000000-0005-0000-0000-000006000000}"/>
    <cellStyle name="Moeda 4 3" xfId="34" xr:uid="{00000000-0005-0000-0000-000005000000}"/>
    <cellStyle name="Moeda 4 4" xfId="53" xr:uid="{00000000-0005-0000-0000-000005000000}"/>
    <cellStyle name="Moeda 4 5" xfId="72" xr:uid="{00000000-0005-0000-0000-000005000000}"/>
    <cellStyle name="Moeda 4 6" xfId="90" xr:uid="{00000000-0005-0000-0000-000005000000}"/>
    <cellStyle name="Moeda 4 7" xfId="109" xr:uid="{00000000-0005-0000-0000-000005000000}"/>
    <cellStyle name="Moeda 4 8" xfId="128" xr:uid="{00000000-0005-0000-0000-000005000000}"/>
    <cellStyle name="Moeda 4 9" xfId="147" xr:uid="{00000000-0005-0000-0000-000005000000}"/>
    <cellStyle name="Moeda 5" xfId="23" xr:uid="{00000000-0005-0000-0000-000007000000}"/>
    <cellStyle name="Moeda 5 10" xfId="193" xr:uid="{00000000-0005-0000-0000-000007000000}"/>
    <cellStyle name="Moeda 5 2" xfId="42" xr:uid="{00000000-0005-0000-0000-000007000000}"/>
    <cellStyle name="Moeda 5 3" xfId="61" xr:uid="{00000000-0005-0000-0000-000007000000}"/>
    <cellStyle name="Moeda 5 4" xfId="80" xr:uid="{00000000-0005-0000-0000-000007000000}"/>
    <cellStyle name="Moeda 5 5" xfId="98" xr:uid="{00000000-0005-0000-0000-000007000000}"/>
    <cellStyle name="Moeda 5 6" xfId="117" xr:uid="{00000000-0005-0000-0000-000007000000}"/>
    <cellStyle name="Moeda 5 7" xfId="136" xr:uid="{00000000-0005-0000-0000-000007000000}"/>
    <cellStyle name="Moeda 5 8" xfId="155" xr:uid="{00000000-0005-0000-0000-000007000000}"/>
    <cellStyle name="Moeda 5 9" xfId="174" xr:uid="{00000000-0005-0000-0000-000007000000}"/>
    <cellStyle name="Moeda 6" xfId="33" xr:uid="{00000000-0005-0000-0000-000047000000}"/>
    <cellStyle name="Moeda 7" xfId="52" xr:uid="{00000000-0005-0000-0000-00005A000000}"/>
    <cellStyle name="Moeda 8" xfId="71" xr:uid="{00000000-0005-0000-0000-00006D000000}"/>
    <cellStyle name="Moeda 9" xfId="89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123" xr:uid="{00000000-0005-0000-0000-00000D000000}"/>
    <cellStyle name="Separador de milhares 2 2 11" xfId="142" xr:uid="{00000000-0005-0000-0000-00000D000000}"/>
    <cellStyle name="Separador de milhares 2 2 12" xfId="161" xr:uid="{00000000-0005-0000-0000-00000D000000}"/>
    <cellStyle name="Separador de milhares 2 2 13" xfId="180" xr:uid="{00000000-0005-0000-0000-00000D000000}"/>
    <cellStyle name="Separador de milhares 2 2 2" xfId="11" xr:uid="{00000000-0005-0000-0000-00000E000000}"/>
    <cellStyle name="Separador de milhares 2 2 2 10" xfId="164" xr:uid="{00000000-0005-0000-0000-00000E000000}"/>
    <cellStyle name="Separador de milhares 2 2 2 11" xfId="183" xr:uid="{00000000-0005-0000-0000-00000E000000}"/>
    <cellStyle name="Separador de milhares 2 2 2 2" xfId="22" xr:uid="{00000000-0005-0000-0000-00000F000000}"/>
    <cellStyle name="Separador de milhares 2 2 2 2 10" xfId="192" xr:uid="{00000000-0005-0000-0000-00000F000000}"/>
    <cellStyle name="Separador de milhares 2 2 2 2 2" xfId="41" xr:uid="{00000000-0005-0000-0000-00000E000000}"/>
    <cellStyle name="Separador de milhares 2 2 2 2 3" xfId="60" xr:uid="{00000000-0005-0000-0000-00000F000000}"/>
    <cellStyle name="Separador de milhares 2 2 2 2 4" xfId="79" xr:uid="{00000000-0005-0000-0000-00000F000000}"/>
    <cellStyle name="Separador de milhares 2 2 2 2 5" xfId="97" xr:uid="{00000000-0005-0000-0000-00000F000000}"/>
    <cellStyle name="Separador de milhares 2 2 2 2 6" xfId="116" xr:uid="{00000000-0005-0000-0000-00000F000000}"/>
    <cellStyle name="Separador de milhares 2 2 2 2 7" xfId="135" xr:uid="{00000000-0005-0000-0000-00000F000000}"/>
    <cellStyle name="Separador de milhares 2 2 2 2 8" xfId="154" xr:uid="{00000000-0005-0000-0000-00000F000000}"/>
    <cellStyle name="Separador de milhares 2 2 2 2 9" xfId="173" xr:uid="{00000000-0005-0000-0000-00000F000000}"/>
    <cellStyle name="Separador de milhares 2 2 2 3" xfId="32" xr:uid="{00000000-0005-0000-0000-00000D000000}"/>
    <cellStyle name="Separador de milhares 2 2 2 4" xfId="51" xr:uid="{00000000-0005-0000-0000-00000E000000}"/>
    <cellStyle name="Separador de milhares 2 2 2 5" xfId="70" xr:uid="{00000000-0005-0000-0000-00000E000000}"/>
    <cellStyle name="Separador de milhares 2 2 2 6" xfId="88" xr:uid="{00000000-0005-0000-0000-00000E000000}"/>
    <cellStyle name="Separador de milhares 2 2 2 7" xfId="107" xr:uid="{00000000-0005-0000-0000-00000E000000}"/>
    <cellStyle name="Separador de milhares 2 2 2 8" xfId="126" xr:uid="{00000000-0005-0000-0000-00000E000000}"/>
    <cellStyle name="Separador de milhares 2 2 2 9" xfId="145" xr:uid="{00000000-0005-0000-0000-00000E000000}"/>
    <cellStyle name="Separador de milhares 2 2 3" xfId="16" xr:uid="{00000000-0005-0000-0000-000010000000}"/>
    <cellStyle name="Separador de milhares 2 2 3 10" xfId="168" xr:uid="{00000000-0005-0000-0000-000010000000}"/>
    <cellStyle name="Separador de milhares 2 2 3 11" xfId="187" xr:uid="{00000000-0005-0000-0000-000010000000}"/>
    <cellStyle name="Separador de milhares 2 2 3 2" xfId="26" xr:uid="{00000000-0005-0000-0000-000011000000}"/>
    <cellStyle name="Separador de milhares 2 2 3 2 10" xfId="196" xr:uid="{00000000-0005-0000-0000-000011000000}"/>
    <cellStyle name="Separador de milhares 2 2 3 2 2" xfId="45" xr:uid="{00000000-0005-0000-0000-000010000000}"/>
    <cellStyle name="Separador de milhares 2 2 3 2 3" xfId="64" xr:uid="{00000000-0005-0000-0000-000011000000}"/>
    <cellStyle name="Separador de milhares 2 2 3 2 4" xfId="83" xr:uid="{00000000-0005-0000-0000-000011000000}"/>
    <cellStyle name="Separador de milhares 2 2 3 2 5" xfId="101" xr:uid="{00000000-0005-0000-0000-000011000000}"/>
    <cellStyle name="Separador de milhares 2 2 3 2 6" xfId="120" xr:uid="{00000000-0005-0000-0000-000011000000}"/>
    <cellStyle name="Separador de milhares 2 2 3 2 7" xfId="139" xr:uid="{00000000-0005-0000-0000-000011000000}"/>
    <cellStyle name="Separador de milhares 2 2 3 2 8" xfId="158" xr:uid="{00000000-0005-0000-0000-000011000000}"/>
    <cellStyle name="Separador de milhares 2 2 3 2 9" xfId="177" xr:uid="{00000000-0005-0000-0000-000011000000}"/>
    <cellStyle name="Separador de milhares 2 2 3 3" xfId="36" xr:uid="{00000000-0005-0000-0000-00000F000000}"/>
    <cellStyle name="Separador de milhares 2 2 3 4" xfId="55" xr:uid="{00000000-0005-0000-0000-000010000000}"/>
    <cellStyle name="Separador de milhares 2 2 3 5" xfId="74" xr:uid="{00000000-0005-0000-0000-000010000000}"/>
    <cellStyle name="Separador de milhares 2 2 3 6" xfId="92" xr:uid="{00000000-0005-0000-0000-000010000000}"/>
    <cellStyle name="Separador de milhares 2 2 3 7" xfId="111" xr:uid="{00000000-0005-0000-0000-000010000000}"/>
    <cellStyle name="Separador de milhares 2 2 3 8" xfId="130" xr:uid="{00000000-0005-0000-0000-000010000000}"/>
    <cellStyle name="Separador de milhares 2 2 3 9" xfId="149" xr:uid="{00000000-0005-0000-0000-000010000000}"/>
    <cellStyle name="Separador de milhares 2 2 4" xfId="19" xr:uid="{00000000-0005-0000-0000-000012000000}"/>
    <cellStyle name="Separador de milhares 2 2 4 10" xfId="189" xr:uid="{00000000-0005-0000-0000-000012000000}"/>
    <cellStyle name="Separador de milhares 2 2 4 2" xfId="38" xr:uid="{00000000-0005-0000-0000-000011000000}"/>
    <cellStyle name="Separador de milhares 2 2 4 3" xfId="57" xr:uid="{00000000-0005-0000-0000-000012000000}"/>
    <cellStyle name="Separador de milhares 2 2 4 4" xfId="76" xr:uid="{00000000-0005-0000-0000-000012000000}"/>
    <cellStyle name="Separador de milhares 2 2 4 5" xfId="94" xr:uid="{00000000-0005-0000-0000-000012000000}"/>
    <cellStyle name="Separador de milhares 2 2 4 6" xfId="113" xr:uid="{00000000-0005-0000-0000-000012000000}"/>
    <cellStyle name="Separador de milhares 2 2 4 7" xfId="132" xr:uid="{00000000-0005-0000-0000-000012000000}"/>
    <cellStyle name="Separador de milhares 2 2 4 8" xfId="151" xr:uid="{00000000-0005-0000-0000-000012000000}"/>
    <cellStyle name="Separador de milhares 2 2 4 9" xfId="170" xr:uid="{00000000-0005-0000-0000-000012000000}"/>
    <cellStyle name="Separador de milhares 2 2 5" xfId="29" xr:uid="{00000000-0005-0000-0000-00000C000000}"/>
    <cellStyle name="Separador de milhares 2 2 6" xfId="48" xr:uid="{00000000-0005-0000-0000-00000D000000}"/>
    <cellStyle name="Separador de milhares 2 2 7" xfId="67" xr:uid="{00000000-0005-0000-0000-00000D000000}"/>
    <cellStyle name="Separador de milhares 2 2 8" xfId="85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10" xfId="122" xr:uid="{00000000-0005-0000-0000-000013000000}"/>
    <cellStyle name="Separador de milhares 2 3 11" xfId="141" xr:uid="{00000000-0005-0000-0000-000013000000}"/>
    <cellStyle name="Separador de milhares 2 3 12" xfId="160" xr:uid="{00000000-0005-0000-0000-000013000000}"/>
    <cellStyle name="Separador de milhares 2 3 13" xfId="179" xr:uid="{00000000-0005-0000-0000-000013000000}"/>
    <cellStyle name="Separador de milhares 2 3 2" xfId="10" xr:uid="{00000000-0005-0000-0000-000014000000}"/>
    <cellStyle name="Separador de milhares 2 3 2 10" xfId="163" xr:uid="{00000000-0005-0000-0000-000014000000}"/>
    <cellStyle name="Separador de milhares 2 3 2 11" xfId="182" xr:uid="{00000000-0005-0000-0000-000014000000}"/>
    <cellStyle name="Separador de milhares 2 3 2 2" xfId="21" xr:uid="{00000000-0005-0000-0000-000015000000}"/>
    <cellStyle name="Separador de milhares 2 3 2 2 10" xfId="191" xr:uid="{00000000-0005-0000-0000-000015000000}"/>
    <cellStyle name="Separador de milhares 2 3 2 2 2" xfId="40" xr:uid="{00000000-0005-0000-0000-000014000000}"/>
    <cellStyle name="Separador de milhares 2 3 2 2 3" xfId="59" xr:uid="{00000000-0005-0000-0000-000015000000}"/>
    <cellStyle name="Separador de milhares 2 3 2 2 4" xfId="78" xr:uid="{00000000-0005-0000-0000-000015000000}"/>
    <cellStyle name="Separador de milhares 2 3 2 2 5" xfId="96" xr:uid="{00000000-0005-0000-0000-000015000000}"/>
    <cellStyle name="Separador de milhares 2 3 2 2 6" xfId="115" xr:uid="{00000000-0005-0000-0000-000015000000}"/>
    <cellStyle name="Separador de milhares 2 3 2 2 7" xfId="134" xr:uid="{00000000-0005-0000-0000-000015000000}"/>
    <cellStyle name="Separador de milhares 2 3 2 2 8" xfId="153" xr:uid="{00000000-0005-0000-0000-000015000000}"/>
    <cellStyle name="Separador de milhares 2 3 2 2 9" xfId="172" xr:uid="{00000000-0005-0000-0000-000015000000}"/>
    <cellStyle name="Separador de milhares 2 3 2 3" xfId="31" xr:uid="{00000000-0005-0000-0000-000013000000}"/>
    <cellStyle name="Separador de milhares 2 3 2 4" xfId="50" xr:uid="{00000000-0005-0000-0000-000014000000}"/>
    <cellStyle name="Separador de milhares 2 3 2 5" xfId="69" xr:uid="{00000000-0005-0000-0000-000014000000}"/>
    <cellStyle name="Separador de milhares 2 3 2 6" xfId="87" xr:uid="{00000000-0005-0000-0000-000014000000}"/>
    <cellStyle name="Separador de milhares 2 3 2 7" xfId="106" xr:uid="{00000000-0005-0000-0000-000014000000}"/>
    <cellStyle name="Separador de milhares 2 3 2 8" xfId="125" xr:uid="{00000000-0005-0000-0000-000014000000}"/>
    <cellStyle name="Separador de milhares 2 3 2 9" xfId="144" xr:uid="{00000000-0005-0000-0000-000014000000}"/>
    <cellStyle name="Separador de milhares 2 3 3" xfId="15" xr:uid="{00000000-0005-0000-0000-000016000000}"/>
    <cellStyle name="Separador de milhares 2 3 3 10" xfId="167" xr:uid="{00000000-0005-0000-0000-000016000000}"/>
    <cellStyle name="Separador de milhares 2 3 3 11" xfId="186" xr:uid="{00000000-0005-0000-0000-000016000000}"/>
    <cellStyle name="Separador de milhares 2 3 3 2" xfId="25" xr:uid="{00000000-0005-0000-0000-000017000000}"/>
    <cellStyle name="Separador de milhares 2 3 3 2 10" xfId="195" xr:uid="{00000000-0005-0000-0000-000017000000}"/>
    <cellStyle name="Separador de milhares 2 3 3 2 2" xfId="44" xr:uid="{00000000-0005-0000-0000-000016000000}"/>
    <cellStyle name="Separador de milhares 2 3 3 2 3" xfId="63" xr:uid="{00000000-0005-0000-0000-000017000000}"/>
    <cellStyle name="Separador de milhares 2 3 3 2 4" xfId="82" xr:uid="{00000000-0005-0000-0000-000017000000}"/>
    <cellStyle name="Separador de milhares 2 3 3 2 5" xfId="100" xr:uid="{00000000-0005-0000-0000-000017000000}"/>
    <cellStyle name="Separador de milhares 2 3 3 2 6" xfId="119" xr:uid="{00000000-0005-0000-0000-000017000000}"/>
    <cellStyle name="Separador de milhares 2 3 3 2 7" xfId="138" xr:uid="{00000000-0005-0000-0000-000017000000}"/>
    <cellStyle name="Separador de milhares 2 3 3 2 8" xfId="157" xr:uid="{00000000-0005-0000-0000-000017000000}"/>
    <cellStyle name="Separador de milhares 2 3 3 2 9" xfId="176" xr:uid="{00000000-0005-0000-0000-000017000000}"/>
    <cellStyle name="Separador de milhares 2 3 3 3" xfId="35" xr:uid="{00000000-0005-0000-0000-000015000000}"/>
    <cellStyle name="Separador de milhares 2 3 3 4" xfId="54" xr:uid="{00000000-0005-0000-0000-000016000000}"/>
    <cellStyle name="Separador de milhares 2 3 3 5" xfId="73" xr:uid="{00000000-0005-0000-0000-000016000000}"/>
    <cellStyle name="Separador de milhares 2 3 3 6" xfId="91" xr:uid="{00000000-0005-0000-0000-000016000000}"/>
    <cellStyle name="Separador de milhares 2 3 3 7" xfId="110" xr:uid="{00000000-0005-0000-0000-000016000000}"/>
    <cellStyle name="Separador de milhares 2 3 3 8" xfId="129" xr:uid="{00000000-0005-0000-0000-000016000000}"/>
    <cellStyle name="Separador de milhares 2 3 3 9" xfId="148" xr:uid="{00000000-0005-0000-0000-000016000000}"/>
    <cellStyle name="Separador de milhares 2 3 4" xfId="18" xr:uid="{00000000-0005-0000-0000-000018000000}"/>
    <cellStyle name="Separador de milhares 2 3 4 10" xfId="188" xr:uid="{00000000-0005-0000-0000-000018000000}"/>
    <cellStyle name="Separador de milhares 2 3 4 2" xfId="37" xr:uid="{00000000-0005-0000-0000-000017000000}"/>
    <cellStyle name="Separador de milhares 2 3 4 3" xfId="56" xr:uid="{00000000-0005-0000-0000-000018000000}"/>
    <cellStyle name="Separador de milhares 2 3 4 4" xfId="75" xr:uid="{00000000-0005-0000-0000-000018000000}"/>
    <cellStyle name="Separador de milhares 2 3 4 5" xfId="93" xr:uid="{00000000-0005-0000-0000-000018000000}"/>
    <cellStyle name="Separador de milhares 2 3 4 6" xfId="112" xr:uid="{00000000-0005-0000-0000-000018000000}"/>
    <cellStyle name="Separador de milhares 2 3 4 7" xfId="131" xr:uid="{00000000-0005-0000-0000-000018000000}"/>
    <cellStyle name="Separador de milhares 2 3 4 8" xfId="150" xr:uid="{00000000-0005-0000-0000-000018000000}"/>
    <cellStyle name="Separador de milhares 2 3 4 9" xfId="169" xr:uid="{00000000-0005-0000-0000-000018000000}"/>
    <cellStyle name="Separador de milhares 2 3 5" xfId="28" xr:uid="{00000000-0005-0000-0000-000012000000}"/>
    <cellStyle name="Separador de milhares 2 3 6" xfId="47" xr:uid="{00000000-0005-0000-0000-000013000000}"/>
    <cellStyle name="Separador de milhares 2 3 7" xfId="66" xr:uid="{00000000-0005-0000-0000-000013000000}"/>
    <cellStyle name="Separador de milhares 2 3 8" xfId="84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3" xfId="65" xr:uid="{00000000-0005-0000-0000-00006C000000}"/>
    <cellStyle name="Vírgula 4" xfId="102" xr:uid="{00000000-0005-0000-0000-000091000000}"/>
    <cellStyle name="Vírgula 5" xfId="121" xr:uid="{00000000-0005-0000-0000-0000A4000000}"/>
    <cellStyle name="Vírgula 6" xfId="140" xr:uid="{00000000-0005-0000-0000-0000B7000000}"/>
    <cellStyle name="Vírgula 7" xfId="159" xr:uid="{00000000-0005-0000-0000-0000CA000000}"/>
    <cellStyle name="Vírgula 8" xfId="178" xr:uid="{00000000-0005-0000-0000-0000DD000000}"/>
  </cellStyles>
  <dxfs count="3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fgColor auto="1"/>
          <bgColor rgb="FFFFFF00"/>
        </patternFill>
      </fill>
    </dxf>
  </dxfs>
  <tableStyles count="1" defaultTableStyle="TableStyleMedium9" defaultPivotStyle="PivotStyleLight16">
    <tableStyle name="Invisible" pivot="0" table="0" count="0" xr9:uid="{7C158098-7BBB-44A6-8142-2465498BD957}"/>
  </tableStyles>
  <colors>
    <mruColors>
      <color rgb="FF0000FF"/>
      <color rgb="FFCCFFFF"/>
      <color rgb="FF0066FF"/>
      <color rgb="FFFF7D7D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5"/>
  <sheetViews>
    <sheetView zoomScale="80" zoomScaleNormal="80" workbookViewId="0">
      <pane xSplit="20" topLeftCell="AA1" activePane="topRight" state="frozen"/>
      <selection pane="topRight" activeCell="M11" sqref="M11"/>
    </sheetView>
  </sheetViews>
  <sheetFormatPr defaultColWidth="9.7109375" defaultRowHeight="12.75" x14ac:dyDescent="0.2"/>
  <cols>
    <col min="1" max="1" width="4.28515625" style="24" customWidth="1"/>
    <col min="2" max="2" width="20.5703125" style="24" customWidth="1"/>
    <col min="3" max="3" width="6.28515625" style="24" customWidth="1"/>
    <col min="4" max="4" width="21.5703125" style="25" customWidth="1"/>
    <col min="5" max="5" width="13.85546875" style="24" customWidth="1"/>
    <col min="6" max="6" width="10.7109375" style="24" hidden="1" customWidth="1"/>
    <col min="7" max="7" width="10.85546875" style="24" hidden="1" customWidth="1"/>
    <col min="8" max="8" width="9.5703125" style="24" customWidth="1"/>
    <col min="9" max="9" width="12.28515625" style="24" customWidth="1"/>
    <col min="10" max="10" width="10.140625" style="26" customWidth="1"/>
    <col min="11" max="13" width="6.5703125" style="27" customWidth="1"/>
    <col min="14" max="14" width="9.5703125" style="27" customWidth="1"/>
    <col min="15" max="18" width="6.5703125" style="27" customWidth="1"/>
    <col min="19" max="19" width="6.5703125" style="28" customWidth="1"/>
    <col min="20" max="20" width="6.5703125" style="29" customWidth="1"/>
    <col min="21" max="21" width="13.7109375" style="30" customWidth="1"/>
    <col min="22" max="22" width="13.7109375" style="35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76" t="s">
        <v>119</v>
      </c>
      <c r="V1" s="284" t="s">
        <v>131</v>
      </c>
      <c r="W1" s="276" t="s">
        <v>156</v>
      </c>
      <c r="X1" s="276" t="s">
        <v>158</v>
      </c>
      <c r="Y1" s="276" t="s">
        <v>159</v>
      </c>
      <c r="Z1" s="276" t="s">
        <v>160</v>
      </c>
      <c r="AA1" s="276" t="s">
        <v>171</v>
      </c>
      <c r="AB1" s="276" t="s">
        <v>174</v>
      </c>
      <c r="AC1" s="283" t="s">
        <v>155</v>
      </c>
      <c r="AD1" s="283" t="s">
        <v>155</v>
      </c>
      <c r="AE1" s="283" t="s">
        <v>155</v>
      </c>
      <c r="AF1" s="283" t="s">
        <v>155</v>
      </c>
      <c r="AG1" s="283" t="s">
        <v>155</v>
      </c>
      <c r="AH1" s="283" t="s">
        <v>155</v>
      </c>
      <c r="AI1" s="283" t="s">
        <v>155</v>
      </c>
    </row>
    <row r="2" spans="1:35" ht="23.45" customHeight="1" x14ac:dyDescent="0.2">
      <c r="A2" s="270" t="s">
        <v>139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76"/>
      <c r="V2" s="284"/>
      <c r="W2" s="276"/>
      <c r="X2" s="276"/>
      <c r="Y2" s="276"/>
      <c r="Z2" s="276"/>
      <c r="AA2" s="276"/>
      <c r="AB2" s="276"/>
      <c r="AC2" s="283"/>
      <c r="AD2" s="283"/>
      <c r="AE2" s="283"/>
      <c r="AF2" s="283"/>
      <c r="AG2" s="283"/>
      <c r="AH2" s="283"/>
      <c r="AI2" s="283"/>
    </row>
    <row r="3" spans="1:35" s="22" customFormat="1" ht="34.5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123">
        <v>45841</v>
      </c>
      <c r="V3" s="123">
        <v>45859</v>
      </c>
      <c r="W3" s="123">
        <v>45880</v>
      </c>
      <c r="X3" s="123">
        <v>45882</v>
      </c>
      <c r="Y3" s="123">
        <v>45882</v>
      </c>
      <c r="Z3" s="123">
        <v>45898</v>
      </c>
      <c r="AA3" s="123">
        <v>45924</v>
      </c>
      <c r="AB3" s="123">
        <v>45943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3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0</v>
      </c>
      <c r="L4" s="36">
        <f t="shared" ref="L4" si="0">IF(SUM(U4:AL4)&gt;K4+N4,K4+N4,SUM(U4:AL4))</f>
        <v>5</v>
      </c>
      <c r="M4" s="36">
        <f>(SUM(U4:AL4))</f>
        <v>5</v>
      </c>
      <c r="N4" s="37">
        <v>5</v>
      </c>
      <c r="O4" s="38">
        <f>ROUND(IF(K4*0.25-0.5&lt;0,0,K4*0.25-0.5),0)-R4-P4</f>
        <v>0</v>
      </c>
      <c r="P4" s="37"/>
      <c r="Q4" s="37"/>
      <c r="R4" s="37"/>
      <c r="S4" s="39">
        <f t="shared" ref="S4:S35" si="1">K4+N4+P4+Q4-M4</f>
        <v>0</v>
      </c>
      <c r="T4" s="91" t="str">
        <f t="shared" ref="T4:T35" si="2">IF(S4&lt;0,"ATENÇÃO","OK")</f>
        <v>OK</v>
      </c>
      <c r="U4" s="185"/>
      <c r="V4" s="186">
        <v>5</v>
      </c>
      <c r="W4" s="187"/>
      <c r="X4" s="187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50</v>
      </c>
      <c r="L5" s="36">
        <f t="shared" ref="L5:L35" si="3">IF(SUM(U5:AL5)&gt;K5+N5,K5+N5,SUM(U5:AL5))</f>
        <v>5</v>
      </c>
      <c r="M5" s="36">
        <f t="shared" ref="M5:M35" si="4">(SUM(U5:AL5))</f>
        <v>5</v>
      </c>
      <c r="N5" s="37"/>
      <c r="O5" s="38">
        <f t="shared" ref="O5:O35" si="5">ROUND(IF(K5*0.25-0.5&lt;0,0,K5*0.25-0.5),0)-R5-P5</f>
        <v>12</v>
      </c>
      <c r="P5" s="37"/>
      <c r="Q5" s="37"/>
      <c r="R5" s="37"/>
      <c r="S5" s="39">
        <f t="shared" si="1"/>
        <v>45</v>
      </c>
      <c r="T5" s="91" t="str">
        <f t="shared" si="2"/>
        <v>OK</v>
      </c>
      <c r="U5" s="185"/>
      <c r="V5" s="186">
        <v>5</v>
      </c>
      <c r="W5" s="187"/>
      <c r="X5" s="187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50</v>
      </c>
      <c r="L6" s="36">
        <f t="shared" si="3"/>
        <v>5</v>
      </c>
      <c r="M6" s="36">
        <f t="shared" si="4"/>
        <v>5</v>
      </c>
      <c r="N6" s="37"/>
      <c r="O6" s="38">
        <f t="shared" si="5"/>
        <v>12</v>
      </c>
      <c r="P6" s="37"/>
      <c r="Q6" s="37"/>
      <c r="R6" s="37"/>
      <c r="S6" s="39">
        <f t="shared" si="1"/>
        <v>45</v>
      </c>
      <c r="T6" s="91" t="str">
        <f t="shared" si="2"/>
        <v>OK</v>
      </c>
      <c r="U6" s="185"/>
      <c r="V6" s="186">
        <v>5</v>
      </c>
      <c r="W6" s="187"/>
      <c r="X6" s="187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123</v>
      </c>
      <c r="I7" s="58" t="s">
        <v>4</v>
      </c>
      <c r="J7" s="61">
        <v>61.01</v>
      </c>
      <c r="K7" s="90">
        <v>50</v>
      </c>
      <c r="L7" s="36">
        <f t="shared" si="3"/>
        <v>21</v>
      </c>
      <c r="M7" s="36">
        <f t="shared" si="4"/>
        <v>21</v>
      </c>
      <c r="N7" s="37">
        <v>-5</v>
      </c>
      <c r="O7" s="38">
        <f t="shared" si="5"/>
        <v>12</v>
      </c>
      <c r="P7" s="37"/>
      <c r="Q7" s="37"/>
      <c r="R7" s="37"/>
      <c r="S7" s="39">
        <f t="shared" si="1"/>
        <v>24</v>
      </c>
      <c r="T7" s="91" t="str">
        <f t="shared" si="2"/>
        <v>OK</v>
      </c>
      <c r="U7" s="185"/>
      <c r="V7" s="186">
        <v>5</v>
      </c>
      <c r="W7" s="187"/>
      <c r="X7" s="187"/>
      <c r="Y7" s="186"/>
      <c r="Z7" s="186"/>
      <c r="AA7" s="186"/>
      <c r="AB7" s="186">
        <v>16</v>
      </c>
      <c r="AC7" s="186"/>
      <c r="AD7" s="186"/>
      <c r="AE7" s="186"/>
      <c r="AF7" s="186"/>
      <c r="AG7" s="186"/>
      <c r="AH7" s="186"/>
      <c r="AI7" s="186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50</v>
      </c>
      <c r="L8" s="36">
        <f t="shared" si="3"/>
        <v>5</v>
      </c>
      <c r="M8" s="36">
        <f t="shared" si="4"/>
        <v>5</v>
      </c>
      <c r="N8" s="37"/>
      <c r="O8" s="38">
        <f t="shared" si="5"/>
        <v>12</v>
      </c>
      <c r="P8" s="37"/>
      <c r="Q8" s="37"/>
      <c r="R8" s="37"/>
      <c r="S8" s="39">
        <f t="shared" si="1"/>
        <v>45</v>
      </c>
      <c r="T8" s="91" t="str">
        <f t="shared" si="2"/>
        <v>OK</v>
      </c>
      <c r="U8" s="185"/>
      <c r="V8" s="186">
        <v>5</v>
      </c>
      <c r="W8" s="187"/>
      <c r="X8" s="187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0</v>
      </c>
      <c r="L9" s="36">
        <f t="shared" si="3"/>
        <v>0</v>
      </c>
      <c r="M9" s="36">
        <f t="shared" si="4"/>
        <v>0</v>
      </c>
      <c r="N9" s="37"/>
      <c r="O9" s="38">
        <f t="shared" si="5"/>
        <v>0</v>
      </c>
      <c r="P9" s="37"/>
      <c r="Q9" s="37"/>
      <c r="R9" s="37"/>
      <c r="S9" s="39">
        <f t="shared" si="1"/>
        <v>0</v>
      </c>
      <c r="T9" s="91" t="str">
        <f t="shared" si="2"/>
        <v>OK</v>
      </c>
      <c r="U9" s="185"/>
      <c r="V9" s="186"/>
      <c r="W9" s="187"/>
      <c r="X9" s="187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0</v>
      </c>
      <c r="L10" s="36">
        <f t="shared" si="3"/>
        <v>0</v>
      </c>
      <c r="M10" s="36">
        <f t="shared" si="4"/>
        <v>0</v>
      </c>
      <c r="N10" s="37"/>
      <c r="O10" s="38">
        <f t="shared" si="5"/>
        <v>0</v>
      </c>
      <c r="P10" s="37"/>
      <c r="Q10" s="37"/>
      <c r="R10" s="37"/>
      <c r="S10" s="39">
        <f t="shared" si="1"/>
        <v>0</v>
      </c>
      <c r="T10" s="91" t="str">
        <f t="shared" si="2"/>
        <v>OK</v>
      </c>
      <c r="U10" s="185"/>
      <c r="V10" s="186"/>
      <c r="W10" s="187"/>
      <c r="X10" s="187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</row>
    <row r="11" spans="1:35" ht="36.950000000000003" customHeight="1" x14ac:dyDescent="0.25">
      <c r="A11" s="263">
        <v>3</v>
      </c>
      <c r="B11" s="263" t="s">
        <v>117</v>
      </c>
      <c r="C11" s="58">
        <v>8</v>
      </c>
      <c r="D11" s="268" t="s">
        <v>78</v>
      </c>
      <c r="E11" s="59" t="s">
        <v>39</v>
      </c>
      <c r="F11" s="66" t="s">
        <v>16</v>
      </c>
      <c r="G11" s="66" t="s">
        <v>17</v>
      </c>
      <c r="H11" s="58" t="s">
        <v>118</v>
      </c>
      <c r="I11" s="58" t="s">
        <v>4</v>
      </c>
      <c r="J11" s="61">
        <v>199.83</v>
      </c>
      <c r="K11" s="90">
        <v>15</v>
      </c>
      <c r="L11" s="36">
        <f t="shared" si="3"/>
        <v>4</v>
      </c>
      <c r="M11" s="36">
        <f t="shared" si="4"/>
        <v>4</v>
      </c>
      <c r="N11" s="37"/>
      <c r="O11" s="38">
        <f t="shared" si="5"/>
        <v>3</v>
      </c>
      <c r="P11" s="37"/>
      <c r="Q11" s="37"/>
      <c r="R11" s="37"/>
      <c r="S11" s="39">
        <f t="shared" si="1"/>
        <v>11</v>
      </c>
      <c r="T11" s="91" t="str">
        <f t="shared" si="2"/>
        <v>OK</v>
      </c>
      <c r="U11" s="188">
        <v>4</v>
      </c>
      <c r="V11" s="186"/>
      <c r="W11" s="187"/>
      <c r="X11" s="187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118</v>
      </c>
      <c r="I12" s="58" t="s">
        <v>4</v>
      </c>
      <c r="J12" s="61">
        <v>2456.9899999999998</v>
      </c>
      <c r="K12" s="90">
        <v>22</v>
      </c>
      <c r="L12" s="36">
        <f t="shared" si="3"/>
        <v>8</v>
      </c>
      <c r="M12" s="36">
        <f t="shared" si="4"/>
        <v>8</v>
      </c>
      <c r="N12" s="37"/>
      <c r="O12" s="38">
        <f t="shared" si="5"/>
        <v>5</v>
      </c>
      <c r="P12" s="37"/>
      <c r="Q12" s="37"/>
      <c r="R12" s="37"/>
      <c r="S12" s="39">
        <f t="shared" si="1"/>
        <v>14</v>
      </c>
      <c r="T12" s="91" t="str">
        <f t="shared" si="2"/>
        <v>OK</v>
      </c>
      <c r="U12" s="189">
        <v>8</v>
      </c>
      <c r="V12" s="186"/>
      <c r="W12" s="187"/>
      <c r="X12" s="187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</row>
    <row r="13" spans="1:35" ht="29.2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118</v>
      </c>
      <c r="I13" s="58" t="s">
        <v>4</v>
      </c>
      <c r="J13" s="61">
        <v>3000</v>
      </c>
      <c r="K13" s="90">
        <v>40</v>
      </c>
      <c r="L13" s="36">
        <f t="shared" si="3"/>
        <v>16</v>
      </c>
      <c r="M13" s="36">
        <f t="shared" si="4"/>
        <v>16</v>
      </c>
      <c r="N13" s="37"/>
      <c r="O13" s="38">
        <f t="shared" si="5"/>
        <v>10</v>
      </c>
      <c r="P13" s="37"/>
      <c r="Q13" s="37"/>
      <c r="R13" s="37"/>
      <c r="S13" s="39">
        <f t="shared" si="1"/>
        <v>24</v>
      </c>
      <c r="T13" s="91" t="str">
        <f t="shared" si="2"/>
        <v>OK</v>
      </c>
      <c r="U13" s="189">
        <v>16</v>
      </c>
      <c r="V13" s="186"/>
      <c r="W13" s="187"/>
      <c r="X13" s="187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118</v>
      </c>
      <c r="I14" s="62" t="s">
        <v>98</v>
      </c>
      <c r="J14" s="65">
        <v>29.86</v>
      </c>
      <c r="K14" s="90">
        <v>200</v>
      </c>
      <c r="L14" s="36">
        <f t="shared" si="3"/>
        <v>80</v>
      </c>
      <c r="M14" s="36">
        <f t="shared" si="4"/>
        <v>80</v>
      </c>
      <c r="N14" s="37"/>
      <c r="O14" s="38">
        <f t="shared" si="5"/>
        <v>50</v>
      </c>
      <c r="P14" s="37"/>
      <c r="Q14" s="37"/>
      <c r="R14" s="37"/>
      <c r="S14" s="39">
        <f t="shared" si="1"/>
        <v>120</v>
      </c>
      <c r="T14" s="91" t="str">
        <f t="shared" si="2"/>
        <v>OK</v>
      </c>
      <c r="U14" s="185"/>
      <c r="V14" s="186"/>
      <c r="W14" s="187">
        <v>80</v>
      </c>
      <c r="X14" s="187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118</v>
      </c>
      <c r="I15" s="62" t="s">
        <v>4</v>
      </c>
      <c r="J15" s="65">
        <v>17.93</v>
      </c>
      <c r="K15" s="90">
        <v>0</v>
      </c>
      <c r="L15" s="36">
        <f t="shared" si="3"/>
        <v>0</v>
      </c>
      <c r="M15" s="36">
        <f t="shared" si="4"/>
        <v>0</v>
      </c>
      <c r="N15" s="37"/>
      <c r="O15" s="38">
        <f t="shared" si="5"/>
        <v>0</v>
      </c>
      <c r="P15" s="37"/>
      <c r="Q15" s="37"/>
      <c r="R15" s="37"/>
      <c r="S15" s="39">
        <f t="shared" si="1"/>
        <v>0</v>
      </c>
      <c r="T15" s="91" t="str">
        <f t="shared" si="2"/>
        <v>OK</v>
      </c>
      <c r="U15" s="185"/>
      <c r="V15" s="186"/>
      <c r="W15" s="187"/>
      <c r="X15" s="187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200</v>
      </c>
      <c r="L16" s="36">
        <f t="shared" si="3"/>
        <v>0</v>
      </c>
      <c r="M16" s="36">
        <f t="shared" si="4"/>
        <v>0</v>
      </c>
      <c r="N16" s="37"/>
      <c r="O16" s="38">
        <f t="shared" si="5"/>
        <v>50</v>
      </c>
      <c r="P16" s="37"/>
      <c r="Q16" s="37"/>
      <c r="R16" s="37"/>
      <c r="S16" s="39">
        <f t="shared" si="1"/>
        <v>200</v>
      </c>
      <c r="T16" s="91" t="str">
        <f t="shared" si="2"/>
        <v>OK</v>
      </c>
      <c r="U16" s="185"/>
      <c r="V16" s="186"/>
      <c r="W16" s="187"/>
      <c r="X16" s="187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300</v>
      </c>
      <c r="L17" s="36">
        <f t="shared" si="3"/>
        <v>0</v>
      </c>
      <c r="M17" s="36">
        <f t="shared" si="4"/>
        <v>0</v>
      </c>
      <c r="N17" s="37"/>
      <c r="O17" s="38">
        <f t="shared" si="5"/>
        <v>75</v>
      </c>
      <c r="P17" s="37"/>
      <c r="Q17" s="37"/>
      <c r="R17" s="37"/>
      <c r="S17" s="39">
        <f t="shared" si="1"/>
        <v>300</v>
      </c>
      <c r="T17" s="91" t="str">
        <f t="shared" si="2"/>
        <v>OK</v>
      </c>
      <c r="U17" s="185"/>
      <c r="V17" s="186"/>
      <c r="W17" s="187"/>
      <c r="X17" s="187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100</v>
      </c>
      <c r="L18" s="36">
        <f t="shared" si="3"/>
        <v>0</v>
      </c>
      <c r="M18" s="36">
        <f t="shared" si="4"/>
        <v>0</v>
      </c>
      <c r="N18" s="37"/>
      <c r="O18" s="38">
        <f t="shared" si="5"/>
        <v>25</v>
      </c>
      <c r="P18" s="37"/>
      <c r="Q18" s="37"/>
      <c r="R18" s="37"/>
      <c r="S18" s="39">
        <f t="shared" si="1"/>
        <v>100</v>
      </c>
      <c r="T18" s="91" t="str">
        <f t="shared" si="2"/>
        <v>OK</v>
      </c>
      <c r="U18" s="185"/>
      <c r="V18" s="186"/>
      <c r="W18" s="187"/>
      <c r="X18" s="190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200</v>
      </c>
      <c r="L19" s="36">
        <f t="shared" si="3"/>
        <v>0</v>
      </c>
      <c r="M19" s="36">
        <f t="shared" si="4"/>
        <v>0</v>
      </c>
      <c r="N19" s="37"/>
      <c r="O19" s="38">
        <f t="shared" si="5"/>
        <v>50</v>
      </c>
      <c r="P19" s="37"/>
      <c r="Q19" s="37"/>
      <c r="R19" s="37"/>
      <c r="S19" s="39">
        <f t="shared" si="1"/>
        <v>200</v>
      </c>
      <c r="T19" s="91" t="str">
        <f t="shared" si="2"/>
        <v>OK</v>
      </c>
      <c r="U19" s="185"/>
      <c r="V19" s="186"/>
      <c r="W19" s="187"/>
      <c r="X19" s="187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100</v>
      </c>
      <c r="L20" s="36">
        <f t="shared" si="3"/>
        <v>0</v>
      </c>
      <c r="M20" s="36">
        <f t="shared" si="4"/>
        <v>0</v>
      </c>
      <c r="N20" s="37"/>
      <c r="O20" s="38">
        <f t="shared" si="5"/>
        <v>25</v>
      </c>
      <c r="P20" s="37"/>
      <c r="Q20" s="37"/>
      <c r="R20" s="37"/>
      <c r="S20" s="39">
        <f t="shared" si="1"/>
        <v>100</v>
      </c>
      <c r="T20" s="91" t="str">
        <f t="shared" si="2"/>
        <v>OK</v>
      </c>
      <c r="U20" s="185"/>
      <c r="V20" s="186"/>
      <c r="W20" s="187"/>
      <c r="X20" s="187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0</v>
      </c>
      <c r="L21" s="36">
        <f t="shared" si="3"/>
        <v>0</v>
      </c>
      <c r="M21" s="36">
        <f t="shared" si="4"/>
        <v>0</v>
      </c>
      <c r="N21" s="37"/>
      <c r="O21" s="38">
        <f t="shared" si="5"/>
        <v>0</v>
      </c>
      <c r="P21" s="37"/>
      <c r="Q21" s="37"/>
      <c r="R21" s="37"/>
      <c r="S21" s="39">
        <f t="shared" si="1"/>
        <v>0</v>
      </c>
      <c r="T21" s="91" t="str">
        <f t="shared" si="2"/>
        <v>OK</v>
      </c>
      <c r="U21" s="185"/>
      <c r="V21" s="186"/>
      <c r="W21" s="187"/>
      <c r="X21" s="187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10000</v>
      </c>
      <c r="L22" s="36">
        <f t="shared" si="3"/>
        <v>0</v>
      </c>
      <c r="M22" s="36">
        <f t="shared" si="4"/>
        <v>0</v>
      </c>
      <c r="N22" s="37"/>
      <c r="O22" s="38">
        <f t="shared" si="5"/>
        <v>2500</v>
      </c>
      <c r="P22" s="37"/>
      <c r="Q22" s="37"/>
      <c r="R22" s="37"/>
      <c r="S22" s="39">
        <f t="shared" si="1"/>
        <v>10000</v>
      </c>
      <c r="T22" s="91" t="str">
        <f t="shared" si="2"/>
        <v>OK</v>
      </c>
      <c r="U22" s="185"/>
      <c r="V22" s="186"/>
      <c r="W22" s="187"/>
      <c r="X22" s="187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</row>
    <row r="23" spans="1:35" ht="42" customHeight="1" x14ac:dyDescent="0.25">
      <c r="A23" s="285">
        <v>11</v>
      </c>
      <c r="B23" s="287" t="s">
        <v>85</v>
      </c>
      <c r="C23" s="58">
        <v>20</v>
      </c>
      <c r="D23" s="294" t="s">
        <v>25</v>
      </c>
      <c r="E23" s="221" t="s">
        <v>19</v>
      </c>
      <c r="F23" s="69" t="s">
        <v>16</v>
      </c>
      <c r="G23" s="69" t="s">
        <v>17</v>
      </c>
      <c r="H23" s="58" t="s">
        <v>123</v>
      </c>
      <c r="I23" s="70" t="s">
        <v>100</v>
      </c>
      <c r="J23" s="61">
        <v>21.18</v>
      </c>
      <c r="K23" s="90">
        <v>2000</v>
      </c>
      <c r="L23" s="36">
        <f t="shared" si="3"/>
        <v>0</v>
      </c>
      <c r="M23" s="36">
        <f t="shared" si="4"/>
        <v>0</v>
      </c>
      <c r="N23" s="37"/>
      <c r="O23" s="38">
        <f t="shared" si="5"/>
        <v>500</v>
      </c>
      <c r="P23" s="37"/>
      <c r="Q23" s="37"/>
      <c r="R23" s="37"/>
      <c r="S23" s="39">
        <f t="shared" si="1"/>
        <v>2000</v>
      </c>
      <c r="T23" s="91" t="str">
        <f t="shared" si="2"/>
        <v>OK</v>
      </c>
      <c r="U23" s="185"/>
      <c r="V23" s="186"/>
      <c r="W23" s="187"/>
      <c r="X23" s="187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</row>
    <row r="24" spans="1:35" ht="25.15" customHeight="1" x14ac:dyDescent="0.25">
      <c r="A24" s="286"/>
      <c r="B24" s="288"/>
      <c r="C24" s="58">
        <v>21</v>
      </c>
      <c r="D24" s="269"/>
      <c r="E24" s="224" t="s">
        <v>20</v>
      </c>
      <c r="F24" s="69" t="s">
        <v>16</v>
      </c>
      <c r="G24" s="69" t="s">
        <v>17</v>
      </c>
      <c r="H24" s="58" t="s">
        <v>123</v>
      </c>
      <c r="I24" s="70" t="s">
        <v>100</v>
      </c>
      <c r="J24" s="61">
        <v>5.59</v>
      </c>
      <c r="K24" s="90">
        <v>12000</v>
      </c>
      <c r="L24" s="36">
        <f t="shared" si="3"/>
        <v>2100</v>
      </c>
      <c r="M24" s="36">
        <f t="shared" si="4"/>
        <v>2100</v>
      </c>
      <c r="N24" s="37"/>
      <c r="O24" s="38">
        <f t="shared" si="5"/>
        <v>3000</v>
      </c>
      <c r="P24" s="37"/>
      <c r="Q24" s="37"/>
      <c r="R24" s="37"/>
      <c r="S24" s="39">
        <f t="shared" si="1"/>
        <v>9900</v>
      </c>
      <c r="T24" s="91" t="str">
        <f t="shared" si="2"/>
        <v>OK</v>
      </c>
      <c r="U24" s="185"/>
      <c r="V24" s="186"/>
      <c r="W24" s="187"/>
      <c r="X24" s="187">
        <v>2100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</row>
    <row r="25" spans="1:35" ht="26.25" customHeight="1" x14ac:dyDescent="0.25">
      <c r="A25" s="289">
        <v>12</v>
      </c>
      <c r="B25" s="291" t="s">
        <v>86</v>
      </c>
      <c r="C25" s="225">
        <v>22</v>
      </c>
      <c r="D25" s="292" t="s">
        <v>26</v>
      </c>
      <c r="E25" s="226" t="s">
        <v>19</v>
      </c>
      <c r="F25" s="227" t="s">
        <v>16</v>
      </c>
      <c r="G25" s="227" t="s">
        <v>17</v>
      </c>
      <c r="H25" s="225" t="s">
        <v>123</v>
      </c>
      <c r="I25" s="228" t="s">
        <v>100</v>
      </c>
      <c r="J25" s="229">
        <v>3.4</v>
      </c>
      <c r="K25" s="90">
        <v>2000</v>
      </c>
      <c r="L25" s="36">
        <f t="shared" si="3"/>
        <v>0</v>
      </c>
      <c r="M25" s="36">
        <f t="shared" si="4"/>
        <v>0</v>
      </c>
      <c r="N25" s="37"/>
      <c r="O25" s="38">
        <f t="shared" si="5"/>
        <v>500</v>
      </c>
      <c r="P25" s="37"/>
      <c r="Q25" s="37"/>
      <c r="R25" s="37"/>
      <c r="S25" s="39">
        <f t="shared" si="1"/>
        <v>2000</v>
      </c>
      <c r="T25" s="91" t="str">
        <f t="shared" si="2"/>
        <v>OK</v>
      </c>
      <c r="U25" s="185"/>
      <c r="V25" s="186"/>
      <c r="W25" s="187"/>
      <c r="X25" s="187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</row>
    <row r="26" spans="1:35" ht="24.4" customHeight="1" x14ac:dyDescent="0.25">
      <c r="A26" s="290"/>
      <c r="B26" s="290"/>
      <c r="C26" s="225">
        <v>23</v>
      </c>
      <c r="D26" s="293"/>
      <c r="E26" s="230" t="s">
        <v>20</v>
      </c>
      <c r="F26" s="227" t="s">
        <v>16</v>
      </c>
      <c r="G26" s="227" t="s">
        <v>17</v>
      </c>
      <c r="H26" s="225" t="s">
        <v>123</v>
      </c>
      <c r="I26" s="228" t="s">
        <v>100</v>
      </c>
      <c r="J26" s="229">
        <v>1.8</v>
      </c>
      <c r="K26" s="90">
        <v>12000</v>
      </c>
      <c r="L26" s="36">
        <f t="shared" si="3"/>
        <v>2370</v>
      </c>
      <c r="M26" s="36">
        <f t="shared" si="4"/>
        <v>2370</v>
      </c>
      <c r="N26" s="37"/>
      <c r="O26" s="38">
        <f t="shared" si="5"/>
        <v>3000</v>
      </c>
      <c r="P26" s="37"/>
      <c r="Q26" s="37"/>
      <c r="R26" s="37"/>
      <c r="S26" s="39">
        <f t="shared" si="1"/>
        <v>9630</v>
      </c>
      <c r="T26" s="91" t="str">
        <f t="shared" si="2"/>
        <v>OK</v>
      </c>
      <c r="U26" s="185"/>
      <c r="V26" s="186"/>
      <c r="W26" s="187"/>
      <c r="X26" s="187"/>
      <c r="Y26" s="186">
        <v>2000</v>
      </c>
      <c r="Z26" s="186"/>
      <c r="AA26" s="186">
        <v>370</v>
      </c>
      <c r="AB26" s="186"/>
      <c r="AC26" s="186"/>
      <c r="AD26" s="186"/>
      <c r="AE26" s="186"/>
      <c r="AF26" s="186"/>
      <c r="AG26" s="186"/>
      <c r="AH26" s="186"/>
      <c r="AI26" s="186"/>
    </row>
    <row r="27" spans="1:35" ht="27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211" t="s">
        <v>21</v>
      </c>
      <c r="F27" s="69" t="s">
        <v>16</v>
      </c>
      <c r="G27" s="66" t="s">
        <v>17</v>
      </c>
      <c r="H27" s="58" t="s">
        <v>123</v>
      </c>
      <c r="I27" s="80" t="s">
        <v>101</v>
      </c>
      <c r="J27" s="61">
        <v>0.33</v>
      </c>
      <c r="K27" s="90">
        <v>5000</v>
      </c>
      <c r="L27" s="36">
        <f t="shared" si="3"/>
        <v>0</v>
      </c>
      <c r="M27" s="36">
        <f t="shared" si="4"/>
        <v>0</v>
      </c>
      <c r="N27" s="37"/>
      <c r="O27" s="38">
        <f t="shared" si="5"/>
        <v>1250</v>
      </c>
      <c r="P27" s="37"/>
      <c r="Q27" s="37"/>
      <c r="R27" s="37"/>
      <c r="S27" s="39">
        <f t="shared" si="1"/>
        <v>5000</v>
      </c>
      <c r="T27" s="91" t="str">
        <f t="shared" si="2"/>
        <v>OK</v>
      </c>
      <c r="U27" s="185"/>
      <c r="V27" s="186"/>
      <c r="W27" s="187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</row>
    <row r="28" spans="1:35" ht="30.2" customHeight="1" x14ac:dyDescent="0.25">
      <c r="A28" s="296"/>
      <c r="B28" s="296"/>
      <c r="C28" s="58">
        <v>25</v>
      </c>
      <c r="D28" s="274"/>
      <c r="E28" s="224" t="s">
        <v>22</v>
      </c>
      <c r="F28" s="69" t="s">
        <v>16</v>
      </c>
      <c r="G28" s="69" t="s">
        <v>17</v>
      </c>
      <c r="H28" s="58" t="s">
        <v>123</v>
      </c>
      <c r="I28" s="80" t="s">
        <v>101</v>
      </c>
      <c r="J28" s="61">
        <v>0.19</v>
      </c>
      <c r="K28" s="90">
        <v>40000</v>
      </c>
      <c r="L28" s="36">
        <f t="shared" si="3"/>
        <v>61510</v>
      </c>
      <c r="M28" s="36">
        <f t="shared" si="4"/>
        <v>61510</v>
      </c>
      <c r="N28" s="37">
        <v>55000</v>
      </c>
      <c r="O28" s="38">
        <f t="shared" si="5"/>
        <v>10000</v>
      </c>
      <c r="P28" s="37"/>
      <c r="Q28" s="37"/>
      <c r="R28" s="37"/>
      <c r="S28" s="39">
        <f t="shared" si="1"/>
        <v>33490</v>
      </c>
      <c r="T28" s="91" t="str">
        <f t="shared" si="2"/>
        <v>OK</v>
      </c>
      <c r="U28" s="185"/>
      <c r="V28" s="186"/>
      <c r="W28" s="187"/>
      <c r="X28" s="187"/>
      <c r="Y28" s="186">
        <v>60500</v>
      </c>
      <c r="Z28" s="186"/>
      <c r="AA28" s="186">
        <v>1010</v>
      </c>
      <c r="AB28" s="186"/>
      <c r="AC28" s="186"/>
      <c r="AD28" s="186"/>
      <c r="AE28" s="186"/>
      <c r="AF28" s="186"/>
      <c r="AG28" s="186"/>
      <c r="AH28" s="186"/>
      <c r="AI28" s="186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98" t="s">
        <v>88</v>
      </c>
      <c r="E29" s="63" t="s">
        <v>21</v>
      </c>
      <c r="F29" s="73" t="s">
        <v>16</v>
      </c>
      <c r="G29" s="73" t="s">
        <v>17</v>
      </c>
      <c r="H29" s="62" t="s">
        <v>123</v>
      </c>
      <c r="I29" s="82" t="s">
        <v>24</v>
      </c>
      <c r="J29" s="65">
        <v>0.3</v>
      </c>
      <c r="K29" s="90">
        <v>10000</v>
      </c>
      <c r="L29" s="36">
        <f t="shared" si="3"/>
        <v>0</v>
      </c>
      <c r="M29" s="36">
        <f t="shared" si="4"/>
        <v>0</v>
      </c>
      <c r="N29" s="37"/>
      <c r="O29" s="38">
        <f t="shared" si="5"/>
        <v>2500</v>
      </c>
      <c r="P29" s="37"/>
      <c r="Q29" s="37"/>
      <c r="R29" s="37"/>
      <c r="S29" s="39">
        <f t="shared" si="1"/>
        <v>10000</v>
      </c>
      <c r="T29" s="91" t="str">
        <f t="shared" si="2"/>
        <v>OK</v>
      </c>
      <c r="U29" s="185"/>
      <c r="V29" s="186"/>
      <c r="W29" s="187"/>
      <c r="X29" s="187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</row>
    <row r="30" spans="1:35" ht="33.950000000000003" customHeight="1" x14ac:dyDescent="0.25">
      <c r="A30" s="290"/>
      <c r="B30" s="290"/>
      <c r="C30" s="62">
        <v>27</v>
      </c>
      <c r="D30" s="275"/>
      <c r="E30" s="198" t="s">
        <v>22</v>
      </c>
      <c r="F30" s="73" t="s">
        <v>16</v>
      </c>
      <c r="G30" s="73" t="s">
        <v>17</v>
      </c>
      <c r="H30" s="62" t="s">
        <v>123</v>
      </c>
      <c r="I30" s="82" t="s">
        <v>24</v>
      </c>
      <c r="J30" s="65">
        <v>0.25</v>
      </c>
      <c r="K30" s="90">
        <v>20000</v>
      </c>
      <c r="L30" s="36">
        <f t="shared" si="3"/>
        <v>20000</v>
      </c>
      <c r="M30" s="36">
        <f t="shared" si="4"/>
        <v>20000</v>
      </c>
      <c r="N30" s="37"/>
      <c r="O30" s="38">
        <f t="shared" si="5"/>
        <v>5000</v>
      </c>
      <c r="P30" s="37"/>
      <c r="Q30" s="37"/>
      <c r="R30" s="37"/>
      <c r="S30" s="39">
        <f t="shared" si="1"/>
        <v>0</v>
      </c>
      <c r="T30" s="91" t="str">
        <f t="shared" si="2"/>
        <v>OK</v>
      </c>
      <c r="U30" s="185"/>
      <c r="V30" s="186"/>
      <c r="W30" s="187"/>
      <c r="X30" s="187"/>
      <c r="Y30" s="186"/>
      <c r="Z30" s="186">
        <v>20000</v>
      </c>
      <c r="AA30" s="186"/>
      <c r="AB30" s="186"/>
      <c r="AC30" s="186"/>
      <c r="AD30" s="186"/>
      <c r="AE30" s="186"/>
      <c r="AF30" s="186"/>
      <c r="AG30" s="186"/>
      <c r="AH30" s="186"/>
      <c r="AI30" s="186"/>
    </row>
    <row r="31" spans="1:35" ht="27" customHeight="1" x14ac:dyDescent="0.25">
      <c r="A31" s="285">
        <v>15</v>
      </c>
      <c r="B31" s="299" t="s">
        <v>85</v>
      </c>
      <c r="C31" s="58">
        <v>28</v>
      </c>
      <c r="D31" s="294" t="s">
        <v>89</v>
      </c>
      <c r="E31" s="221" t="s">
        <v>21</v>
      </c>
      <c r="F31" s="69" t="s">
        <v>16</v>
      </c>
      <c r="G31" s="69" t="s">
        <v>17</v>
      </c>
      <c r="H31" s="58" t="s">
        <v>123</v>
      </c>
      <c r="I31" s="80" t="s">
        <v>24</v>
      </c>
      <c r="J31" s="61">
        <v>1.3</v>
      </c>
      <c r="K31" s="90">
        <v>10000</v>
      </c>
      <c r="L31" s="36">
        <f t="shared" si="3"/>
        <v>0</v>
      </c>
      <c r="M31" s="36">
        <f t="shared" si="4"/>
        <v>0</v>
      </c>
      <c r="N31" s="37"/>
      <c r="O31" s="38">
        <f t="shared" si="5"/>
        <v>2500</v>
      </c>
      <c r="P31" s="37"/>
      <c r="Q31" s="37"/>
      <c r="R31" s="37"/>
      <c r="S31" s="39">
        <f t="shared" si="1"/>
        <v>10000</v>
      </c>
      <c r="T31" s="91" t="str">
        <f t="shared" si="2"/>
        <v>OK</v>
      </c>
      <c r="U31" s="185"/>
      <c r="V31" s="186"/>
      <c r="W31" s="187"/>
      <c r="X31" s="187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</row>
    <row r="32" spans="1:35" ht="27" customHeight="1" x14ac:dyDescent="0.25">
      <c r="A32" s="286"/>
      <c r="B32" s="286"/>
      <c r="C32" s="58">
        <v>29</v>
      </c>
      <c r="D32" s="269"/>
      <c r="E32" s="224" t="s">
        <v>22</v>
      </c>
      <c r="F32" s="69"/>
      <c r="G32" s="69"/>
      <c r="H32" s="58" t="s">
        <v>123</v>
      </c>
      <c r="I32" s="80" t="s">
        <v>24</v>
      </c>
      <c r="J32" s="61">
        <v>0.3</v>
      </c>
      <c r="K32" s="90">
        <v>20000</v>
      </c>
      <c r="L32" s="36">
        <f t="shared" ref="L32" si="6">IF(SUM(U32:AL32)&gt;K32+N32,K32+N32,SUM(U32:AL32))</f>
        <v>10000</v>
      </c>
      <c r="M32" s="36">
        <f t="shared" ref="M32" si="7">(SUM(U32:AL32))</f>
        <v>10000</v>
      </c>
      <c r="N32" s="37"/>
      <c r="O32" s="38">
        <f t="shared" ref="O32" si="8">ROUND(IF(K32*0.25-0.5&lt;0,0,K32*0.25-0.5),0)-R32-P32</f>
        <v>5000</v>
      </c>
      <c r="P32" s="37"/>
      <c r="Q32" s="37"/>
      <c r="R32" s="37"/>
      <c r="S32" s="39">
        <f t="shared" ref="S32" si="9">K32+N32+P32+Q32-M32</f>
        <v>10000</v>
      </c>
      <c r="T32" s="91" t="str">
        <f t="shared" ref="T32" si="10">IF(S32&lt;0,"ATENÇÃO","OK")</f>
        <v>OK</v>
      </c>
      <c r="U32" s="185"/>
      <c r="V32" s="186"/>
      <c r="W32" s="187"/>
      <c r="X32" s="187">
        <v>10000</v>
      </c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3"/>
        <v>0</v>
      </c>
      <c r="M33" s="36">
        <f t="shared" si="4"/>
        <v>0</v>
      </c>
      <c r="N33" s="37"/>
      <c r="O33" s="38">
        <f t="shared" si="5"/>
        <v>0</v>
      </c>
      <c r="P33" s="37"/>
      <c r="Q33" s="37"/>
      <c r="R33" s="37"/>
      <c r="S33" s="39">
        <f t="shared" si="1"/>
        <v>0</v>
      </c>
      <c r="T33" s="91" t="str">
        <f t="shared" si="2"/>
        <v>OK</v>
      </c>
      <c r="U33" s="185"/>
      <c r="V33" s="186"/>
      <c r="W33" s="187"/>
      <c r="X33" s="187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>
        <v>2000</v>
      </c>
      <c r="L34" s="36">
        <f t="shared" si="3"/>
        <v>0</v>
      </c>
      <c r="M34" s="36">
        <f t="shared" si="4"/>
        <v>0</v>
      </c>
      <c r="N34" s="37"/>
      <c r="O34" s="38">
        <f t="shared" si="5"/>
        <v>500</v>
      </c>
      <c r="P34" s="37"/>
      <c r="Q34" s="37"/>
      <c r="R34" s="37"/>
      <c r="S34" s="39">
        <f t="shared" si="1"/>
        <v>2000</v>
      </c>
      <c r="T34" s="91" t="str">
        <f t="shared" si="2"/>
        <v>OK</v>
      </c>
      <c r="U34" s="185"/>
      <c r="V34" s="186"/>
      <c r="W34" s="187"/>
      <c r="X34" s="187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>
        <v>5000</v>
      </c>
      <c r="L35" s="36">
        <f t="shared" si="3"/>
        <v>0</v>
      </c>
      <c r="M35" s="36">
        <f t="shared" si="4"/>
        <v>0</v>
      </c>
      <c r="N35" s="37"/>
      <c r="O35" s="38">
        <f t="shared" si="5"/>
        <v>1250</v>
      </c>
      <c r="P35" s="37"/>
      <c r="Q35" s="37"/>
      <c r="R35" s="37"/>
      <c r="S35" s="39">
        <f t="shared" si="1"/>
        <v>5000</v>
      </c>
      <c r="T35" s="91" t="str">
        <f t="shared" si="2"/>
        <v>OK</v>
      </c>
      <c r="U35" s="185"/>
      <c r="V35" s="186"/>
      <c r="W35" s="187"/>
      <c r="X35" s="187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</row>
    <row r="36" spans="1:35" x14ac:dyDescent="0.2">
      <c r="K36" s="27">
        <f>SUM(K4:K35)</f>
        <v>151377</v>
      </c>
      <c r="S36" s="27">
        <f t="shared" ref="S36" si="11">SUM(S4:S35)</f>
        <v>110248</v>
      </c>
      <c r="U36" s="124">
        <f>SUMPRODUCT($J$4:$J$35,U4:U35)</f>
        <v>68455.239999999991</v>
      </c>
      <c r="V36" s="136">
        <f t="shared" ref="V36" si="12">SUMPRODUCT($J$4:$J$35,V4:V35)</f>
        <v>883.40000000000009</v>
      </c>
      <c r="W36" s="124">
        <f>SUMPRODUCT($J$4:$J$35,W4:W35)</f>
        <v>2388.8000000000002</v>
      </c>
      <c r="X36" s="124">
        <f t="shared" ref="X36:AI36" si="13">SUMPRODUCT($J$4:$J$35,X4:X35)</f>
        <v>14739</v>
      </c>
      <c r="Y36" s="197">
        <f t="shared" si="13"/>
        <v>15095</v>
      </c>
      <c r="Z36" s="124">
        <f t="shared" si="13"/>
        <v>5000</v>
      </c>
      <c r="AA36" s="124">
        <f t="shared" si="13"/>
        <v>857.9</v>
      </c>
      <c r="AB36" s="124">
        <f t="shared" si="13"/>
        <v>976.16</v>
      </c>
      <c r="AC36" s="124">
        <f t="shared" si="13"/>
        <v>0</v>
      </c>
      <c r="AD36" s="124">
        <f t="shared" si="13"/>
        <v>0</v>
      </c>
      <c r="AE36" s="124">
        <f t="shared" si="13"/>
        <v>0</v>
      </c>
      <c r="AF36" s="124">
        <f t="shared" si="13"/>
        <v>0</v>
      </c>
      <c r="AG36" s="124">
        <f t="shared" si="13"/>
        <v>0</v>
      </c>
      <c r="AH36" s="124">
        <f t="shared" si="13"/>
        <v>0</v>
      </c>
      <c r="AI36" s="124">
        <f t="shared" si="13"/>
        <v>0</v>
      </c>
    </row>
    <row r="39" spans="1:35" x14ac:dyDescent="0.2">
      <c r="V39" s="141"/>
      <c r="AA39" s="231"/>
    </row>
    <row r="40" spans="1:35" x14ac:dyDescent="0.2">
      <c r="V40" s="141"/>
      <c r="AA40" s="231"/>
    </row>
    <row r="41" spans="1:35" x14ac:dyDescent="0.2">
      <c r="V41" s="141"/>
    </row>
    <row r="42" spans="1:35" x14ac:dyDescent="0.2">
      <c r="V42" s="141"/>
    </row>
    <row r="43" spans="1:35" x14ac:dyDescent="0.2">
      <c r="V43" s="141"/>
    </row>
    <row r="44" spans="1:35" x14ac:dyDescent="0.2">
      <c r="V44" s="141"/>
    </row>
    <row r="45" spans="1:35" x14ac:dyDescent="0.2">
      <c r="V45" s="141"/>
    </row>
  </sheetData>
  <autoFilter ref="A3:AL36" xr:uid="{00000000-0001-0000-0200-000000000000}"/>
  <mergeCells count="53">
    <mergeCell ref="A34:A35"/>
    <mergeCell ref="B34:B35"/>
    <mergeCell ref="D34:D35"/>
    <mergeCell ref="A31:A32"/>
    <mergeCell ref="B31:B32"/>
    <mergeCell ref="D31:D32"/>
    <mergeCell ref="A27:A28"/>
    <mergeCell ref="B27:B28"/>
    <mergeCell ref="D27:D28"/>
    <mergeCell ref="A29:A30"/>
    <mergeCell ref="B29:B30"/>
    <mergeCell ref="D29:D30"/>
    <mergeCell ref="A23:A24"/>
    <mergeCell ref="B23:B24"/>
    <mergeCell ref="A25:A26"/>
    <mergeCell ref="B25:B26"/>
    <mergeCell ref="D25:D26"/>
    <mergeCell ref="D23:D24"/>
    <mergeCell ref="A19:A20"/>
    <mergeCell ref="B19:B20"/>
    <mergeCell ref="D19:D20"/>
    <mergeCell ref="D14:D15"/>
    <mergeCell ref="A14:A15"/>
    <mergeCell ref="AH1:AH2"/>
    <mergeCell ref="AI1:AI2"/>
    <mergeCell ref="X1:X2"/>
    <mergeCell ref="V1:V2"/>
    <mergeCell ref="Z1:Z2"/>
    <mergeCell ref="Y1:Y2"/>
    <mergeCell ref="AG1:AG2"/>
    <mergeCell ref="AE1:AE2"/>
    <mergeCell ref="AF1:AF2"/>
    <mergeCell ref="AA1:AA2"/>
    <mergeCell ref="AB1:AB2"/>
    <mergeCell ref="AC1:AC2"/>
    <mergeCell ref="AD1:AD2"/>
    <mergeCell ref="A1:C1"/>
    <mergeCell ref="W1:W2"/>
    <mergeCell ref="K1:T1"/>
    <mergeCell ref="U1:U2"/>
    <mergeCell ref="D1:J1"/>
    <mergeCell ref="K2:T2"/>
    <mergeCell ref="B11:B13"/>
    <mergeCell ref="B14:B15"/>
    <mergeCell ref="D11:D13"/>
    <mergeCell ref="A11:A13"/>
    <mergeCell ref="A2:J2"/>
    <mergeCell ref="B4:B8"/>
    <mergeCell ref="A4:A8"/>
    <mergeCell ref="D4:D8"/>
    <mergeCell ref="A9:A10"/>
    <mergeCell ref="B9:B10"/>
    <mergeCell ref="D9:D10"/>
  </mergeCells>
  <conditionalFormatting sqref="U4:U35 W4:AI35">
    <cfRule type="cellIs" dxfId="38" priority="4" operator="greaterThan">
      <formula>0</formula>
    </cfRule>
  </conditionalFormatting>
  <conditionalFormatting sqref="V4:V32">
    <cfRule type="cellIs" dxfId="37" priority="3" operator="greaterThan">
      <formula>0</formula>
    </cfRule>
  </conditionalFormatting>
  <conditionalFormatting sqref="V4:V35">
    <cfRule type="cellIs" dxfId="36" priority="2" operator="greaterThan">
      <formula>0</formula>
    </cfRule>
  </conditionalFormatting>
  <conditionalFormatting sqref="U4:AI35">
    <cfRule type="cellIs" dxfId="3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72D7-2020-4212-BE52-96F1BAF91830}">
  <dimension ref="A1:AI36"/>
  <sheetViews>
    <sheetView zoomScale="60" zoomScaleNormal="60" workbookViewId="0">
      <selection activeCell="S43" sqref="S43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3.7109375" style="24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8.42578125" style="27" customWidth="1"/>
    <col min="19" max="19" width="8.42578125" style="28" customWidth="1"/>
    <col min="20" max="20" width="8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179</v>
      </c>
      <c r="V1" s="315" t="s">
        <v>180</v>
      </c>
      <c r="W1" s="315" t="s">
        <v>181</v>
      </c>
      <c r="X1" s="315" t="s">
        <v>182</v>
      </c>
      <c r="Y1" s="315" t="s">
        <v>183</v>
      </c>
      <c r="Z1" s="315" t="s">
        <v>184</v>
      </c>
      <c r="AA1" s="315" t="s">
        <v>185</v>
      </c>
      <c r="AB1" s="315" t="s">
        <v>186</v>
      </c>
      <c r="AC1" s="315" t="s">
        <v>187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150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316"/>
      <c r="Y2" s="316"/>
      <c r="Z2" s="316"/>
      <c r="AA2" s="316"/>
      <c r="AB2" s="316"/>
      <c r="AC2" s="316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45821</v>
      </c>
      <c r="V3" s="234">
        <v>45847</v>
      </c>
      <c r="W3" s="234">
        <v>45874</v>
      </c>
      <c r="X3" s="234">
        <v>45887</v>
      </c>
      <c r="Y3" s="234">
        <v>45889</v>
      </c>
      <c r="Z3" s="234">
        <v>45890</v>
      </c>
      <c r="AA3" s="234">
        <v>45896</v>
      </c>
      <c r="AB3" s="234">
        <v>45947</v>
      </c>
      <c r="AC3" s="234">
        <v>45965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20</v>
      </c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5</v>
      </c>
      <c r="P4" s="37"/>
      <c r="Q4" s="37"/>
      <c r="R4" s="37"/>
      <c r="S4" s="39">
        <f t="shared" ref="S4:S35" si="2">K4+N4+P4+Q4-M4</f>
        <v>20</v>
      </c>
      <c r="T4" s="91" t="str">
        <f t="shared" ref="T4:T36" si="3">IF(S4&lt;0,"ATENÇÃO","OK")</f>
        <v>OK</v>
      </c>
      <c r="U4" s="236"/>
      <c r="V4" s="236"/>
      <c r="W4" s="236"/>
      <c r="X4" s="236"/>
      <c r="Y4" s="244"/>
      <c r="Z4" s="244"/>
      <c r="AA4" s="244"/>
      <c r="AB4" s="244"/>
      <c r="AC4" s="244"/>
      <c r="AD4" s="98"/>
      <c r="AE4" s="98"/>
      <c r="AF4" s="98"/>
      <c r="AG4" s="98"/>
      <c r="AH4" s="98"/>
      <c r="AI4" s="98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70</v>
      </c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17</v>
      </c>
      <c r="P5" s="37"/>
      <c r="Q5" s="37"/>
      <c r="R5" s="37"/>
      <c r="S5" s="39">
        <f t="shared" si="2"/>
        <v>70</v>
      </c>
      <c r="T5" s="91" t="str">
        <f t="shared" si="3"/>
        <v>OK</v>
      </c>
      <c r="U5" s="236"/>
      <c r="V5" s="236"/>
      <c r="W5" s="236"/>
      <c r="X5" s="236"/>
      <c r="Y5" s="244"/>
      <c r="Z5" s="244"/>
      <c r="AA5" s="244"/>
      <c r="AB5" s="244"/>
      <c r="AC5" s="244"/>
      <c r="AD5" s="98"/>
      <c r="AE5" s="98"/>
      <c r="AF5" s="98"/>
      <c r="AG5" s="98"/>
      <c r="AH5" s="98"/>
      <c r="AI5" s="98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0</v>
      </c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36"/>
      <c r="V6" s="236"/>
      <c r="W6" s="236"/>
      <c r="X6" s="236"/>
      <c r="Y6" s="244"/>
      <c r="Z6" s="244"/>
      <c r="AA6" s="244"/>
      <c r="AB6" s="244"/>
      <c r="AC6" s="244"/>
      <c r="AD6" s="98"/>
      <c r="AE6" s="98"/>
      <c r="AF6" s="98"/>
      <c r="AG6" s="98"/>
      <c r="AH6" s="98"/>
      <c r="AI6" s="98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0</v>
      </c>
      <c r="L7" s="36">
        <f t="shared" si="4"/>
        <v>0</v>
      </c>
      <c r="M7" s="36">
        <f t="shared" si="5"/>
        <v>0</v>
      </c>
      <c r="N7" s="37"/>
      <c r="O7" s="38">
        <f t="shared" si="6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36"/>
      <c r="V7" s="236"/>
      <c r="W7" s="236"/>
      <c r="X7" s="236"/>
      <c r="Y7" s="244"/>
      <c r="Z7" s="244"/>
      <c r="AA7" s="244"/>
      <c r="AB7" s="244"/>
      <c r="AC7" s="244"/>
      <c r="AD7" s="98"/>
      <c r="AE7" s="98"/>
      <c r="AF7" s="98"/>
      <c r="AG7" s="98"/>
      <c r="AH7" s="98"/>
      <c r="AI7" s="98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70</v>
      </c>
      <c r="L8" s="36">
        <f t="shared" si="4"/>
        <v>35</v>
      </c>
      <c r="M8" s="36">
        <f t="shared" si="5"/>
        <v>35</v>
      </c>
      <c r="N8" s="37"/>
      <c r="O8" s="38">
        <f t="shared" si="6"/>
        <v>17</v>
      </c>
      <c r="P8" s="37"/>
      <c r="Q8" s="37"/>
      <c r="R8" s="37"/>
      <c r="S8" s="39">
        <f t="shared" si="2"/>
        <v>35</v>
      </c>
      <c r="T8" s="91" t="str">
        <f t="shared" si="3"/>
        <v>OK</v>
      </c>
      <c r="U8" s="236"/>
      <c r="V8" s="236"/>
      <c r="W8" s="236"/>
      <c r="X8" s="242">
        <v>35</v>
      </c>
      <c r="Y8" s="244"/>
      <c r="Z8" s="244"/>
      <c r="AA8" s="244"/>
      <c r="AB8" s="244"/>
      <c r="AC8" s="244"/>
      <c r="AD8" s="98"/>
      <c r="AE8" s="98"/>
      <c r="AF8" s="98"/>
      <c r="AG8" s="98"/>
      <c r="AH8" s="98"/>
      <c r="AI8" s="98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20</v>
      </c>
      <c r="L9" s="36">
        <f t="shared" si="4"/>
        <v>20</v>
      </c>
      <c r="M9" s="36">
        <f t="shared" si="5"/>
        <v>20</v>
      </c>
      <c r="N9" s="37"/>
      <c r="O9" s="38">
        <f t="shared" si="6"/>
        <v>5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6"/>
      <c r="V9" s="236"/>
      <c r="W9" s="236"/>
      <c r="X9" s="236"/>
      <c r="Y9" s="244"/>
      <c r="Z9" s="244"/>
      <c r="AA9" s="242">
        <v>20</v>
      </c>
      <c r="AB9" s="244"/>
      <c r="AC9" s="244"/>
      <c r="AD9" s="98"/>
      <c r="AE9" s="98"/>
      <c r="AF9" s="98"/>
      <c r="AG9" s="98"/>
      <c r="AH9" s="98"/>
      <c r="AI9" s="98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120</v>
      </c>
      <c r="L10" s="36">
        <f t="shared" si="4"/>
        <v>120</v>
      </c>
      <c r="M10" s="36">
        <f t="shared" si="5"/>
        <v>120</v>
      </c>
      <c r="N10" s="37"/>
      <c r="O10" s="38">
        <f t="shared" si="6"/>
        <v>30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36"/>
      <c r="V10" s="242">
        <v>85</v>
      </c>
      <c r="W10" s="242">
        <v>8</v>
      </c>
      <c r="X10" s="236"/>
      <c r="Y10" s="244"/>
      <c r="Z10" s="244"/>
      <c r="AA10" s="242">
        <v>27</v>
      </c>
      <c r="AB10" s="244"/>
      <c r="AC10" s="244"/>
      <c r="AD10" s="98"/>
      <c r="AE10" s="98"/>
      <c r="AF10" s="98"/>
      <c r="AG10" s="98"/>
      <c r="AH10" s="98"/>
      <c r="AI10" s="98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1</v>
      </c>
      <c r="L11" s="36">
        <f t="shared" si="4"/>
        <v>1</v>
      </c>
      <c r="M11" s="36">
        <f t="shared" si="5"/>
        <v>1</v>
      </c>
      <c r="N11" s="37"/>
      <c r="O11" s="38">
        <f t="shared" si="6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237"/>
      <c r="V11" s="236"/>
      <c r="W11" s="236"/>
      <c r="X11" s="236"/>
      <c r="Y11" s="244"/>
      <c r="Z11" s="244"/>
      <c r="AA11" s="244"/>
      <c r="AB11" s="242">
        <v>1</v>
      </c>
      <c r="AC11" s="244"/>
      <c r="AD11" s="98"/>
      <c r="AE11" s="98"/>
      <c r="AF11" s="98"/>
      <c r="AG11" s="98"/>
      <c r="AH11" s="98"/>
      <c r="AI11" s="98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0</v>
      </c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36"/>
      <c r="V12" s="236"/>
      <c r="W12" s="236"/>
      <c r="X12" s="236"/>
      <c r="Y12" s="244"/>
      <c r="Z12" s="244"/>
      <c r="AA12" s="244"/>
      <c r="AB12" s="244"/>
      <c r="AC12" s="244"/>
      <c r="AD12" s="98"/>
      <c r="AE12" s="98"/>
      <c r="AF12" s="98"/>
      <c r="AG12" s="98"/>
      <c r="AH12" s="98"/>
      <c r="AI12" s="98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0</v>
      </c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36"/>
      <c r="V13" s="236"/>
      <c r="W13" s="236"/>
      <c r="X13" s="236"/>
      <c r="Y13" s="244"/>
      <c r="Z13" s="244"/>
      <c r="AA13" s="244"/>
      <c r="AB13" s="244"/>
      <c r="AC13" s="244"/>
      <c r="AD13" s="98"/>
      <c r="AE13" s="98"/>
      <c r="AF13" s="98"/>
      <c r="AG13" s="98"/>
      <c r="AH13" s="98"/>
      <c r="AI13" s="98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50</v>
      </c>
      <c r="L14" s="36">
        <f t="shared" si="4"/>
        <v>0</v>
      </c>
      <c r="M14" s="36">
        <f t="shared" si="5"/>
        <v>0</v>
      </c>
      <c r="N14" s="37"/>
      <c r="O14" s="38">
        <f t="shared" si="6"/>
        <v>12</v>
      </c>
      <c r="P14" s="37"/>
      <c r="Q14" s="37"/>
      <c r="R14" s="37"/>
      <c r="S14" s="39">
        <f t="shared" si="2"/>
        <v>50</v>
      </c>
      <c r="T14" s="91" t="str">
        <f t="shared" si="3"/>
        <v>OK</v>
      </c>
      <c r="U14" s="236"/>
      <c r="V14" s="236"/>
      <c r="W14" s="236"/>
      <c r="X14" s="236"/>
      <c r="Y14" s="244"/>
      <c r="Z14" s="244"/>
      <c r="AA14" s="244"/>
      <c r="AB14" s="244"/>
      <c r="AC14" s="244"/>
      <c r="AD14" s="98"/>
      <c r="AE14" s="98"/>
      <c r="AF14" s="98"/>
      <c r="AG14" s="98"/>
      <c r="AH14" s="98"/>
      <c r="AI14" s="98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0</v>
      </c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6"/>
      <c r="V15" s="236"/>
      <c r="W15" s="236"/>
      <c r="X15" s="236"/>
      <c r="Y15" s="244"/>
      <c r="Z15" s="244"/>
      <c r="AA15" s="244"/>
      <c r="AB15" s="244"/>
      <c r="AC15" s="244"/>
      <c r="AD15" s="98"/>
      <c r="AE15" s="98"/>
      <c r="AF15" s="98"/>
      <c r="AG15" s="98"/>
      <c r="AH15" s="98"/>
      <c r="AI15" s="98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50</v>
      </c>
      <c r="L16" s="36">
        <f t="shared" si="4"/>
        <v>9</v>
      </c>
      <c r="M16" s="36">
        <f t="shared" si="5"/>
        <v>9</v>
      </c>
      <c r="N16" s="37"/>
      <c r="O16" s="38">
        <f t="shared" si="6"/>
        <v>12</v>
      </c>
      <c r="P16" s="37"/>
      <c r="Q16" s="37"/>
      <c r="R16" s="37"/>
      <c r="S16" s="39">
        <f t="shared" si="2"/>
        <v>41</v>
      </c>
      <c r="T16" s="91" t="str">
        <f t="shared" si="3"/>
        <v>OK</v>
      </c>
      <c r="U16" s="236"/>
      <c r="V16" s="236"/>
      <c r="W16" s="236"/>
      <c r="X16" s="236"/>
      <c r="Y16" s="244"/>
      <c r="Z16" s="244"/>
      <c r="AA16" s="244"/>
      <c r="AB16" s="242">
        <v>9</v>
      </c>
      <c r="AC16" s="244"/>
      <c r="AD16" s="98"/>
      <c r="AE16" s="98"/>
      <c r="AF16" s="98"/>
      <c r="AG16" s="98"/>
      <c r="AH16" s="98"/>
      <c r="AI16" s="98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80</v>
      </c>
      <c r="L17" s="36">
        <f t="shared" si="4"/>
        <v>165</v>
      </c>
      <c r="M17" s="36">
        <f t="shared" si="5"/>
        <v>165</v>
      </c>
      <c r="N17" s="37">
        <v>100</v>
      </c>
      <c r="O17" s="38">
        <f t="shared" si="6"/>
        <v>20</v>
      </c>
      <c r="P17" s="37"/>
      <c r="Q17" s="37"/>
      <c r="R17" s="37"/>
      <c r="S17" s="39">
        <f t="shared" si="2"/>
        <v>15</v>
      </c>
      <c r="T17" s="91" t="str">
        <f t="shared" si="3"/>
        <v>OK</v>
      </c>
      <c r="U17" s="236"/>
      <c r="V17" s="236"/>
      <c r="W17" s="236"/>
      <c r="X17" s="236"/>
      <c r="Y17" s="244"/>
      <c r="Z17" s="242">
        <v>45</v>
      </c>
      <c r="AA17" s="244"/>
      <c r="AB17" s="244"/>
      <c r="AC17" s="242">
        <v>120</v>
      </c>
      <c r="AD17" s="98"/>
      <c r="AE17" s="98"/>
      <c r="AF17" s="98"/>
      <c r="AG17" s="98"/>
      <c r="AH17" s="98"/>
      <c r="AI17" s="98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30</v>
      </c>
      <c r="L18" s="36">
        <f t="shared" si="4"/>
        <v>0</v>
      </c>
      <c r="M18" s="36">
        <f t="shared" si="5"/>
        <v>0</v>
      </c>
      <c r="N18" s="37"/>
      <c r="O18" s="38">
        <f t="shared" si="6"/>
        <v>7</v>
      </c>
      <c r="P18" s="37"/>
      <c r="Q18" s="37"/>
      <c r="R18" s="37"/>
      <c r="S18" s="39">
        <f t="shared" si="2"/>
        <v>30</v>
      </c>
      <c r="T18" s="91" t="str">
        <f t="shared" si="3"/>
        <v>OK</v>
      </c>
      <c r="U18" s="236"/>
      <c r="V18" s="236"/>
      <c r="W18" s="236"/>
      <c r="X18" s="237"/>
      <c r="Y18" s="244"/>
      <c r="Z18" s="244"/>
      <c r="AA18" s="244"/>
      <c r="AB18" s="244"/>
      <c r="AC18" s="244"/>
      <c r="AD18" s="98"/>
      <c r="AE18" s="98"/>
      <c r="AF18" s="98"/>
      <c r="AG18" s="98"/>
      <c r="AH18" s="98"/>
      <c r="AI18" s="98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20</v>
      </c>
      <c r="L19" s="36">
        <f t="shared" si="4"/>
        <v>0</v>
      </c>
      <c r="M19" s="36">
        <f t="shared" si="5"/>
        <v>0</v>
      </c>
      <c r="N19" s="37"/>
      <c r="O19" s="38">
        <f t="shared" si="6"/>
        <v>5</v>
      </c>
      <c r="P19" s="37"/>
      <c r="Q19" s="37"/>
      <c r="R19" s="37"/>
      <c r="S19" s="39">
        <f t="shared" si="2"/>
        <v>20</v>
      </c>
      <c r="T19" s="91" t="str">
        <f t="shared" si="3"/>
        <v>OK</v>
      </c>
      <c r="U19" s="236"/>
      <c r="V19" s="236"/>
      <c r="W19" s="236"/>
      <c r="X19" s="236"/>
      <c r="Y19" s="244"/>
      <c r="Z19" s="244"/>
      <c r="AA19" s="244"/>
      <c r="AB19" s="244"/>
      <c r="AC19" s="244"/>
      <c r="AD19" s="98"/>
      <c r="AE19" s="98"/>
      <c r="AF19" s="98"/>
      <c r="AG19" s="98"/>
      <c r="AH19" s="98"/>
      <c r="AI19" s="98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20</v>
      </c>
      <c r="L20" s="36">
        <f t="shared" si="4"/>
        <v>0</v>
      </c>
      <c r="M20" s="36">
        <f t="shared" si="5"/>
        <v>0</v>
      </c>
      <c r="N20" s="37"/>
      <c r="O20" s="38">
        <f t="shared" si="6"/>
        <v>5</v>
      </c>
      <c r="P20" s="37"/>
      <c r="Q20" s="37"/>
      <c r="R20" s="37"/>
      <c r="S20" s="39">
        <f t="shared" si="2"/>
        <v>20</v>
      </c>
      <c r="T20" s="91" t="str">
        <f t="shared" si="3"/>
        <v>OK</v>
      </c>
      <c r="U20" s="236"/>
      <c r="V20" s="236"/>
      <c r="W20" s="236"/>
      <c r="X20" s="236"/>
      <c r="Y20" s="244"/>
      <c r="Z20" s="244"/>
      <c r="AA20" s="244"/>
      <c r="AB20" s="244"/>
      <c r="AC20" s="244"/>
      <c r="AD20" s="98"/>
      <c r="AE20" s="98"/>
      <c r="AF20" s="98"/>
      <c r="AG20" s="98"/>
      <c r="AH20" s="98"/>
      <c r="AI20" s="98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10</v>
      </c>
      <c r="L21" s="36">
        <f t="shared" si="4"/>
        <v>0</v>
      </c>
      <c r="M21" s="36">
        <f t="shared" si="5"/>
        <v>0</v>
      </c>
      <c r="N21" s="37"/>
      <c r="O21" s="38">
        <f t="shared" si="6"/>
        <v>2</v>
      </c>
      <c r="P21" s="37"/>
      <c r="Q21" s="37"/>
      <c r="R21" s="37"/>
      <c r="S21" s="39">
        <f t="shared" si="2"/>
        <v>10</v>
      </c>
      <c r="T21" s="91" t="str">
        <f t="shared" si="3"/>
        <v>OK</v>
      </c>
      <c r="U21" s="236"/>
      <c r="V21" s="236"/>
      <c r="W21" s="236"/>
      <c r="X21" s="236"/>
      <c r="Y21" s="244"/>
      <c r="Z21" s="244"/>
      <c r="AA21" s="244"/>
      <c r="AB21" s="244"/>
      <c r="AC21" s="244"/>
      <c r="AD21" s="98"/>
      <c r="AE21" s="98"/>
      <c r="AF21" s="98"/>
      <c r="AG21" s="98"/>
      <c r="AH21" s="98"/>
      <c r="AI21" s="98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1000</v>
      </c>
      <c r="L22" s="36">
        <f t="shared" si="4"/>
        <v>0</v>
      </c>
      <c r="M22" s="36">
        <f t="shared" si="5"/>
        <v>0</v>
      </c>
      <c r="N22" s="37"/>
      <c r="O22" s="38">
        <f t="shared" si="6"/>
        <v>250</v>
      </c>
      <c r="P22" s="37"/>
      <c r="Q22" s="37"/>
      <c r="R22" s="37"/>
      <c r="S22" s="39">
        <f t="shared" si="2"/>
        <v>1000</v>
      </c>
      <c r="T22" s="91" t="str">
        <f t="shared" si="3"/>
        <v>OK</v>
      </c>
      <c r="U22" s="236"/>
      <c r="V22" s="236"/>
      <c r="W22" s="236"/>
      <c r="X22" s="236"/>
      <c r="Y22" s="244"/>
      <c r="Z22" s="244"/>
      <c r="AA22" s="244"/>
      <c r="AB22" s="244"/>
      <c r="AC22" s="244"/>
      <c r="AD22" s="98"/>
      <c r="AE22" s="98"/>
      <c r="AF22" s="98"/>
      <c r="AG22" s="98"/>
      <c r="AH22" s="98"/>
      <c r="AI22" s="98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100</v>
      </c>
      <c r="L23" s="36">
        <f t="shared" si="4"/>
        <v>0</v>
      </c>
      <c r="M23" s="36">
        <f t="shared" si="5"/>
        <v>0</v>
      </c>
      <c r="N23" s="37"/>
      <c r="O23" s="38">
        <f t="shared" si="6"/>
        <v>25</v>
      </c>
      <c r="P23" s="37"/>
      <c r="Q23" s="37"/>
      <c r="R23" s="37"/>
      <c r="S23" s="39">
        <f t="shared" si="2"/>
        <v>100</v>
      </c>
      <c r="T23" s="91" t="str">
        <f t="shared" si="3"/>
        <v>OK</v>
      </c>
      <c r="U23" s="236"/>
      <c r="V23" s="236"/>
      <c r="W23" s="236"/>
      <c r="X23" s="236"/>
      <c r="Y23" s="244"/>
      <c r="Z23" s="244"/>
      <c r="AA23" s="244"/>
      <c r="AB23" s="244"/>
      <c r="AC23" s="244"/>
      <c r="AD23" s="98"/>
      <c r="AE23" s="98"/>
      <c r="AF23" s="98"/>
      <c r="AG23" s="98"/>
      <c r="AH23" s="98"/>
      <c r="AI23" s="98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0</v>
      </c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6"/>
      <c r="V24" s="236"/>
      <c r="W24" s="236"/>
      <c r="X24" s="236"/>
      <c r="Y24" s="244"/>
      <c r="Z24" s="244"/>
      <c r="AA24" s="244"/>
      <c r="AB24" s="244"/>
      <c r="AC24" s="244"/>
      <c r="AD24" s="98"/>
      <c r="AE24" s="98"/>
      <c r="AF24" s="98"/>
      <c r="AG24" s="98"/>
      <c r="AH24" s="98"/>
      <c r="AI24" s="98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200</v>
      </c>
      <c r="L25" s="36">
        <f t="shared" si="4"/>
        <v>0</v>
      </c>
      <c r="M25" s="36">
        <f t="shared" si="5"/>
        <v>0</v>
      </c>
      <c r="N25" s="37"/>
      <c r="O25" s="38">
        <f t="shared" si="6"/>
        <v>50</v>
      </c>
      <c r="P25" s="37"/>
      <c r="Q25" s="37"/>
      <c r="R25" s="37"/>
      <c r="S25" s="39">
        <f t="shared" si="2"/>
        <v>200</v>
      </c>
      <c r="T25" s="91" t="str">
        <f t="shared" si="3"/>
        <v>OK</v>
      </c>
      <c r="U25" s="236"/>
      <c r="V25" s="236"/>
      <c r="W25" s="236"/>
      <c r="X25" s="236"/>
      <c r="Y25" s="244"/>
      <c r="Z25" s="244"/>
      <c r="AA25" s="244"/>
      <c r="AB25" s="244"/>
      <c r="AC25" s="244"/>
      <c r="AD25" s="98"/>
      <c r="AE25" s="98"/>
      <c r="AF25" s="98"/>
      <c r="AG25" s="98"/>
      <c r="AH25" s="98"/>
      <c r="AI25" s="98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0</v>
      </c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36"/>
      <c r="V26" s="236"/>
      <c r="W26" s="236"/>
      <c r="X26" s="236"/>
      <c r="Y26" s="244"/>
      <c r="Z26" s="244"/>
      <c r="AA26" s="244"/>
      <c r="AB26" s="244"/>
      <c r="AC26" s="244"/>
      <c r="AD26" s="98"/>
      <c r="AE26" s="98"/>
      <c r="AF26" s="98"/>
      <c r="AG26" s="98"/>
      <c r="AH26" s="98"/>
      <c r="AI26" s="98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3000</v>
      </c>
      <c r="L27" s="36">
        <f t="shared" si="4"/>
        <v>0</v>
      </c>
      <c r="M27" s="36">
        <f t="shared" si="5"/>
        <v>0</v>
      </c>
      <c r="N27" s="37"/>
      <c r="O27" s="38">
        <f t="shared" si="6"/>
        <v>750</v>
      </c>
      <c r="P27" s="37"/>
      <c r="Q27" s="37"/>
      <c r="R27" s="37"/>
      <c r="S27" s="39">
        <f t="shared" si="2"/>
        <v>3000</v>
      </c>
      <c r="T27" s="91" t="str">
        <f t="shared" si="3"/>
        <v>OK</v>
      </c>
      <c r="U27" s="236"/>
      <c r="V27" s="236"/>
      <c r="W27" s="236"/>
      <c r="X27" s="236"/>
      <c r="Y27" s="244"/>
      <c r="Z27" s="244"/>
      <c r="AA27" s="244"/>
      <c r="AB27" s="244"/>
      <c r="AC27" s="244"/>
      <c r="AD27" s="98"/>
      <c r="AE27" s="98"/>
      <c r="AF27" s="98"/>
      <c r="AG27" s="98"/>
      <c r="AH27" s="98"/>
      <c r="AI27" s="98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3500</v>
      </c>
      <c r="L28" s="36">
        <f t="shared" si="4"/>
        <v>0</v>
      </c>
      <c r="M28" s="36">
        <f t="shared" si="5"/>
        <v>0</v>
      </c>
      <c r="N28" s="37"/>
      <c r="O28" s="38">
        <f t="shared" si="6"/>
        <v>875</v>
      </c>
      <c r="P28" s="37"/>
      <c r="Q28" s="37"/>
      <c r="R28" s="37"/>
      <c r="S28" s="39">
        <f t="shared" si="2"/>
        <v>3500</v>
      </c>
      <c r="T28" s="91" t="str">
        <f t="shared" si="3"/>
        <v>OK</v>
      </c>
      <c r="U28" s="236"/>
      <c r="V28" s="236"/>
      <c r="W28" s="236"/>
      <c r="X28" s="236"/>
      <c r="Y28" s="244"/>
      <c r="Z28" s="244"/>
      <c r="AA28" s="244"/>
      <c r="AB28" s="244"/>
      <c r="AC28" s="244"/>
      <c r="AD28" s="98"/>
      <c r="AE28" s="98"/>
      <c r="AF28" s="98"/>
      <c r="AG28" s="98"/>
      <c r="AH28" s="98"/>
      <c r="AI28" s="98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2000</v>
      </c>
      <c r="L29" s="36">
        <f t="shared" si="4"/>
        <v>0</v>
      </c>
      <c r="M29" s="36">
        <f t="shared" si="5"/>
        <v>0</v>
      </c>
      <c r="N29" s="37">
        <v>-800</v>
      </c>
      <c r="O29" s="38">
        <f t="shared" si="6"/>
        <v>500</v>
      </c>
      <c r="P29" s="37"/>
      <c r="Q29" s="37"/>
      <c r="R29" s="37"/>
      <c r="S29" s="39">
        <f t="shared" si="2"/>
        <v>1200</v>
      </c>
      <c r="T29" s="91" t="str">
        <f t="shared" si="3"/>
        <v>OK</v>
      </c>
      <c r="U29" s="236"/>
      <c r="V29" s="236"/>
      <c r="W29" s="236"/>
      <c r="X29" s="236"/>
      <c r="Y29" s="244"/>
      <c r="Z29" s="244"/>
      <c r="AA29" s="244"/>
      <c r="AB29" s="244"/>
      <c r="AC29" s="244"/>
      <c r="AD29" s="98"/>
      <c r="AE29" s="98"/>
      <c r="AF29" s="98"/>
      <c r="AG29" s="98"/>
      <c r="AH29" s="98"/>
      <c r="AI29" s="98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3500</v>
      </c>
      <c r="L30" s="36">
        <f t="shared" si="4"/>
        <v>0</v>
      </c>
      <c r="M30" s="36">
        <f t="shared" si="5"/>
        <v>0</v>
      </c>
      <c r="N30" s="37"/>
      <c r="O30" s="38">
        <f t="shared" si="6"/>
        <v>875</v>
      </c>
      <c r="P30" s="37"/>
      <c r="Q30" s="37"/>
      <c r="R30" s="37"/>
      <c r="S30" s="39">
        <f t="shared" si="2"/>
        <v>3500</v>
      </c>
      <c r="T30" s="91" t="str">
        <f t="shared" si="3"/>
        <v>OK</v>
      </c>
      <c r="U30" s="236"/>
      <c r="V30" s="236"/>
      <c r="W30" s="236"/>
      <c r="X30" s="236"/>
      <c r="Y30" s="244"/>
      <c r="Z30" s="244"/>
      <c r="AA30" s="244"/>
      <c r="AB30" s="244"/>
      <c r="AC30" s="244"/>
      <c r="AD30" s="98"/>
      <c r="AE30" s="98"/>
      <c r="AF30" s="98"/>
      <c r="AG30" s="98"/>
      <c r="AH30" s="98"/>
      <c r="AI30" s="98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3900</v>
      </c>
      <c r="L31" s="36">
        <f t="shared" si="4"/>
        <v>1000</v>
      </c>
      <c r="M31" s="36">
        <f t="shared" si="5"/>
        <v>1000</v>
      </c>
      <c r="N31" s="37"/>
      <c r="O31" s="38">
        <f t="shared" si="6"/>
        <v>975</v>
      </c>
      <c r="P31" s="37"/>
      <c r="Q31" s="37"/>
      <c r="R31" s="37"/>
      <c r="S31" s="39">
        <f t="shared" si="2"/>
        <v>2900</v>
      </c>
      <c r="T31" s="91" t="str">
        <f t="shared" si="3"/>
        <v>OK</v>
      </c>
      <c r="U31" s="236"/>
      <c r="V31" s="236"/>
      <c r="W31" s="236"/>
      <c r="X31" s="236"/>
      <c r="Y31" s="242">
        <v>1000</v>
      </c>
      <c r="Z31" s="244"/>
      <c r="AA31" s="244"/>
      <c r="AB31" s="244"/>
      <c r="AC31" s="244"/>
      <c r="AD31" s="98"/>
      <c r="AE31" s="98"/>
      <c r="AF31" s="98"/>
      <c r="AG31" s="98"/>
      <c r="AH31" s="98"/>
      <c r="AI31" s="98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2200</v>
      </c>
      <c r="L32" s="36">
        <f t="shared" ref="L32" si="7">IF(SUM(U32:AL32)&gt;K32+N32,K32+N32,SUM(U32:AL32))</f>
        <v>2200</v>
      </c>
      <c r="M32" s="36">
        <f t="shared" ref="M32" si="8">(SUM(U32:AL32))</f>
        <v>2200</v>
      </c>
      <c r="N32" s="37"/>
      <c r="O32" s="38">
        <f t="shared" si="6"/>
        <v>550</v>
      </c>
      <c r="P32" s="37"/>
      <c r="Q32" s="37"/>
      <c r="R32" s="37"/>
      <c r="S32" s="39">
        <f t="shared" ref="S32" si="9">K32+N32+P32+Q32-M32</f>
        <v>0</v>
      </c>
      <c r="T32" s="91" t="str">
        <f t="shared" ref="T32" si="10">IF(S32&lt;0,"ATENÇÃO","OK")</f>
        <v>OK</v>
      </c>
      <c r="U32" s="242">
        <v>2200</v>
      </c>
      <c r="V32" s="236"/>
      <c r="W32" s="236"/>
      <c r="X32" s="236"/>
      <c r="Y32" s="244"/>
      <c r="Z32" s="244"/>
      <c r="AA32" s="244"/>
      <c r="AB32" s="244"/>
      <c r="AC32" s="244"/>
      <c r="AD32" s="98"/>
      <c r="AE32" s="98"/>
      <c r="AF32" s="98"/>
      <c r="AG32" s="98"/>
      <c r="AH32" s="98"/>
      <c r="AI32" s="98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6"/>
      <c r="V33" s="236"/>
      <c r="W33" s="236"/>
      <c r="X33" s="236"/>
      <c r="Y33" s="244"/>
      <c r="Z33" s="244"/>
      <c r="AA33" s="244"/>
      <c r="AB33" s="244"/>
      <c r="AC33" s="244"/>
      <c r="AD33" s="98"/>
      <c r="AE33" s="98"/>
      <c r="AF33" s="98"/>
      <c r="AG33" s="98"/>
      <c r="AH33" s="98"/>
      <c r="AI33" s="98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6"/>
      <c r="V34" s="236"/>
      <c r="W34" s="236"/>
      <c r="X34" s="236"/>
      <c r="Y34" s="244"/>
      <c r="Z34" s="244"/>
      <c r="AA34" s="244"/>
      <c r="AB34" s="244"/>
      <c r="AC34" s="244"/>
      <c r="AD34" s="98"/>
      <c r="AE34" s="98"/>
      <c r="AF34" s="98"/>
      <c r="AG34" s="98"/>
      <c r="AH34" s="98"/>
      <c r="AI34" s="98"/>
    </row>
    <row r="35" spans="1:35" ht="32.25" customHeight="1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6"/>
      <c r="V35" s="236"/>
      <c r="W35" s="236"/>
      <c r="X35" s="236"/>
      <c r="Y35" s="244"/>
      <c r="Z35" s="244"/>
      <c r="AA35" s="244"/>
      <c r="AB35" s="244"/>
      <c r="AC35" s="244"/>
      <c r="AD35" s="98"/>
      <c r="AE35" s="98"/>
      <c r="AF35" s="98"/>
      <c r="AG35" s="98"/>
      <c r="AH35" s="98"/>
      <c r="AI35" s="98"/>
    </row>
    <row r="36" spans="1:35" x14ac:dyDescent="0.2">
      <c r="K36" s="27">
        <f>SUM(K4:K35)</f>
        <v>19961</v>
      </c>
      <c r="S36" s="28">
        <f>SUM(S4:S35)</f>
        <v>15711</v>
      </c>
      <c r="T36" s="29" t="str">
        <f t="shared" si="3"/>
        <v>OK</v>
      </c>
      <c r="U36" s="239">
        <f>SUMPRODUCT($J$4:$J$35,U4:U35)</f>
        <v>660</v>
      </c>
      <c r="V36" s="239">
        <f t="shared" ref="V36:AI36" si="11">SUMPRODUCT($J$4:$J$35,V4:V35)</f>
        <v>4233.8500000000004</v>
      </c>
      <c r="W36" s="239">
        <f t="shared" si="11"/>
        <v>398.48</v>
      </c>
      <c r="X36" s="239">
        <f t="shared" si="11"/>
        <v>918.75</v>
      </c>
      <c r="Y36" s="239">
        <f t="shared" si="11"/>
        <v>1300</v>
      </c>
      <c r="Z36" s="239">
        <f t="shared" si="11"/>
        <v>472.5</v>
      </c>
      <c r="AA36" s="239">
        <f t="shared" si="11"/>
        <v>1545.0700000000002</v>
      </c>
      <c r="AB36" s="239">
        <f t="shared" si="11"/>
        <v>591.24</v>
      </c>
      <c r="AC36" s="239">
        <f t="shared" si="11"/>
        <v>1260</v>
      </c>
      <c r="AD36" s="239">
        <f t="shared" si="11"/>
        <v>0</v>
      </c>
      <c r="AE36" s="239">
        <f t="shared" si="11"/>
        <v>0</v>
      </c>
      <c r="AF36" s="239">
        <f t="shared" si="11"/>
        <v>0</v>
      </c>
      <c r="AG36" s="239">
        <f t="shared" si="11"/>
        <v>0</v>
      </c>
      <c r="AH36" s="239">
        <f t="shared" si="11"/>
        <v>0</v>
      </c>
      <c r="AI36" s="239">
        <f t="shared" si="11"/>
        <v>0</v>
      </c>
    </row>
  </sheetData>
  <mergeCells count="53">
    <mergeCell ref="A27:A28"/>
    <mergeCell ref="B27:B28"/>
    <mergeCell ref="D27:D28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3:A24"/>
    <mergeCell ref="B23:B24"/>
    <mergeCell ref="D23:D24"/>
    <mergeCell ref="A25:A26"/>
    <mergeCell ref="B25:B26"/>
    <mergeCell ref="D25:D26"/>
    <mergeCell ref="A14:A15"/>
    <mergeCell ref="B14:B15"/>
    <mergeCell ref="D14:D15"/>
    <mergeCell ref="A19:A20"/>
    <mergeCell ref="B19:B20"/>
    <mergeCell ref="D19:D20"/>
    <mergeCell ref="A9:A10"/>
    <mergeCell ref="B9:B10"/>
    <mergeCell ref="D9:D10"/>
    <mergeCell ref="A11:A13"/>
    <mergeCell ref="B11:B13"/>
    <mergeCell ref="D11:D13"/>
    <mergeCell ref="Y1:Y2"/>
    <mergeCell ref="Z1:Z2"/>
    <mergeCell ref="AA1:AA2"/>
    <mergeCell ref="AB1:AB2"/>
    <mergeCell ref="A4:A8"/>
    <mergeCell ref="B4:B8"/>
    <mergeCell ref="D4:D8"/>
    <mergeCell ref="AH1:AH2"/>
    <mergeCell ref="AI1:AI2"/>
    <mergeCell ref="W1:W2"/>
    <mergeCell ref="A1:C1"/>
    <mergeCell ref="D1:J1"/>
    <mergeCell ref="K1:T1"/>
    <mergeCell ref="U1:U2"/>
    <mergeCell ref="V1:V2"/>
    <mergeCell ref="K2:T2"/>
    <mergeCell ref="A2:J2"/>
    <mergeCell ref="AC1:AC2"/>
    <mergeCell ref="AD1:AD2"/>
    <mergeCell ref="AE1:AE2"/>
    <mergeCell ref="AF1:AF2"/>
    <mergeCell ref="AG1:AG2"/>
    <mergeCell ref="X1:X2"/>
  </mergeCells>
  <conditionalFormatting sqref="AD4:AL32">
    <cfRule type="cellIs" dxfId="19" priority="2" operator="greaterThan">
      <formula>0</formula>
    </cfRule>
  </conditionalFormatting>
  <conditionalFormatting sqref="U4:AI35">
    <cfRule type="cellIs" dxfId="18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C81-1ED7-4DD2-AFF5-77D1F7329E85}">
  <dimension ref="A1:AI39"/>
  <sheetViews>
    <sheetView topLeftCell="A21" zoomScale="60" zoomScaleNormal="60" workbookViewId="0">
      <selection activeCell="S36" sqref="S36"/>
    </sheetView>
  </sheetViews>
  <sheetFormatPr defaultColWidth="9.7109375" defaultRowHeight="12.75" x14ac:dyDescent="0.2"/>
  <cols>
    <col min="1" max="1" width="4.28515625" style="24" customWidth="1"/>
    <col min="2" max="2" width="6.85546875" style="24" customWidth="1"/>
    <col min="3" max="3" width="5.5703125" style="24" bestFit="1" customWidth="1"/>
    <col min="4" max="4" width="10.8554687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8.5703125" style="27" customWidth="1"/>
    <col min="19" max="19" width="8.5703125" style="28" customWidth="1"/>
    <col min="20" max="20" width="8.5703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207</v>
      </c>
      <c r="V1" s="315" t="s">
        <v>208</v>
      </c>
      <c r="W1" s="315" t="s">
        <v>209</v>
      </c>
      <c r="X1" s="315" t="s">
        <v>210</v>
      </c>
      <c r="Y1" s="315" t="s">
        <v>211</v>
      </c>
      <c r="Z1" s="315" t="s">
        <v>212</v>
      </c>
      <c r="AA1" s="315" t="s">
        <v>213</v>
      </c>
      <c r="AB1" s="315" t="s">
        <v>214</v>
      </c>
      <c r="AC1" s="315" t="s">
        <v>215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149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316"/>
      <c r="Y2" s="316"/>
      <c r="Z2" s="316"/>
      <c r="AA2" s="316"/>
      <c r="AB2" s="316"/>
      <c r="AC2" s="316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45821</v>
      </c>
      <c r="V3" s="234">
        <v>45875</v>
      </c>
      <c r="W3" s="234">
        <v>45887</v>
      </c>
      <c r="X3" s="234">
        <v>45890</v>
      </c>
      <c r="Y3" s="234">
        <v>45890</v>
      </c>
      <c r="Z3" s="234">
        <v>45929</v>
      </c>
      <c r="AA3" s="234">
        <v>45943</v>
      </c>
      <c r="AB3" s="234">
        <v>45965</v>
      </c>
      <c r="AC3" s="234">
        <v>45888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100</v>
      </c>
      <c r="L4" s="36">
        <f t="shared" ref="L4" si="0">IF(SUM(U4:AL4)&gt;K4+N4,K4+N4,SUM(U4:AL4))</f>
        <v>100</v>
      </c>
      <c r="M4" s="36">
        <f t="shared" ref="M4" si="1">(SUM(U4:AL4))</f>
        <v>100</v>
      </c>
      <c r="N4" s="37"/>
      <c r="O4" s="38">
        <f>ROUND(IF(K4*0.25-0.5&lt;0,0,K4*0.25-0.5),0)-R4-P4</f>
        <v>25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35"/>
      <c r="V4" s="235"/>
      <c r="W4" s="235"/>
      <c r="X4" s="236"/>
      <c r="Y4" s="241"/>
      <c r="Z4" s="241"/>
      <c r="AA4" s="243">
        <v>100</v>
      </c>
      <c r="AB4" s="241"/>
      <c r="AC4" s="241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70</v>
      </c>
      <c r="L5" s="36">
        <f t="shared" ref="L5:L35" si="4">IF(SUM(U5:AL5)&gt;K5+N5,K5+N5,SUM(U5:AL5))</f>
        <v>9</v>
      </c>
      <c r="M5" s="36">
        <f t="shared" ref="M5:M35" si="5">(SUM(U5:AL5))</f>
        <v>9</v>
      </c>
      <c r="N5" s="37"/>
      <c r="O5" s="38">
        <f t="shared" ref="O5:O35" si="6">ROUND(IF(K5*0.25-0.5&lt;0,0,K5*0.25-0.5),0)-R5-P5</f>
        <v>17</v>
      </c>
      <c r="P5" s="37"/>
      <c r="Q5" s="37"/>
      <c r="R5" s="37"/>
      <c r="S5" s="39">
        <f t="shared" si="2"/>
        <v>61</v>
      </c>
      <c r="T5" s="91" t="str">
        <f t="shared" si="3"/>
        <v>OK</v>
      </c>
      <c r="U5" s="235"/>
      <c r="V5" s="242">
        <v>5</v>
      </c>
      <c r="W5" s="235"/>
      <c r="X5" s="236"/>
      <c r="Y5" s="241"/>
      <c r="Z5" s="241"/>
      <c r="AA5" s="241"/>
      <c r="AB5" s="243">
        <v>4</v>
      </c>
      <c r="AC5" s="241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35"/>
      <c r="V6" s="236"/>
      <c r="W6" s="236"/>
      <c r="X6" s="236"/>
      <c r="Y6" s="241"/>
      <c r="Z6" s="241"/>
      <c r="AA6" s="241"/>
      <c r="AB6" s="241"/>
      <c r="AC6" s="241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26</v>
      </c>
      <c r="L7" s="36">
        <f t="shared" si="4"/>
        <v>6</v>
      </c>
      <c r="M7" s="36">
        <f t="shared" si="5"/>
        <v>6</v>
      </c>
      <c r="N7" s="37"/>
      <c r="O7" s="38">
        <f t="shared" si="6"/>
        <v>6</v>
      </c>
      <c r="P7" s="37"/>
      <c r="Q7" s="37"/>
      <c r="R7" s="37"/>
      <c r="S7" s="39">
        <f t="shared" si="2"/>
        <v>20</v>
      </c>
      <c r="T7" s="91" t="str">
        <f t="shared" si="3"/>
        <v>OK</v>
      </c>
      <c r="U7" s="235"/>
      <c r="V7" s="242">
        <v>6</v>
      </c>
      <c r="W7" s="235"/>
      <c r="X7" s="236"/>
      <c r="Y7" s="241"/>
      <c r="Z7" s="241"/>
      <c r="AA7" s="241"/>
      <c r="AB7" s="241"/>
      <c r="AC7" s="241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/>
      <c r="L8" s="36">
        <f t="shared" si="4"/>
        <v>0</v>
      </c>
      <c r="M8" s="36">
        <f t="shared" si="5"/>
        <v>0</v>
      </c>
      <c r="N8" s="37"/>
      <c r="O8" s="38">
        <f t="shared" si="6"/>
        <v>0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235"/>
      <c r="V8" s="236"/>
      <c r="W8" s="235"/>
      <c r="X8" s="236"/>
      <c r="Y8" s="241"/>
      <c r="Z8" s="241"/>
      <c r="AA8" s="241"/>
      <c r="AB8" s="241"/>
      <c r="AC8" s="241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5"/>
      <c r="V9" s="235"/>
      <c r="W9" s="235"/>
      <c r="X9" s="236"/>
      <c r="Y9" s="241"/>
      <c r="Z9" s="241"/>
      <c r="AA9" s="241"/>
      <c r="AB9" s="241"/>
      <c r="AC9" s="241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4"/>
        <v>0</v>
      </c>
      <c r="M10" s="36">
        <f t="shared" si="5"/>
        <v>0</v>
      </c>
      <c r="N10" s="37"/>
      <c r="O10" s="38">
        <f t="shared" si="6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36"/>
      <c r="V10" s="235"/>
      <c r="W10" s="235"/>
      <c r="X10" s="236"/>
      <c r="Y10" s="241"/>
      <c r="Z10" s="241"/>
      <c r="AA10" s="241"/>
      <c r="AB10" s="241"/>
      <c r="AC10" s="241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10</v>
      </c>
      <c r="L11" s="36">
        <f t="shared" si="4"/>
        <v>2</v>
      </c>
      <c r="M11" s="36">
        <f t="shared" si="5"/>
        <v>2</v>
      </c>
      <c r="N11" s="37"/>
      <c r="O11" s="38">
        <f t="shared" si="6"/>
        <v>2</v>
      </c>
      <c r="P11" s="37"/>
      <c r="Q11" s="37"/>
      <c r="R11" s="37"/>
      <c r="S11" s="39">
        <f t="shared" si="2"/>
        <v>8</v>
      </c>
      <c r="T11" s="91" t="str">
        <f t="shared" si="3"/>
        <v>OK</v>
      </c>
      <c r="U11" s="242">
        <v>1</v>
      </c>
      <c r="V11" s="235"/>
      <c r="W11" s="235"/>
      <c r="X11" s="236"/>
      <c r="Y11" s="241"/>
      <c r="Z11" s="241"/>
      <c r="AA11" s="241"/>
      <c r="AB11" s="241"/>
      <c r="AC11" s="243">
        <v>1</v>
      </c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35"/>
      <c r="V12" s="235"/>
      <c r="W12" s="235"/>
      <c r="X12" s="236"/>
      <c r="Y12" s="241"/>
      <c r="Z12" s="241"/>
      <c r="AA12" s="241"/>
      <c r="AB12" s="241"/>
      <c r="AC12" s="241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35"/>
      <c r="V13" s="235"/>
      <c r="W13" s="235"/>
      <c r="X13" s="236"/>
      <c r="Y13" s="241"/>
      <c r="Z13" s="241"/>
      <c r="AA13" s="241"/>
      <c r="AB13" s="241"/>
      <c r="AC13" s="241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15</v>
      </c>
      <c r="L14" s="36">
        <f t="shared" si="4"/>
        <v>6</v>
      </c>
      <c r="M14" s="36">
        <f t="shared" si="5"/>
        <v>6</v>
      </c>
      <c r="N14" s="37"/>
      <c r="O14" s="38">
        <f t="shared" si="6"/>
        <v>3</v>
      </c>
      <c r="P14" s="37"/>
      <c r="Q14" s="37"/>
      <c r="R14" s="37"/>
      <c r="S14" s="39">
        <f t="shared" si="2"/>
        <v>9</v>
      </c>
      <c r="T14" s="91" t="str">
        <f t="shared" si="3"/>
        <v>OK</v>
      </c>
      <c r="U14" s="235"/>
      <c r="V14" s="235"/>
      <c r="W14" s="235"/>
      <c r="X14" s="236"/>
      <c r="Y14" s="244"/>
      <c r="Z14" s="244"/>
      <c r="AA14" s="241"/>
      <c r="AB14" s="243">
        <v>6</v>
      </c>
      <c r="AC14" s="241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5"/>
      <c r="V15" s="235"/>
      <c r="W15" s="235"/>
      <c r="X15" s="236"/>
      <c r="Y15" s="241"/>
      <c r="Z15" s="241"/>
      <c r="AA15" s="241"/>
      <c r="AB15" s="241"/>
      <c r="AC15" s="241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100</v>
      </c>
      <c r="L16" s="36">
        <f t="shared" si="4"/>
        <v>3.5</v>
      </c>
      <c r="M16" s="36">
        <f t="shared" si="5"/>
        <v>3.5</v>
      </c>
      <c r="N16" s="37"/>
      <c r="O16" s="38">
        <f t="shared" si="6"/>
        <v>25</v>
      </c>
      <c r="P16" s="37"/>
      <c r="Q16" s="37"/>
      <c r="R16" s="37"/>
      <c r="S16" s="39">
        <f t="shared" si="2"/>
        <v>96.5</v>
      </c>
      <c r="T16" s="91" t="str">
        <f t="shared" si="3"/>
        <v>OK</v>
      </c>
      <c r="U16" s="235"/>
      <c r="V16" s="235"/>
      <c r="W16" s="235"/>
      <c r="X16" s="236"/>
      <c r="Y16" s="241"/>
      <c r="Z16" s="243">
        <v>3.5</v>
      </c>
      <c r="AA16" s="241"/>
      <c r="AB16" s="241"/>
      <c r="AC16" s="241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</v>
      </c>
      <c r="L17" s="36">
        <f t="shared" si="4"/>
        <v>53</v>
      </c>
      <c r="M17" s="36">
        <f t="shared" si="5"/>
        <v>53</v>
      </c>
      <c r="N17" s="37"/>
      <c r="O17" s="38">
        <f t="shared" si="6"/>
        <v>25</v>
      </c>
      <c r="P17" s="37"/>
      <c r="Q17" s="37"/>
      <c r="R17" s="37"/>
      <c r="S17" s="39">
        <f t="shared" si="2"/>
        <v>47</v>
      </c>
      <c r="T17" s="91" t="str">
        <f t="shared" si="3"/>
        <v>OK</v>
      </c>
      <c r="U17" s="235"/>
      <c r="V17" s="236"/>
      <c r="W17" s="235"/>
      <c r="X17" s="236"/>
      <c r="Y17" s="243">
        <v>53</v>
      </c>
      <c r="Z17" s="244"/>
      <c r="AA17" s="241"/>
      <c r="AB17" s="241"/>
      <c r="AC17" s="241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4"/>
        <v>0</v>
      </c>
      <c r="M18" s="36">
        <f t="shared" si="5"/>
        <v>0</v>
      </c>
      <c r="N18" s="37"/>
      <c r="O18" s="38">
        <f t="shared" si="6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235"/>
      <c r="V18" s="236"/>
      <c r="W18" s="235"/>
      <c r="X18" s="237"/>
      <c r="Y18" s="241"/>
      <c r="Z18" s="244"/>
      <c r="AA18" s="241"/>
      <c r="AB18" s="241"/>
      <c r="AC18" s="241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20</v>
      </c>
      <c r="L19" s="36">
        <f t="shared" si="4"/>
        <v>0</v>
      </c>
      <c r="M19" s="36">
        <f t="shared" si="5"/>
        <v>0</v>
      </c>
      <c r="N19" s="37"/>
      <c r="O19" s="38">
        <f t="shared" si="6"/>
        <v>5</v>
      </c>
      <c r="P19" s="37"/>
      <c r="Q19" s="37"/>
      <c r="R19" s="37"/>
      <c r="S19" s="39">
        <f t="shared" si="2"/>
        <v>20</v>
      </c>
      <c r="T19" s="91" t="str">
        <f t="shared" si="3"/>
        <v>OK</v>
      </c>
      <c r="U19" s="235"/>
      <c r="V19" s="236"/>
      <c r="W19" s="235"/>
      <c r="X19" s="236"/>
      <c r="Y19" s="241"/>
      <c r="Z19" s="244"/>
      <c r="AA19" s="241"/>
      <c r="AB19" s="241"/>
      <c r="AC19" s="241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35"/>
      <c r="V20" s="236"/>
      <c r="W20" s="235"/>
      <c r="X20" s="236"/>
      <c r="Y20" s="241"/>
      <c r="Z20" s="241"/>
      <c r="AA20" s="241"/>
      <c r="AB20" s="241"/>
      <c r="AC20" s="241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36"/>
      <c r="V21" s="235"/>
      <c r="W21" s="235"/>
      <c r="X21" s="236"/>
      <c r="Y21" s="241"/>
      <c r="Z21" s="241"/>
      <c r="AA21" s="241"/>
      <c r="AB21" s="241"/>
      <c r="AC21" s="241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/>
      <c r="L22" s="36">
        <f t="shared" si="4"/>
        <v>0</v>
      </c>
      <c r="M22" s="36">
        <f t="shared" si="5"/>
        <v>0</v>
      </c>
      <c r="N22" s="37"/>
      <c r="O22" s="38">
        <f t="shared" si="6"/>
        <v>0</v>
      </c>
      <c r="P22" s="37"/>
      <c r="Q22" s="37"/>
      <c r="R22" s="37"/>
      <c r="S22" s="39">
        <f t="shared" si="2"/>
        <v>0</v>
      </c>
      <c r="T22" s="91" t="str">
        <f t="shared" si="3"/>
        <v>OK</v>
      </c>
      <c r="U22" s="236"/>
      <c r="V22" s="235"/>
      <c r="W22" s="235"/>
      <c r="X22" s="236"/>
      <c r="Y22" s="241"/>
      <c r="Z22" s="241"/>
      <c r="AA22" s="244"/>
      <c r="AB22" s="241"/>
      <c r="AC22" s="241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36"/>
      <c r="V23" s="235"/>
      <c r="W23" s="235"/>
      <c r="X23" s="236"/>
      <c r="Y23" s="241"/>
      <c r="Z23" s="241"/>
      <c r="AA23" s="244"/>
      <c r="AB23" s="241"/>
      <c r="AC23" s="241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525</v>
      </c>
      <c r="L24" s="36">
        <f t="shared" si="4"/>
        <v>0</v>
      </c>
      <c r="M24" s="36">
        <f t="shared" si="5"/>
        <v>0</v>
      </c>
      <c r="N24" s="37"/>
      <c r="O24" s="38">
        <f t="shared" si="6"/>
        <v>131</v>
      </c>
      <c r="P24" s="37"/>
      <c r="Q24" s="37"/>
      <c r="R24" s="37"/>
      <c r="S24" s="39">
        <f t="shared" si="2"/>
        <v>525</v>
      </c>
      <c r="T24" s="91" t="str">
        <f t="shared" si="3"/>
        <v>OK</v>
      </c>
      <c r="U24" s="235"/>
      <c r="V24" s="235"/>
      <c r="W24" s="235"/>
      <c r="X24" s="236"/>
      <c r="Y24" s="241"/>
      <c r="Z24" s="241"/>
      <c r="AA24" s="241"/>
      <c r="AB24" s="241"/>
      <c r="AC24" s="241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20</v>
      </c>
      <c r="L25" s="36">
        <f t="shared" si="4"/>
        <v>0</v>
      </c>
      <c r="M25" s="36">
        <f t="shared" si="5"/>
        <v>0</v>
      </c>
      <c r="N25" s="37"/>
      <c r="O25" s="38">
        <f t="shared" si="6"/>
        <v>5</v>
      </c>
      <c r="P25" s="37"/>
      <c r="Q25" s="37"/>
      <c r="R25" s="37"/>
      <c r="S25" s="39">
        <f t="shared" si="2"/>
        <v>20</v>
      </c>
      <c r="T25" s="91" t="str">
        <f t="shared" si="3"/>
        <v>OK</v>
      </c>
      <c r="U25" s="235"/>
      <c r="V25" s="235"/>
      <c r="W25" s="235"/>
      <c r="X25" s="236"/>
      <c r="Y25" s="241"/>
      <c r="Z25" s="241"/>
      <c r="AA25" s="241"/>
      <c r="AB25" s="241"/>
      <c r="AC25" s="241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35"/>
      <c r="V26" s="235"/>
      <c r="W26" s="235"/>
      <c r="X26" s="236"/>
      <c r="Y26" s="241"/>
      <c r="Z26" s="241"/>
      <c r="AA26" s="241"/>
      <c r="AB26" s="241"/>
      <c r="AC26" s="241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/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35"/>
      <c r="V27" s="235"/>
      <c r="W27" s="235"/>
      <c r="X27" s="236"/>
      <c r="Y27" s="241"/>
      <c r="Z27" s="241"/>
      <c r="AA27" s="241"/>
      <c r="AB27" s="241"/>
      <c r="AC27" s="241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13000</v>
      </c>
      <c r="L28" s="36">
        <f t="shared" si="4"/>
        <v>0</v>
      </c>
      <c r="M28" s="36">
        <f t="shared" si="5"/>
        <v>0</v>
      </c>
      <c r="N28" s="37"/>
      <c r="O28" s="38">
        <f t="shared" si="6"/>
        <v>3250</v>
      </c>
      <c r="P28" s="37"/>
      <c r="Q28" s="37"/>
      <c r="R28" s="37"/>
      <c r="S28" s="39">
        <f t="shared" si="2"/>
        <v>13000</v>
      </c>
      <c r="T28" s="91" t="str">
        <f t="shared" si="3"/>
        <v>OK</v>
      </c>
      <c r="U28" s="235"/>
      <c r="V28" s="235"/>
      <c r="W28" s="235"/>
      <c r="X28" s="236"/>
      <c r="Y28" s="241"/>
      <c r="Z28" s="241"/>
      <c r="AA28" s="241"/>
      <c r="AB28" s="241"/>
      <c r="AC28" s="241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4"/>
        <v>0</v>
      </c>
      <c r="M29" s="36">
        <f t="shared" si="5"/>
        <v>0</v>
      </c>
      <c r="N29" s="37"/>
      <c r="O29" s="38">
        <f t="shared" si="6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35"/>
      <c r="V29" s="235"/>
      <c r="W29" s="236"/>
      <c r="X29" s="236"/>
      <c r="Y29" s="241"/>
      <c r="Z29" s="241"/>
      <c r="AA29" s="241"/>
      <c r="AB29" s="241"/>
      <c r="AC29" s="241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6000</v>
      </c>
      <c r="L30" s="36">
        <f t="shared" si="4"/>
        <v>6000</v>
      </c>
      <c r="M30" s="36">
        <f t="shared" si="5"/>
        <v>6000</v>
      </c>
      <c r="N30" s="37"/>
      <c r="O30" s="38">
        <f t="shared" si="6"/>
        <v>1500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35"/>
      <c r="V30" s="235"/>
      <c r="W30" s="242">
        <v>6000</v>
      </c>
      <c r="X30" s="236"/>
      <c r="Y30" s="241"/>
      <c r="Z30" s="241"/>
      <c r="AA30" s="241"/>
      <c r="AB30" s="241"/>
      <c r="AC30" s="241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/>
      <c r="L31" s="36">
        <f t="shared" si="4"/>
        <v>0</v>
      </c>
      <c r="M31" s="36">
        <f t="shared" si="5"/>
        <v>0</v>
      </c>
      <c r="N31" s="37"/>
      <c r="O31" s="38">
        <f t="shared" si="6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35"/>
      <c r="V31" s="236"/>
      <c r="W31" s="235"/>
      <c r="X31" s="236"/>
      <c r="Y31" s="241"/>
      <c r="Z31" s="241"/>
      <c r="AA31" s="241"/>
      <c r="AB31" s="241"/>
      <c r="AC31" s="241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9000</v>
      </c>
      <c r="L32" s="36">
        <f t="shared" ref="L32" si="7">IF(SUM(U32:AL32)&gt;K32+N32,K32+N32,SUM(U32:AL32))</f>
        <v>6000</v>
      </c>
      <c r="M32" s="36">
        <f t="shared" ref="M32" si="8">(SUM(U32:AL32))</f>
        <v>6000</v>
      </c>
      <c r="N32" s="37"/>
      <c r="O32" s="38">
        <f t="shared" ref="O32" si="9">ROUND(IF(K32*0.25-0.5&lt;0,0,K32*0.25-0.5),0)-R32-P32</f>
        <v>2250</v>
      </c>
      <c r="P32" s="37"/>
      <c r="Q32" s="37"/>
      <c r="R32" s="37"/>
      <c r="S32" s="39">
        <f t="shared" ref="S32" si="10">K32+N32+P32+Q32-M32</f>
        <v>3000</v>
      </c>
      <c r="T32" s="91" t="str">
        <f t="shared" ref="T32" si="11">IF(S32&lt;0,"ATENÇÃO","OK")</f>
        <v>OK</v>
      </c>
      <c r="U32" s="235"/>
      <c r="V32" s="236"/>
      <c r="W32" s="235"/>
      <c r="X32" s="242">
        <v>6000</v>
      </c>
      <c r="Y32" s="241"/>
      <c r="Z32" s="241"/>
      <c r="AA32" s="241"/>
      <c r="AB32" s="241"/>
      <c r="AC32" s="241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235"/>
      <c r="X33" s="236"/>
      <c r="Y33" s="241"/>
      <c r="Z33" s="241"/>
      <c r="AA33" s="241"/>
      <c r="AB33" s="241"/>
      <c r="AC33" s="241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235"/>
      <c r="X34" s="236"/>
      <c r="Y34" s="241"/>
      <c r="Z34" s="241"/>
      <c r="AA34" s="241"/>
      <c r="AB34" s="241"/>
      <c r="AC34" s="241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235"/>
      <c r="X35" s="236"/>
      <c r="Y35" s="241"/>
      <c r="Z35" s="241"/>
      <c r="AA35" s="241"/>
      <c r="AB35" s="241"/>
      <c r="AC35" s="241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28986</v>
      </c>
      <c r="S36" s="28">
        <f>SUM(S4:S35)</f>
        <v>16806.5</v>
      </c>
      <c r="T36" s="29" t="str">
        <f t="shared" si="3"/>
        <v>OK</v>
      </c>
      <c r="U36" s="248">
        <f>SUMPRODUCT($J$4:$J$35,U4:U35)</f>
        <v>199.83</v>
      </c>
      <c r="V36" s="248">
        <f t="shared" ref="V36:AI36" si="12">SUMPRODUCT($J$4:$J$35,V4:V35)</f>
        <v>542.80999999999995</v>
      </c>
      <c r="W36" s="248">
        <f t="shared" si="12"/>
        <v>1500</v>
      </c>
      <c r="X36" s="248">
        <f t="shared" si="12"/>
        <v>1800</v>
      </c>
      <c r="Y36" s="248">
        <f t="shared" si="12"/>
        <v>556.5</v>
      </c>
      <c r="Z36" s="248">
        <f t="shared" si="12"/>
        <v>152.215</v>
      </c>
      <c r="AA36" s="248">
        <f t="shared" si="12"/>
        <v>1107</v>
      </c>
      <c r="AB36" s="248">
        <f t="shared" si="12"/>
        <v>320.56</v>
      </c>
      <c r="AC36" s="248">
        <f t="shared" si="12"/>
        <v>199.83</v>
      </c>
      <c r="AD36" s="248">
        <f t="shared" si="12"/>
        <v>0</v>
      </c>
      <c r="AE36" s="248">
        <f t="shared" si="12"/>
        <v>0</v>
      </c>
      <c r="AF36" s="248">
        <f t="shared" si="12"/>
        <v>0</v>
      </c>
      <c r="AG36" s="248">
        <f t="shared" si="12"/>
        <v>0</v>
      </c>
      <c r="AH36" s="248">
        <f t="shared" si="12"/>
        <v>0</v>
      </c>
      <c r="AI36" s="248">
        <f t="shared" si="12"/>
        <v>0</v>
      </c>
    </row>
    <row r="37" spans="1:35" x14ac:dyDescent="0.2">
      <c r="U37" s="238"/>
      <c r="V37" s="238"/>
      <c r="W37" s="238"/>
      <c r="X37" s="249"/>
      <c r="Y37" s="238"/>
      <c r="Z37" s="238"/>
      <c r="AA37" s="238"/>
      <c r="AB37" s="238"/>
      <c r="AC37" s="238"/>
    </row>
    <row r="38" spans="1:35" x14ac:dyDescent="0.2">
      <c r="U38" s="238"/>
      <c r="V38" s="238"/>
      <c r="W38" s="238"/>
      <c r="X38" s="249"/>
      <c r="Y38" s="238"/>
      <c r="Z38" s="238"/>
      <c r="AA38" s="238"/>
      <c r="AB38" s="238"/>
      <c r="AC38" s="238"/>
    </row>
    <row r="39" spans="1:35" x14ac:dyDescent="0.2">
      <c r="U39" s="238"/>
      <c r="V39" s="238"/>
      <c r="W39" s="238"/>
      <c r="X39" s="249"/>
      <c r="Y39" s="238"/>
      <c r="Z39" s="238"/>
      <c r="AA39" s="238"/>
      <c r="AB39" s="238"/>
      <c r="AC39" s="238"/>
    </row>
  </sheetData>
  <mergeCells count="53">
    <mergeCell ref="A27:A28"/>
    <mergeCell ref="B27:B28"/>
    <mergeCell ref="D27:D28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3:A24"/>
    <mergeCell ref="B23:B24"/>
    <mergeCell ref="D23:D24"/>
    <mergeCell ref="A25:A26"/>
    <mergeCell ref="B25:B26"/>
    <mergeCell ref="D25:D26"/>
    <mergeCell ref="A14:A15"/>
    <mergeCell ref="B14:B15"/>
    <mergeCell ref="D14:D15"/>
    <mergeCell ref="A19:A20"/>
    <mergeCell ref="B19:B20"/>
    <mergeCell ref="D19:D20"/>
    <mergeCell ref="A9:A10"/>
    <mergeCell ref="B9:B10"/>
    <mergeCell ref="D9:D10"/>
    <mergeCell ref="A11:A13"/>
    <mergeCell ref="B11:B13"/>
    <mergeCell ref="D11:D13"/>
    <mergeCell ref="Y1:Y2"/>
    <mergeCell ref="Z1:Z2"/>
    <mergeCell ref="AA1:AA2"/>
    <mergeCell ref="AB1:AB2"/>
    <mergeCell ref="A4:A8"/>
    <mergeCell ref="B4:B8"/>
    <mergeCell ref="D4:D8"/>
    <mergeCell ref="AH1:AH2"/>
    <mergeCell ref="AI1:AI2"/>
    <mergeCell ref="W1:W2"/>
    <mergeCell ref="A1:C1"/>
    <mergeCell ref="D1:J1"/>
    <mergeCell ref="K1:T1"/>
    <mergeCell ref="U1:U2"/>
    <mergeCell ref="V1:V2"/>
    <mergeCell ref="K2:T2"/>
    <mergeCell ref="A2:J2"/>
    <mergeCell ref="AC1:AC2"/>
    <mergeCell ref="AD1:AD2"/>
    <mergeCell ref="AE1:AE2"/>
    <mergeCell ref="AF1:AF2"/>
    <mergeCell ref="AG1:AG2"/>
    <mergeCell ref="X1:X2"/>
  </mergeCells>
  <conditionalFormatting sqref="AD4:AL32">
    <cfRule type="cellIs" dxfId="17" priority="2" operator="greaterThan">
      <formula>0</formula>
    </cfRule>
  </conditionalFormatting>
  <conditionalFormatting sqref="U4:AI35">
    <cfRule type="cellIs" dxfId="16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F5DF-C4DB-40AA-BD62-5C3CFA90FA4C}">
  <dimension ref="A1:AI36"/>
  <sheetViews>
    <sheetView zoomScale="55" zoomScaleNormal="55" workbookViewId="0">
      <selection activeCell="S37" sqref="S37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8.5703125" style="27" customWidth="1"/>
    <col min="19" max="19" width="8.5703125" style="28" customWidth="1"/>
    <col min="20" max="20" width="8.5703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192</v>
      </c>
      <c r="V1" s="315" t="s">
        <v>193</v>
      </c>
      <c r="W1" s="315" t="s">
        <v>194</v>
      </c>
      <c r="X1" s="315" t="s">
        <v>195</v>
      </c>
      <c r="Y1" s="315" t="s">
        <v>196</v>
      </c>
      <c r="Z1" s="315" t="s">
        <v>197</v>
      </c>
      <c r="AA1" s="315" t="s">
        <v>198</v>
      </c>
      <c r="AB1" s="315" t="s">
        <v>199</v>
      </c>
      <c r="AC1" s="315" t="s">
        <v>200</v>
      </c>
      <c r="AD1" s="315" t="s">
        <v>201</v>
      </c>
      <c r="AE1" s="315" t="s">
        <v>202</v>
      </c>
      <c r="AF1" s="315" t="s">
        <v>203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148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45821</v>
      </c>
      <c r="V3" s="234">
        <v>45838</v>
      </c>
      <c r="W3" s="234">
        <v>45839</v>
      </c>
      <c r="X3" s="234">
        <v>45896</v>
      </c>
      <c r="Y3" s="234">
        <v>45902</v>
      </c>
      <c r="Z3" s="234">
        <v>45909</v>
      </c>
      <c r="AA3" s="234">
        <v>45919</v>
      </c>
      <c r="AB3" s="234">
        <v>45932</v>
      </c>
      <c r="AC3" s="234">
        <v>45932</v>
      </c>
      <c r="AD3" s="234">
        <v>45952</v>
      </c>
      <c r="AE3" s="234">
        <v>45961</v>
      </c>
      <c r="AF3" s="234">
        <v>45965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57</v>
      </c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14</v>
      </c>
      <c r="P4" s="37"/>
      <c r="Q4" s="37"/>
      <c r="R4" s="37"/>
      <c r="S4" s="39">
        <f t="shared" ref="S4:S35" si="2">K4+N4+P4+Q4-M4</f>
        <v>57</v>
      </c>
      <c r="T4" s="91" t="str">
        <f t="shared" ref="T4:T35" si="3">IF(S4&lt;0,"ATENÇÃO","OK")</f>
        <v>OK</v>
      </c>
      <c r="U4" s="235"/>
      <c r="V4" s="235"/>
      <c r="W4" s="235"/>
      <c r="X4" s="236"/>
      <c r="Y4" s="241"/>
      <c r="Z4" s="241"/>
      <c r="AA4" s="241"/>
      <c r="AB4" s="241"/>
      <c r="AC4" s="241"/>
      <c r="AD4" s="241"/>
      <c r="AE4" s="241"/>
      <c r="AF4" s="241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173</v>
      </c>
      <c r="L5" s="36">
        <f t="shared" ref="L5:L35" si="4">IF(SUM(U5:AL5)&gt;K5+N5,K5+N5,SUM(U5:AL5))</f>
        <v>10</v>
      </c>
      <c r="M5" s="36">
        <f t="shared" ref="M5:M35" si="5">(SUM(U5:AL5))</f>
        <v>10</v>
      </c>
      <c r="N5" s="37"/>
      <c r="O5" s="38">
        <f t="shared" ref="O5:O35" si="6">ROUND(IF(K5*0.25-0.5&lt;0,0,K5*0.25-0.5),0)-R5-P5</f>
        <v>43</v>
      </c>
      <c r="P5" s="37"/>
      <c r="Q5" s="37"/>
      <c r="R5" s="37"/>
      <c r="S5" s="39">
        <f t="shared" si="2"/>
        <v>163</v>
      </c>
      <c r="T5" s="91" t="str">
        <f t="shared" si="3"/>
        <v>OK</v>
      </c>
      <c r="U5" s="235"/>
      <c r="V5" s="246">
        <v>10</v>
      </c>
      <c r="W5" s="235"/>
      <c r="X5" s="236"/>
      <c r="Y5" s="241"/>
      <c r="Z5" s="241"/>
      <c r="AA5" s="241"/>
      <c r="AB5" s="241"/>
      <c r="AC5" s="241"/>
      <c r="AD5" s="241"/>
      <c r="AE5" s="241"/>
      <c r="AF5" s="241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100</v>
      </c>
      <c r="L6" s="36">
        <f t="shared" si="4"/>
        <v>5</v>
      </c>
      <c r="M6" s="36">
        <f t="shared" si="5"/>
        <v>5</v>
      </c>
      <c r="N6" s="37"/>
      <c r="O6" s="38">
        <f t="shared" si="6"/>
        <v>25</v>
      </c>
      <c r="P6" s="37"/>
      <c r="Q6" s="37"/>
      <c r="R6" s="37"/>
      <c r="S6" s="39">
        <f t="shared" si="2"/>
        <v>95</v>
      </c>
      <c r="T6" s="91" t="str">
        <f t="shared" si="3"/>
        <v>OK</v>
      </c>
      <c r="U6" s="235"/>
      <c r="V6" s="236"/>
      <c r="W6" s="236"/>
      <c r="X6" s="236"/>
      <c r="Y6" s="241"/>
      <c r="Z6" s="241"/>
      <c r="AA6" s="241"/>
      <c r="AB6" s="241"/>
      <c r="AC6" s="241"/>
      <c r="AD6" s="241"/>
      <c r="AE6" s="241"/>
      <c r="AF6" s="246">
        <v>5</v>
      </c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56</v>
      </c>
      <c r="L7" s="36">
        <f t="shared" si="4"/>
        <v>15</v>
      </c>
      <c r="M7" s="36">
        <f t="shared" si="5"/>
        <v>15</v>
      </c>
      <c r="N7" s="37"/>
      <c r="O7" s="38">
        <f t="shared" si="6"/>
        <v>14</v>
      </c>
      <c r="P7" s="37"/>
      <c r="Q7" s="37"/>
      <c r="R7" s="37"/>
      <c r="S7" s="39">
        <f t="shared" si="2"/>
        <v>41</v>
      </c>
      <c r="T7" s="91" t="str">
        <f t="shared" si="3"/>
        <v>OK</v>
      </c>
      <c r="U7" s="235"/>
      <c r="V7" s="236"/>
      <c r="W7" s="235"/>
      <c r="X7" s="236"/>
      <c r="Y7" s="241"/>
      <c r="Z7" s="246">
        <v>14</v>
      </c>
      <c r="AA7" s="241"/>
      <c r="AB7" s="241"/>
      <c r="AC7" s="241"/>
      <c r="AD7" s="241"/>
      <c r="AE7" s="247"/>
      <c r="AF7" s="246">
        <v>1</v>
      </c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182</v>
      </c>
      <c r="L8" s="36">
        <f t="shared" si="4"/>
        <v>177</v>
      </c>
      <c r="M8" s="36">
        <f t="shared" si="5"/>
        <v>177</v>
      </c>
      <c r="N8" s="37"/>
      <c r="O8" s="38">
        <f t="shared" si="6"/>
        <v>45</v>
      </c>
      <c r="P8" s="37"/>
      <c r="Q8" s="37"/>
      <c r="R8" s="37"/>
      <c r="S8" s="39">
        <f t="shared" si="2"/>
        <v>5</v>
      </c>
      <c r="T8" s="91" t="str">
        <f t="shared" si="3"/>
        <v>OK</v>
      </c>
      <c r="U8" s="235"/>
      <c r="V8" s="236"/>
      <c r="W8" s="235"/>
      <c r="X8" s="246">
        <v>12</v>
      </c>
      <c r="Y8" s="241"/>
      <c r="Z8" s="241"/>
      <c r="AA8" s="241"/>
      <c r="AB8" s="246">
        <v>140</v>
      </c>
      <c r="AC8" s="246">
        <v>12</v>
      </c>
      <c r="AD8" s="241"/>
      <c r="AE8" s="246">
        <v>10</v>
      </c>
      <c r="AF8" s="246">
        <v>3</v>
      </c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60</v>
      </c>
      <c r="L9" s="36">
        <f t="shared" si="4"/>
        <v>11</v>
      </c>
      <c r="M9" s="36">
        <f t="shared" si="5"/>
        <v>11</v>
      </c>
      <c r="N9" s="37"/>
      <c r="O9" s="38">
        <f t="shared" si="6"/>
        <v>15</v>
      </c>
      <c r="P9" s="37"/>
      <c r="Q9" s="37"/>
      <c r="R9" s="37"/>
      <c r="S9" s="39">
        <f t="shared" si="2"/>
        <v>49</v>
      </c>
      <c r="T9" s="91" t="str">
        <f t="shared" si="3"/>
        <v>OK</v>
      </c>
      <c r="U9" s="235"/>
      <c r="V9" s="235"/>
      <c r="W9" s="235"/>
      <c r="X9" s="236"/>
      <c r="Y9" s="241"/>
      <c r="Z9" s="241"/>
      <c r="AA9" s="241"/>
      <c r="AB9" s="241"/>
      <c r="AC9" s="241"/>
      <c r="AD9" s="246">
        <v>11</v>
      </c>
      <c r="AE9" s="241"/>
      <c r="AF9" s="241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15</v>
      </c>
      <c r="L10" s="36">
        <f t="shared" si="4"/>
        <v>0</v>
      </c>
      <c r="M10" s="36">
        <f t="shared" si="5"/>
        <v>0</v>
      </c>
      <c r="N10" s="37"/>
      <c r="O10" s="38">
        <f t="shared" si="6"/>
        <v>3</v>
      </c>
      <c r="P10" s="37"/>
      <c r="Q10" s="37"/>
      <c r="R10" s="37"/>
      <c r="S10" s="39">
        <f t="shared" si="2"/>
        <v>15</v>
      </c>
      <c r="T10" s="91" t="str">
        <f t="shared" si="3"/>
        <v>OK</v>
      </c>
      <c r="U10" s="236"/>
      <c r="V10" s="235"/>
      <c r="W10" s="235"/>
      <c r="X10" s="236"/>
      <c r="Y10" s="241"/>
      <c r="Z10" s="241"/>
      <c r="AA10" s="241"/>
      <c r="AB10" s="241"/>
      <c r="AC10" s="241"/>
      <c r="AD10" s="247"/>
      <c r="AE10" s="241"/>
      <c r="AF10" s="241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5</v>
      </c>
      <c r="L11" s="36">
        <f t="shared" si="4"/>
        <v>1</v>
      </c>
      <c r="M11" s="36">
        <f t="shared" si="5"/>
        <v>1</v>
      </c>
      <c r="N11" s="37"/>
      <c r="O11" s="38">
        <f t="shared" si="6"/>
        <v>1</v>
      </c>
      <c r="P11" s="37"/>
      <c r="Q11" s="37"/>
      <c r="R11" s="37"/>
      <c r="S11" s="39">
        <f t="shared" si="2"/>
        <v>4</v>
      </c>
      <c r="T11" s="91" t="str">
        <f t="shared" si="3"/>
        <v>OK</v>
      </c>
      <c r="U11" s="237"/>
      <c r="V11" s="235"/>
      <c r="W11" s="235"/>
      <c r="X11" s="236"/>
      <c r="Y11" s="241"/>
      <c r="Z11" s="241"/>
      <c r="AA11" s="241"/>
      <c r="AB11" s="241"/>
      <c r="AC11" s="241"/>
      <c r="AD11" s="246">
        <v>1</v>
      </c>
      <c r="AE11" s="241"/>
      <c r="AF11" s="241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3</v>
      </c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3</v>
      </c>
      <c r="T12" s="91" t="str">
        <f t="shared" si="3"/>
        <v>OK</v>
      </c>
      <c r="U12" s="235"/>
      <c r="V12" s="235"/>
      <c r="W12" s="235"/>
      <c r="X12" s="236"/>
      <c r="Y12" s="241"/>
      <c r="Z12" s="241"/>
      <c r="AA12" s="241"/>
      <c r="AB12" s="241"/>
      <c r="AC12" s="241"/>
      <c r="AD12" s="241"/>
      <c r="AE12" s="241"/>
      <c r="AF12" s="241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3</v>
      </c>
      <c r="L13" s="36">
        <f t="shared" si="4"/>
        <v>2</v>
      </c>
      <c r="M13" s="36">
        <f t="shared" si="5"/>
        <v>2</v>
      </c>
      <c r="N13" s="37"/>
      <c r="O13" s="38">
        <f t="shared" si="6"/>
        <v>0</v>
      </c>
      <c r="P13" s="37"/>
      <c r="Q13" s="37"/>
      <c r="R13" s="37"/>
      <c r="S13" s="39">
        <f t="shared" si="2"/>
        <v>1</v>
      </c>
      <c r="T13" s="91" t="str">
        <f t="shared" si="3"/>
        <v>OK</v>
      </c>
      <c r="U13" s="246">
        <v>2</v>
      </c>
      <c r="V13" s="235"/>
      <c r="W13" s="235"/>
      <c r="X13" s="236"/>
      <c r="Y13" s="241"/>
      <c r="Z13" s="241"/>
      <c r="AA13" s="241"/>
      <c r="AB13" s="241"/>
      <c r="AC13" s="241"/>
      <c r="AD13" s="241"/>
      <c r="AE13" s="241"/>
      <c r="AF13" s="241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62</v>
      </c>
      <c r="L14" s="36">
        <f t="shared" si="4"/>
        <v>37.5</v>
      </c>
      <c r="M14" s="36">
        <f t="shared" si="5"/>
        <v>37.5</v>
      </c>
      <c r="N14" s="37"/>
      <c r="O14" s="38">
        <f t="shared" si="6"/>
        <v>15</v>
      </c>
      <c r="P14" s="37"/>
      <c r="Q14" s="37"/>
      <c r="R14" s="37"/>
      <c r="S14" s="39">
        <f t="shared" si="2"/>
        <v>24.5</v>
      </c>
      <c r="T14" s="91" t="str">
        <f t="shared" si="3"/>
        <v>OK</v>
      </c>
      <c r="U14" s="235"/>
      <c r="V14" s="235"/>
      <c r="W14" s="235"/>
      <c r="X14" s="236"/>
      <c r="Y14" s="244"/>
      <c r="Z14" s="246">
        <v>30</v>
      </c>
      <c r="AA14" s="241"/>
      <c r="AB14" s="241"/>
      <c r="AC14" s="241"/>
      <c r="AD14" s="241"/>
      <c r="AE14" s="247"/>
      <c r="AF14" s="246">
        <v>7.5</v>
      </c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50</v>
      </c>
      <c r="L15" s="36">
        <f t="shared" si="4"/>
        <v>50</v>
      </c>
      <c r="M15" s="36">
        <f t="shared" si="5"/>
        <v>50</v>
      </c>
      <c r="N15" s="37">
        <v>12</v>
      </c>
      <c r="O15" s="38">
        <f t="shared" si="6"/>
        <v>12</v>
      </c>
      <c r="P15" s="37"/>
      <c r="Q15" s="37"/>
      <c r="R15" s="37"/>
      <c r="S15" s="39">
        <f t="shared" si="2"/>
        <v>12</v>
      </c>
      <c r="T15" s="91" t="str">
        <f t="shared" si="3"/>
        <v>OK</v>
      </c>
      <c r="U15" s="235"/>
      <c r="V15" s="235"/>
      <c r="W15" s="235"/>
      <c r="X15" s="236"/>
      <c r="Y15" s="241"/>
      <c r="Z15" s="241"/>
      <c r="AA15" s="241"/>
      <c r="AB15" s="241"/>
      <c r="AC15" s="241"/>
      <c r="AD15" s="241"/>
      <c r="AE15" s="247"/>
      <c r="AF15" s="246">
        <v>50</v>
      </c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64</v>
      </c>
      <c r="L16" s="36">
        <f t="shared" si="4"/>
        <v>0</v>
      </c>
      <c r="M16" s="36">
        <f t="shared" si="5"/>
        <v>0</v>
      </c>
      <c r="N16" s="37"/>
      <c r="O16" s="38">
        <f t="shared" si="6"/>
        <v>16</v>
      </c>
      <c r="P16" s="37"/>
      <c r="Q16" s="37"/>
      <c r="R16" s="37"/>
      <c r="S16" s="39">
        <f t="shared" si="2"/>
        <v>64</v>
      </c>
      <c r="T16" s="91" t="str">
        <f t="shared" si="3"/>
        <v>OK</v>
      </c>
      <c r="U16" s="235"/>
      <c r="V16" s="235"/>
      <c r="W16" s="235"/>
      <c r="X16" s="236"/>
      <c r="Y16" s="241"/>
      <c r="Z16" s="241"/>
      <c r="AA16" s="241"/>
      <c r="AB16" s="241"/>
      <c r="AC16" s="241"/>
      <c r="AD16" s="241"/>
      <c r="AE16" s="241"/>
      <c r="AF16" s="241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420</v>
      </c>
      <c r="L17" s="36">
        <f t="shared" si="4"/>
        <v>0</v>
      </c>
      <c r="M17" s="36">
        <f t="shared" si="5"/>
        <v>0</v>
      </c>
      <c r="N17" s="37"/>
      <c r="O17" s="38">
        <f t="shared" si="6"/>
        <v>105</v>
      </c>
      <c r="P17" s="37"/>
      <c r="Q17" s="37"/>
      <c r="R17" s="37"/>
      <c r="S17" s="39">
        <f t="shared" si="2"/>
        <v>420</v>
      </c>
      <c r="T17" s="91" t="str">
        <f t="shared" si="3"/>
        <v>OK</v>
      </c>
      <c r="U17" s="235"/>
      <c r="V17" s="236"/>
      <c r="W17" s="235"/>
      <c r="X17" s="236"/>
      <c r="Y17" s="241"/>
      <c r="Z17" s="244"/>
      <c r="AA17" s="241"/>
      <c r="AB17" s="241"/>
      <c r="AC17" s="241"/>
      <c r="AD17" s="241"/>
      <c r="AE17" s="241"/>
      <c r="AF17" s="241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33</v>
      </c>
      <c r="L18" s="36">
        <f t="shared" si="4"/>
        <v>12</v>
      </c>
      <c r="M18" s="36">
        <f t="shared" si="5"/>
        <v>12</v>
      </c>
      <c r="N18" s="37"/>
      <c r="O18" s="38">
        <f t="shared" si="6"/>
        <v>8</v>
      </c>
      <c r="P18" s="37"/>
      <c r="Q18" s="37"/>
      <c r="R18" s="37"/>
      <c r="S18" s="39">
        <f t="shared" si="2"/>
        <v>21</v>
      </c>
      <c r="T18" s="91" t="str">
        <f t="shared" si="3"/>
        <v>OK</v>
      </c>
      <c r="U18" s="235"/>
      <c r="V18" s="236"/>
      <c r="W18" s="246">
        <v>10</v>
      </c>
      <c r="X18" s="237"/>
      <c r="Y18" s="241"/>
      <c r="Z18" s="244"/>
      <c r="AA18" s="246">
        <v>2</v>
      </c>
      <c r="AB18" s="241"/>
      <c r="AC18" s="241"/>
      <c r="AD18" s="241"/>
      <c r="AE18" s="241"/>
      <c r="AF18" s="241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58</v>
      </c>
      <c r="L19" s="36">
        <f t="shared" si="4"/>
        <v>8</v>
      </c>
      <c r="M19" s="36">
        <f t="shared" si="5"/>
        <v>8</v>
      </c>
      <c r="N19" s="37"/>
      <c r="O19" s="38">
        <f t="shared" si="6"/>
        <v>14</v>
      </c>
      <c r="P19" s="37"/>
      <c r="Q19" s="37"/>
      <c r="R19" s="37"/>
      <c r="S19" s="39">
        <f t="shared" si="2"/>
        <v>50</v>
      </c>
      <c r="T19" s="91" t="str">
        <f t="shared" si="3"/>
        <v>OK</v>
      </c>
      <c r="U19" s="235"/>
      <c r="V19" s="236"/>
      <c r="W19" s="235"/>
      <c r="X19" s="236"/>
      <c r="Y19" s="246">
        <v>8</v>
      </c>
      <c r="Z19" s="244"/>
      <c r="AA19" s="241"/>
      <c r="AB19" s="241"/>
      <c r="AC19" s="241"/>
      <c r="AD19" s="241"/>
      <c r="AE19" s="241"/>
      <c r="AF19" s="241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1006</v>
      </c>
      <c r="L20" s="36">
        <f t="shared" si="4"/>
        <v>406</v>
      </c>
      <c r="M20" s="36">
        <f t="shared" si="5"/>
        <v>406</v>
      </c>
      <c r="N20" s="37"/>
      <c r="O20" s="38">
        <f t="shared" si="6"/>
        <v>251</v>
      </c>
      <c r="P20" s="37"/>
      <c r="Q20" s="37"/>
      <c r="R20" s="37"/>
      <c r="S20" s="39">
        <f t="shared" si="2"/>
        <v>600</v>
      </c>
      <c r="T20" s="91" t="str">
        <f t="shared" si="3"/>
        <v>OK</v>
      </c>
      <c r="U20" s="235"/>
      <c r="V20" s="236"/>
      <c r="W20" s="235"/>
      <c r="X20" s="236"/>
      <c r="Y20" s="246">
        <v>400</v>
      </c>
      <c r="Z20" s="241"/>
      <c r="AA20" s="241"/>
      <c r="AB20" s="241"/>
      <c r="AC20" s="241"/>
      <c r="AD20" s="241"/>
      <c r="AE20" s="246">
        <v>6</v>
      </c>
      <c r="AF20" s="241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1070</v>
      </c>
      <c r="L21" s="36">
        <f t="shared" si="4"/>
        <v>0</v>
      </c>
      <c r="M21" s="36">
        <f t="shared" si="5"/>
        <v>0</v>
      </c>
      <c r="N21" s="37"/>
      <c r="O21" s="38">
        <f t="shared" si="6"/>
        <v>267</v>
      </c>
      <c r="P21" s="37"/>
      <c r="Q21" s="37"/>
      <c r="R21" s="37"/>
      <c r="S21" s="39">
        <f t="shared" si="2"/>
        <v>1070</v>
      </c>
      <c r="T21" s="91" t="str">
        <f t="shared" si="3"/>
        <v>OK</v>
      </c>
      <c r="U21" s="236"/>
      <c r="V21" s="235"/>
      <c r="W21" s="235"/>
      <c r="X21" s="236"/>
      <c r="Y21" s="241"/>
      <c r="Z21" s="241"/>
      <c r="AA21" s="241"/>
      <c r="AB21" s="241"/>
      <c r="AC21" s="241"/>
      <c r="AD21" s="241"/>
      <c r="AE21" s="241"/>
      <c r="AF21" s="241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1950</v>
      </c>
      <c r="L22" s="36">
        <f t="shared" si="4"/>
        <v>0</v>
      </c>
      <c r="M22" s="36">
        <f t="shared" si="5"/>
        <v>0</v>
      </c>
      <c r="N22" s="37"/>
      <c r="O22" s="38">
        <f t="shared" si="6"/>
        <v>487</v>
      </c>
      <c r="P22" s="37"/>
      <c r="Q22" s="37"/>
      <c r="R22" s="37"/>
      <c r="S22" s="39">
        <f t="shared" si="2"/>
        <v>1950</v>
      </c>
      <c r="T22" s="91" t="str">
        <f t="shared" si="3"/>
        <v>OK</v>
      </c>
      <c r="U22" s="236"/>
      <c r="V22" s="235"/>
      <c r="W22" s="235"/>
      <c r="X22" s="236"/>
      <c r="Y22" s="241"/>
      <c r="Z22" s="241"/>
      <c r="AA22" s="244"/>
      <c r="AB22" s="241"/>
      <c r="AC22" s="241"/>
      <c r="AD22" s="241"/>
      <c r="AE22" s="241"/>
      <c r="AF22" s="241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562</v>
      </c>
      <c r="L23" s="36">
        <f t="shared" si="4"/>
        <v>0</v>
      </c>
      <c r="M23" s="36">
        <f t="shared" si="5"/>
        <v>0</v>
      </c>
      <c r="N23" s="37"/>
      <c r="O23" s="38">
        <f t="shared" si="6"/>
        <v>140</v>
      </c>
      <c r="P23" s="37"/>
      <c r="Q23" s="37"/>
      <c r="R23" s="37"/>
      <c r="S23" s="39">
        <f t="shared" si="2"/>
        <v>562</v>
      </c>
      <c r="T23" s="91" t="str">
        <f t="shared" si="3"/>
        <v>OK</v>
      </c>
      <c r="U23" s="236"/>
      <c r="V23" s="235"/>
      <c r="W23" s="235"/>
      <c r="X23" s="236"/>
      <c r="Y23" s="241"/>
      <c r="Z23" s="241"/>
      <c r="AA23" s="244"/>
      <c r="AB23" s="241"/>
      <c r="AC23" s="241"/>
      <c r="AD23" s="241"/>
      <c r="AE23" s="241"/>
      <c r="AF23" s="241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1000</v>
      </c>
      <c r="L24" s="36">
        <f t="shared" si="4"/>
        <v>0</v>
      </c>
      <c r="M24" s="36">
        <f t="shared" si="5"/>
        <v>0</v>
      </c>
      <c r="N24" s="37"/>
      <c r="O24" s="38">
        <f t="shared" si="6"/>
        <v>250</v>
      </c>
      <c r="P24" s="37"/>
      <c r="Q24" s="37"/>
      <c r="R24" s="37"/>
      <c r="S24" s="39">
        <f t="shared" si="2"/>
        <v>1000</v>
      </c>
      <c r="T24" s="91" t="str">
        <f t="shared" si="3"/>
        <v>OK</v>
      </c>
      <c r="U24" s="235"/>
      <c r="V24" s="235"/>
      <c r="W24" s="235"/>
      <c r="X24" s="236"/>
      <c r="Y24" s="241"/>
      <c r="Z24" s="241"/>
      <c r="AA24" s="241"/>
      <c r="AB24" s="241"/>
      <c r="AC24" s="241"/>
      <c r="AD24" s="241"/>
      <c r="AE24" s="241"/>
      <c r="AF24" s="241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1174</v>
      </c>
      <c r="L25" s="36">
        <f t="shared" si="4"/>
        <v>0</v>
      </c>
      <c r="M25" s="36">
        <f t="shared" si="5"/>
        <v>0</v>
      </c>
      <c r="N25" s="37"/>
      <c r="O25" s="38">
        <f t="shared" si="6"/>
        <v>293</v>
      </c>
      <c r="P25" s="37"/>
      <c r="Q25" s="37"/>
      <c r="R25" s="37"/>
      <c r="S25" s="39">
        <f t="shared" si="2"/>
        <v>1174</v>
      </c>
      <c r="T25" s="91" t="str">
        <f t="shared" si="3"/>
        <v>OK</v>
      </c>
      <c r="U25" s="235"/>
      <c r="V25" s="235"/>
      <c r="W25" s="235"/>
      <c r="X25" s="236"/>
      <c r="Y25" s="241"/>
      <c r="Z25" s="241"/>
      <c r="AA25" s="241"/>
      <c r="AB25" s="241"/>
      <c r="AC25" s="241"/>
      <c r="AD25" s="241"/>
      <c r="AE25" s="241"/>
      <c r="AF25" s="241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2000</v>
      </c>
      <c r="L26" s="36">
        <f t="shared" si="4"/>
        <v>0</v>
      </c>
      <c r="M26" s="36">
        <f t="shared" si="5"/>
        <v>0</v>
      </c>
      <c r="N26" s="37"/>
      <c r="O26" s="38">
        <f t="shared" si="6"/>
        <v>500</v>
      </c>
      <c r="P26" s="37"/>
      <c r="Q26" s="37"/>
      <c r="R26" s="37"/>
      <c r="S26" s="39">
        <f t="shared" si="2"/>
        <v>2000</v>
      </c>
      <c r="T26" s="91" t="str">
        <f t="shared" si="3"/>
        <v>OK</v>
      </c>
      <c r="U26" s="235"/>
      <c r="V26" s="235"/>
      <c r="W26" s="235"/>
      <c r="X26" s="236"/>
      <c r="Y26" s="241"/>
      <c r="Z26" s="241"/>
      <c r="AA26" s="241"/>
      <c r="AB26" s="241"/>
      <c r="AC26" s="241"/>
      <c r="AD26" s="241"/>
      <c r="AE26" s="241"/>
      <c r="AF26" s="241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6100</v>
      </c>
      <c r="L27" s="36">
        <f t="shared" si="4"/>
        <v>0</v>
      </c>
      <c r="M27" s="36">
        <f t="shared" si="5"/>
        <v>0</v>
      </c>
      <c r="N27" s="37"/>
      <c r="O27" s="38">
        <f t="shared" si="6"/>
        <v>1525</v>
      </c>
      <c r="P27" s="37"/>
      <c r="Q27" s="37"/>
      <c r="R27" s="37"/>
      <c r="S27" s="39">
        <f t="shared" si="2"/>
        <v>6100</v>
      </c>
      <c r="T27" s="91" t="str">
        <f t="shared" si="3"/>
        <v>OK</v>
      </c>
      <c r="U27" s="235"/>
      <c r="V27" s="235"/>
      <c r="W27" s="235"/>
      <c r="X27" s="236"/>
      <c r="Y27" s="241"/>
      <c r="Z27" s="241"/>
      <c r="AA27" s="241"/>
      <c r="AB27" s="241"/>
      <c r="AC27" s="241"/>
      <c r="AD27" s="241"/>
      <c r="AE27" s="241"/>
      <c r="AF27" s="241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5000</v>
      </c>
      <c r="L28" s="36">
        <f t="shared" si="4"/>
        <v>0</v>
      </c>
      <c r="M28" s="36">
        <f t="shared" si="5"/>
        <v>0</v>
      </c>
      <c r="N28" s="37"/>
      <c r="O28" s="38">
        <f t="shared" si="6"/>
        <v>1250</v>
      </c>
      <c r="P28" s="37"/>
      <c r="Q28" s="37"/>
      <c r="R28" s="37"/>
      <c r="S28" s="39">
        <f t="shared" si="2"/>
        <v>5000</v>
      </c>
      <c r="T28" s="91" t="str">
        <f t="shared" si="3"/>
        <v>OK</v>
      </c>
      <c r="U28" s="235"/>
      <c r="V28" s="235"/>
      <c r="W28" s="235"/>
      <c r="X28" s="236"/>
      <c r="Y28" s="241"/>
      <c r="Z28" s="241"/>
      <c r="AA28" s="241"/>
      <c r="AB28" s="241"/>
      <c r="AC28" s="241"/>
      <c r="AD28" s="241"/>
      <c r="AE28" s="241"/>
      <c r="AF28" s="241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3000</v>
      </c>
      <c r="L29" s="36">
        <f t="shared" si="4"/>
        <v>0</v>
      </c>
      <c r="M29" s="36">
        <f t="shared" si="5"/>
        <v>0</v>
      </c>
      <c r="N29" s="37"/>
      <c r="O29" s="38">
        <f t="shared" si="6"/>
        <v>750</v>
      </c>
      <c r="P29" s="37"/>
      <c r="Q29" s="37"/>
      <c r="R29" s="37"/>
      <c r="S29" s="39">
        <f t="shared" si="2"/>
        <v>3000</v>
      </c>
      <c r="T29" s="91" t="str">
        <f t="shared" si="3"/>
        <v>OK</v>
      </c>
      <c r="U29" s="235"/>
      <c r="V29" s="235"/>
      <c r="W29" s="236"/>
      <c r="X29" s="236"/>
      <c r="Y29" s="241"/>
      <c r="Z29" s="241"/>
      <c r="AA29" s="241"/>
      <c r="AB29" s="241"/>
      <c r="AC29" s="241"/>
      <c r="AD29" s="241"/>
      <c r="AE29" s="241"/>
      <c r="AF29" s="241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10000</v>
      </c>
      <c r="L30" s="36">
        <f t="shared" si="4"/>
        <v>0</v>
      </c>
      <c r="M30" s="36">
        <f t="shared" si="5"/>
        <v>0</v>
      </c>
      <c r="N30" s="37"/>
      <c r="O30" s="38">
        <f t="shared" si="6"/>
        <v>2500</v>
      </c>
      <c r="P30" s="37"/>
      <c r="Q30" s="37"/>
      <c r="R30" s="37"/>
      <c r="S30" s="39">
        <f t="shared" si="2"/>
        <v>10000</v>
      </c>
      <c r="T30" s="91" t="str">
        <f t="shared" si="3"/>
        <v>OK</v>
      </c>
      <c r="U30" s="235"/>
      <c r="V30" s="235"/>
      <c r="W30" s="235"/>
      <c r="X30" s="236"/>
      <c r="Y30" s="241"/>
      <c r="Z30" s="241"/>
      <c r="AA30" s="241"/>
      <c r="AB30" s="241"/>
      <c r="AC30" s="241"/>
      <c r="AD30" s="241"/>
      <c r="AE30" s="241"/>
      <c r="AF30" s="241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1800</v>
      </c>
      <c r="L31" s="36">
        <f t="shared" si="4"/>
        <v>0</v>
      </c>
      <c r="M31" s="36">
        <f t="shared" si="5"/>
        <v>0</v>
      </c>
      <c r="N31" s="37"/>
      <c r="O31" s="38">
        <f t="shared" si="6"/>
        <v>450</v>
      </c>
      <c r="P31" s="37"/>
      <c r="Q31" s="37"/>
      <c r="R31" s="37"/>
      <c r="S31" s="39">
        <f t="shared" si="2"/>
        <v>1800</v>
      </c>
      <c r="T31" s="91" t="str">
        <f t="shared" si="3"/>
        <v>OK</v>
      </c>
      <c r="U31" s="235"/>
      <c r="V31" s="236"/>
      <c r="W31" s="235"/>
      <c r="X31" s="236"/>
      <c r="Y31" s="241"/>
      <c r="Z31" s="241"/>
      <c r="AA31" s="241"/>
      <c r="AB31" s="241"/>
      <c r="AC31" s="241"/>
      <c r="AD31" s="241"/>
      <c r="AE31" s="241"/>
      <c r="AF31" s="241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15000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3750</v>
      </c>
      <c r="P32" s="37"/>
      <c r="Q32" s="37"/>
      <c r="R32" s="37"/>
      <c r="S32" s="39">
        <f t="shared" ref="S32" si="10">K32+N32+P32+Q32-M32</f>
        <v>15000</v>
      </c>
      <c r="T32" s="91" t="str">
        <f t="shared" ref="T32" si="11">IF(S32&lt;0,"ATENÇÃO","OK")</f>
        <v>OK</v>
      </c>
      <c r="U32" s="235"/>
      <c r="V32" s="236"/>
      <c r="W32" s="235"/>
      <c r="X32" s="236"/>
      <c r="Y32" s="241"/>
      <c r="Z32" s="241"/>
      <c r="AA32" s="241"/>
      <c r="AB32" s="241"/>
      <c r="AC32" s="241"/>
      <c r="AD32" s="241"/>
      <c r="AE32" s="241"/>
      <c r="AF32" s="241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235"/>
      <c r="X33" s="236"/>
      <c r="Y33" s="241"/>
      <c r="Z33" s="241"/>
      <c r="AA33" s="241"/>
      <c r="AB33" s="241"/>
      <c r="AC33" s="241"/>
      <c r="AD33" s="241"/>
      <c r="AE33" s="241"/>
      <c r="AF33" s="241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235"/>
      <c r="X34" s="236"/>
      <c r="Y34" s="241"/>
      <c r="Z34" s="241"/>
      <c r="AA34" s="241"/>
      <c r="AB34" s="241"/>
      <c r="AC34" s="241"/>
      <c r="AD34" s="241"/>
      <c r="AE34" s="241"/>
      <c r="AF34" s="241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235"/>
      <c r="X35" s="236"/>
      <c r="Y35" s="241"/>
      <c r="Z35" s="241"/>
      <c r="AA35" s="241"/>
      <c r="AB35" s="241"/>
      <c r="AC35" s="241"/>
      <c r="AD35" s="241"/>
      <c r="AE35" s="241"/>
      <c r="AF35" s="241"/>
      <c r="AG35" s="95"/>
      <c r="AH35" s="95"/>
      <c r="AI35" s="95"/>
    </row>
    <row r="36" spans="1:35" x14ac:dyDescent="0.2">
      <c r="K36" s="27">
        <f>SUM(K4:K35)</f>
        <v>51003</v>
      </c>
      <c r="S36" s="28">
        <f>SUM(S4:S35)</f>
        <v>50280.5</v>
      </c>
      <c r="U36" s="248">
        <f>SUMPRODUCT($J$4:$J$35,U4:U35)</f>
        <v>6000</v>
      </c>
      <c r="V36" s="248">
        <f t="shared" ref="V36:AI36" si="12">SUMPRODUCT($J$4:$J$35,V4:V35)</f>
        <v>353.5</v>
      </c>
      <c r="W36" s="248">
        <f t="shared" si="12"/>
        <v>1519.6000000000001</v>
      </c>
      <c r="X36" s="248">
        <f t="shared" si="12"/>
        <v>315</v>
      </c>
      <c r="Y36" s="248">
        <f t="shared" si="12"/>
        <v>3368.4</v>
      </c>
      <c r="Z36" s="248">
        <f t="shared" si="12"/>
        <v>1749.94</v>
      </c>
      <c r="AA36" s="248">
        <f t="shared" si="12"/>
        <v>303.92</v>
      </c>
      <c r="AB36" s="248">
        <f t="shared" si="12"/>
        <v>3675</v>
      </c>
      <c r="AC36" s="248">
        <f t="shared" si="12"/>
        <v>315</v>
      </c>
      <c r="AD36" s="248">
        <f t="shared" si="12"/>
        <v>309.94</v>
      </c>
      <c r="AE36" s="248">
        <f t="shared" si="12"/>
        <v>306.60000000000002</v>
      </c>
      <c r="AF36" s="248">
        <f t="shared" si="12"/>
        <v>1475.21</v>
      </c>
      <c r="AG36" s="248">
        <f t="shared" si="12"/>
        <v>0</v>
      </c>
      <c r="AH36" s="248">
        <f t="shared" si="12"/>
        <v>0</v>
      </c>
      <c r="AI36" s="248">
        <f t="shared" si="12"/>
        <v>0</v>
      </c>
    </row>
  </sheetData>
  <mergeCells count="53">
    <mergeCell ref="A27:A28"/>
    <mergeCell ref="B27:B28"/>
    <mergeCell ref="D27:D28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3:A24"/>
    <mergeCell ref="B23:B24"/>
    <mergeCell ref="D23:D24"/>
    <mergeCell ref="A25:A26"/>
    <mergeCell ref="B25:B26"/>
    <mergeCell ref="D25:D26"/>
    <mergeCell ref="A14:A15"/>
    <mergeCell ref="B14:B15"/>
    <mergeCell ref="D14:D15"/>
    <mergeCell ref="A19:A20"/>
    <mergeCell ref="B19:B20"/>
    <mergeCell ref="D19:D20"/>
    <mergeCell ref="A9:A10"/>
    <mergeCell ref="B9:B10"/>
    <mergeCell ref="D9:D10"/>
    <mergeCell ref="A11:A13"/>
    <mergeCell ref="B11:B13"/>
    <mergeCell ref="D11:D13"/>
    <mergeCell ref="Y1:Y2"/>
    <mergeCell ref="Z1:Z2"/>
    <mergeCell ref="AA1:AA2"/>
    <mergeCell ref="AB1:AB2"/>
    <mergeCell ref="A4:A8"/>
    <mergeCell ref="B4:B8"/>
    <mergeCell ref="D4:D8"/>
    <mergeCell ref="AH1:AH2"/>
    <mergeCell ref="AI1:AI2"/>
    <mergeCell ref="W1:W2"/>
    <mergeCell ref="A1:C1"/>
    <mergeCell ref="D1:J1"/>
    <mergeCell ref="K1:T1"/>
    <mergeCell ref="U1:U2"/>
    <mergeCell ref="V1:V2"/>
    <mergeCell ref="K2:T2"/>
    <mergeCell ref="A2:J2"/>
    <mergeCell ref="AC1:AC2"/>
    <mergeCell ref="AD1:AD2"/>
    <mergeCell ref="AE1:AE2"/>
    <mergeCell ref="AF1:AF2"/>
    <mergeCell ref="AG1:AG2"/>
    <mergeCell ref="X1:X2"/>
  </mergeCells>
  <conditionalFormatting sqref="AG4:AL32">
    <cfRule type="cellIs" dxfId="15" priority="2" operator="greaterThan">
      <formula>0</formula>
    </cfRule>
  </conditionalFormatting>
  <conditionalFormatting sqref="U4:AI35">
    <cfRule type="cellIs" dxfId="1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3244-A607-43FF-9103-9D6980D29074}">
  <dimension ref="A1:AI36"/>
  <sheetViews>
    <sheetView topLeftCell="A22" zoomScale="70" zoomScaleNormal="70" workbookViewId="0">
      <selection activeCell="S47" sqref="S47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.140625" style="27" customWidth="1"/>
    <col min="19" max="19" width="9.140625" style="28" customWidth="1"/>
    <col min="20" max="20" width="9.140625" style="29" customWidth="1"/>
    <col min="21" max="21" width="13.7109375" style="131" customWidth="1"/>
    <col min="22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177</v>
      </c>
      <c r="V1" s="315" t="s">
        <v>178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147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45929</v>
      </c>
      <c r="V3" s="234">
        <v>45929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20</v>
      </c>
      <c r="L4" s="36">
        <f t="shared" ref="L4" si="0">IF(SUM(U4:AL4)&gt;K4+N4,K4+N4,SUM(U4:AL4))</f>
        <v>2</v>
      </c>
      <c r="M4" s="36">
        <f t="shared" ref="M4" si="1">(SUM(U4:AL4))</f>
        <v>2</v>
      </c>
      <c r="N4" s="37"/>
      <c r="O4" s="38">
        <f>ROUND(IF(K4*0.25-0.5&lt;0,0,K4*0.25-0.5),0)-R4-P4</f>
        <v>5</v>
      </c>
      <c r="P4" s="37"/>
      <c r="Q4" s="37"/>
      <c r="R4" s="37"/>
      <c r="S4" s="39">
        <f t="shared" ref="S4:S35" si="2">K4+N4+P4+Q4-M4</f>
        <v>18</v>
      </c>
      <c r="T4" s="91" t="str">
        <f t="shared" ref="T4:T36" si="3">IF(S4&lt;0,"ATENÇÃO","OK")</f>
        <v>OK</v>
      </c>
      <c r="U4" s="236"/>
      <c r="V4" s="236">
        <v>2</v>
      </c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20</v>
      </c>
      <c r="L5" s="36">
        <f t="shared" ref="L5:L35" si="4">IF(SUM(U5:AL5)&gt;K5+N5,K5+N5,SUM(U5:AL5))</f>
        <v>20</v>
      </c>
      <c r="M5" s="36">
        <f t="shared" ref="M5:M35" si="5">(SUM(U5:AL5))</f>
        <v>20</v>
      </c>
      <c r="N5" s="37"/>
      <c r="O5" s="38">
        <f t="shared" ref="O5:O35" si="6">ROUND(IF(K5*0.25-0.5&lt;0,0,K5*0.25-0.5),0)-R5-P5</f>
        <v>5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236"/>
      <c r="V5" s="236">
        <v>20</v>
      </c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36"/>
      <c r="V6" s="23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/>
      <c r="L7" s="36">
        <f t="shared" si="4"/>
        <v>0</v>
      </c>
      <c r="M7" s="36">
        <f t="shared" si="5"/>
        <v>0</v>
      </c>
      <c r="N7" s="37"/>
      <c r="O7" s="38">
        <f t="shared" si="6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36"/>
      <c r="V7" s="23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20</v>
      </c>
      <c r="L8" s="36">
        <f t="shared" si="4"/>
        <v>10</v>
      </c>
      <c r="M8" s="36">
        <f t="shared" si="5"/>
        <v>10</v>
      </c>
      <c r="N8" s="37"/>
      <c r="O8" s="38">
        <f t="shared" si="6"/>
        <v>5</v>
      </c>
      <c r="P8" s="37"/>
      <c r="Q8" s="37"/>
      <c r="R8" s="37"/>
      <c r="S8" s="39">
        <f t="shared" si="2"/>
        <v>10</v>
      </c>
      <c r="T8" s="91" t="str">
        <f t="shared" si="3"/>
        <v>OK</v>
      </c>
      <c r="U8" s="236"/>
      <c r="V8" s="236">
        <v>10</v>
      </c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6"/>
      <c r="V9" s="235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100</v>
      </c>
      <c r="L10" s="36">
        <f t="shared" si="4"/>
        <v>0</v>
      </c>
      <c r="M10" s="36">
        <f t="shared" si="5"/>
        <v>0</v>
      </c>
      <c r="N10" s="37"/>
      <c r="O10" s="38">
        <f t="shared" si="6"/>
        <v>25</v>
      </c>
      <c r="P10" s="37"/>
      <c r="Q10" s="37"/>
      <c r="R10" s="37"/>
      <c r="S10" s="39">
        <f t="shared" si="2"/>
        <v>100</v>
      </c>
      <c r="T10" s="91" t="str">
        <f t="shared" si="3"/>
        <v>OK</v>
      </c>
      <c r="U10" s="236"/>
      <c r="V10" s="235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1</v>
      </c>
      <c r="L11" s="36">
        <f t="shared" si="4"/>
        <v>0</v>
      </c>
      <c r="M11" s="36">
        <f t="shared" si="5"/>
        <v>0</v>
      </c>
      <c r="N11" s="37"/>
      <c r="O11" s="38">
        <f t="shared" si="6"/>
        <v>0</v>
      </c>
      <c r="P11" s="37"/>
      <c r="Q11" s="37"/>
      <c r="R11" s="37"/>
      <c r="S11" s="39">
        <f t="shared" si="2"/>
        <v>1</v>
      </c>
      <c r="T11" s="91" t="str">
        <f t="shared" si="3"/>
        <v>OK</v>
      </c>
      <c r="U11" s="237"/>
      <c r="V11" s="235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4</v>
      </c>
      <c r="L12" s="36">
        <f t="shared" si="4"/>
        <v>0</v>
      </c>
      <c r="M12" s="36">
        <f t="shared" si="5"/>
        <v>0</v>
      </c>
      <c r="N12" s="37"/>
      <c r="O12" s="38">
        <f t="shared" si="6"/>
        <v>1</v>
      </c>
      <c r="P12" s="37"/>
      <c r="Q12" s="37"/>
      <c r="R12" s="37"/>
      <c r="S12" s="39">
        <f t="shared" si="2"/>
        <v>4</v>
      </c>
      <c r="T12" s="91" t="str">
        <f t="shared" si="3"/>
        <v>OK</v>
      </c>
      <c r="U12" s="236"/>
      <c r="V12" s="235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36"/>
      <c r="V13" s="235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30</v>
      </c>
      <c r="L14" s="36">
        <f t="shared" si="4"/>
        <v>0</v>
      </c>
      <c r="M14" s="36">
        <f t="shared" si="5"/>
        <v>0</v>
      </c>
      <c r="N14" s="37"/>
      <c r="O14" s="38">
        <f t="shared" si="6"/>
        <v>7</v>
      </c>
      <c r="P14" s="37"/>
      <c r="Q14" s="37"/>
      <c r="R14" s="37"/>
      <c r="S14" s="39">
        <f t="shared" si="2"/>
        <v>30</v>
      </c>
      <c r="T14" s="91" t="str">
        <f t="shared" si="3"/>
        <v>OK</v>
      </c>
      <c r="U14" s="236"/>
      <c r="V14" s="235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6"/>
      <c r="V15" s="235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10</v>
      </c>
      <c r="L16" s="36">
        <f t="shared" si="4"/>
        <v>0</v>
      </c>
      <c r="M16" s="36">
        <f t="shared" si="5"/>
        <v>0</v>
      </c>
      <c r="N16" s="37"/>
      <c r="O16" s="38">
        <f t="shared" si="6"/>
        <v>2</v>
      </c>
      <c r="P16" s="37"/>
      <c r="Q16" s="37"/>
      <c r="R16" s="37"/>
      <c r="S16" s="39">
        <f t="shared" si="2"/>
        <v>10</v>
      </c>
      <c r="T16" s="91" t="str">
        <f t="shared" si="3"/>
        <v>OK</v>
      </c>
      <c r="U16" s="236"/>
      <c r="V16" s="235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50</v>
      </c>
      <c r="L17" s="36">
        <f t="shared" si="4"/>
        <v>0</v>
      </c>
      <c r="M17" s="36">
        <f t="shared" si="5"/>
        <v>0</v>
      </c>
      <c r="N17" s="37"/>
      <c r="O17" s="38">
        <f t="shared" si="6"/>
        <v>12</v>
      </c>
      <c r="P17" s="37"/>
      <c r="Q17" s="37"/>
      <c r="R17" s="37"/>
      <c r="S17" s="39">
        <f t="shared" si="2"/>
        <v>50</v>
      </c>
      <c r="T17" s="91" t="str">
        <f t="shared" si="3"/>
        <v>OK</v>
      </c>
      <c r="U17" s="236"/>
      <c r="V17" s="23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4"/>
        <v>0</v>
      </c>
      <c r="M18" s="36">
        <f t="shared" si="5"/>
        <v>0</v>
      </c>
      <c r="N18" s="37"/>
      <c r="O18" s="38">
        <f t="shared" si="6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236"/>
      <c r="V18" s="23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4"/>
        <v>0</v>
      </c>
      <c r="M19" s="36">
        <f t="shared" si="5"/>
        <v>0</v>
      </c>
      <c r="N19" s="37"/>
      <c r="O19" s="38">
        <f t="shared" si="6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236"/>
      <c r="V19" s="23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36"/>
      <c r="V20" s="23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36"/>
      <c r="V21" s="235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1500</v>
      </c>
      <c r="L22" s="36">
        <f t="shared" si="4"/>
        <v>0</v>
      </c>
      <c r="M22" s="36">
        <f t="shared" si="5"/>
        <v>0</v>
      </c>
      <c r="N22" s="37"/>
      <c r="O22" s="38">
        <f t="shared" si="6"/>
        <v>375</v>
      </c>
      <c r="P22" s="37"/>
      <c r="Q22" s="37"/>
      <c r="R22" s="37"/>
      <c r="S22" s="39">
        <f t="shared" si="2"/>
        <v>1500</v>
      </c>
      <c r="T22" s="91" t="str">
        <f t="shared" si="3"/>
        <v>OK</v>
      </c>
      <c r="U22" s="236"/>
      <c r="V22" s="235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36"/>
      <c r="V23" s="235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6"/>
      <c r="V24" s="235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100</v>
      </c>
      <c r="L25" s="36">
        <f t="shared" si="4"/>
        <v>0</v>
      </c>
      <c r="M25" s="36">
        <f t="shared" si="5"/>
        <v>0</v>
      </c>
      <c r="N25" s="37"/>
      <c r="O25" s="38">
        <f t="shared" si="6"/>
        <v>25</v>
      </c>
      <c r="P25" s="37"/>
      <c r="Q25" s="37"/>
      <c r="R25" s="37"/>
      <c r="S25" s="39">
        <f t="shared" si="2"/>
        <v>100</v>
      </c>
      <c r="T25" s="91" t="str">
        <f t="shared" si="3"/>
        <v>OK</v>
      </c>
      <c r="U25" s="236"/>
      <c r="V25" s="235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1000</v>
      </c>
      <c r="L26" s="36">
        <f t="shared" si="4"/>
        <v>0</v>
      </c>
      <c r="M26" s="36">
        <f t="shared" si="5"/>
        <v>0</v>
      </c>
      <c r="N26" s="37"/>
      <c r="O26" s="38">
        <f t="shared" si="6"/>
        <v>250</v>
      </c>
      <c r="P26" s="37"/>
      <c r="Q26" s="37"/>
      <c r="R26" s="37"/>
      <c r="S26" s="39">
        <f t="shared" si="2"/>
        <v>1000</v>
      </c>
      <c r="T26" s="91" t="str">
        <f t="shared" si="3"/>
        <v>OK</v>
      </c>
      <c r="U26" s="236"/>
      <c r="V26" s="235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/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36"/>
      <c r="V27" s="235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/>
      <c r="L28" s="36">
        <f t="shared" si="4"/>
        <v>0</v>
      </c>
      <c r="M28" s="36">
        <f t="shared" si="5"/>
        <v>0</v>
      </c>
      <c r="N28" s="37"/>
      <c r="O28" s="38">
        <f t="shared" si="6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236"/>
      <c r="V28" s="235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500</v>
      </c>
      <c r="L29" s="36">
        <f t="shared" si="4"/>
        <v>0</v>
      </c>
      <c r="M29" s="36">
        <f t="shared" si="5"/>
        <v>0</v>
      </c>
      <c r="N29" s="37"/>
      <c r="O29" s="38">
        <f t="shared" si="6"/>
        <v>125</v>
      </c>
      <c r="P29" s="37"/>
      <c r="Q29" s="37"/>
      <c r="R29" s="37"/>
      <c r="S29" s="39">
        <f t="shared" si="2"/>
        <v>500</v>
      </c>
      <c r="T29" s="91" t="str">
        <f t="shared" si="3"/>
        <v>OK</v>
      </c>
      <c r="U29" s="236"/>
      <c r="V29" s="235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4"/>
        <v>0</v>
      </c>
      <c r="M30" s="36">
        <f t="shared" si="5"/>
        <v>0</v>
      </c>
      <c r="N30" s="37"/>
      <c r="O30" s="38">
        <f t="shared" si="6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36"/>
      <c r="V30" s="235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1000</v>
      </c>
      <c r="L31" s="36">
        <f t="shared" si="4"/>
        <v>0</v>
      </c>
      <c r="M31" s="36">
        <f t="shared" si="5"/>
        <v>0</v>
      </c>
      <c r="N31" s="37"/>
      <c r="O31" s="38">
        <f t="shared" si="6"/>
        <v>250</v>
      </c>
      <c r="P31" s="37"/>
      <c r="Q31" s="37"/>
      <c r="R31" s="37"/>
      <c r="S31" s="39">
        <f t="shared" si="2"/>
        <v>1000</v>
      </c>
      <c r="T31" s="91" t="str">
        <f t="shared" si="3"/>
        <v>OK</v>
      </c>
      <c r="U31" s="236"/>
      <c r="V31" s="23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0</v>
      </c>
      <c r="P32" s="37"/>
      <c r="Q32" s="37"/>
      <c r="R32" s="37"/>
      <c r="S32" s="39">
        <f t="shared" ref="S32" si="10">K32+N32+P32+Q32-M32</f>
        <v>0</v>
      </c>
      <c r="T32" s="91" t="str">
        <f t="shared" ref="T32" si="11">IF(S32&lt;0,"ATENÇÃO","OK")</f>
        <v>OK</v>
      </c>
      <c r="U32" s="236"/>
      <c r="V32" s="23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30.7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170</v>
      </c>
      <c r="M33" s="36">
        <f t="shared" si="5"/>
        <v>170</v>
      </c>
      <c r="N33" s="37">
        <v>170</v>
      </c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6">
        <v>170</v>
      </c>
      <c r="V33" s="235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6"/>
      <c r="V34" s="235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6"/>
      <c r="V35" s="235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ht="17.45" customHeight="1" x14ac:dyDescent="0.2">
      <c r="K36" s="27">
        <f>SUM(K4:K35)</f>
        <v>4355</v>
      </c>
      <c r="S36" s="233">
        <f>SUM(S4:S35)</f>
        <v>4323</v>
      </c>
      <c r="T36" s="29" t="str">
        <f t="shared" si="3"/>
        <v>OK</v>
      </c>
      <c r="U36" s="240">
        <f>SUMPRODUCT($J$4:$J$35,U4:U35)</f>
        <v>1326</v>
      </c>
      <c r="V36" s="239">
        <f t="shared" ref="V36:AI36" si="12">SUMPRODUCT($J$4:$J$35,V4:V35)</f>
        <v>991.64</v>
      </c>
      <c r="W36" s="239">
        <f t="shared" si="12"/>
        <v>0</v>
      </c>
      <c r="X36" s="239">
        <f t="shared" si="12"/>
        <v>0</v>
      </c>
      <c r="Y36" s="239">
        <f t="shared" si="12"/>
        <v>0</v>
      </c>
      <c r="Z36" s="239">
        <f t="shared" si="12"/>
        <v>0</v>
      </c>
      <c r="AA36" s="239">
        <f t="shared" si="12"/>
        <v>0</v>
      </c>
      <c r="AB36" s="239">
        <f t="shared" si="12"/>
        <v>0</v>
      </c>
      <c r="AC36" s="239">
        <f t="shared" si="12"/>
        <v>0</v>
      </c>
      <c r="AD36" s="239">
        <f t="shared" si="12"/>
        <v>0</v>
      </c>
      <c r="AE36" s="239">
        <f t="shared" si="12"/>
        <v>0</v>
      </c>
      <c r="AF36" s="239">
        <f t="shared" si="12"/>
        <v>0</v>
      </c>
      <c r="AG36" s="239">
        <f t="shared" si="12"/>
        <v>0</v>
      </c>
      <c r="AH36" s="239">
        <f t="shared" si="12"/>
        <v>0</v>
      </c>
      <c r="AI36" s="239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13" priority="2" operator="greaterThan">
      <formula>0</formula>
    </cfRule>
  </conditionalFormatting>
  <conditionalFormatting sqref="U4:AI35">
    <cfRule type="cellIs" dxfId="12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34D2-3089-4265-9A7F-534732801B19}">
  <dimension ref="A1:AI36"/>
  <sheetViews>
    <sheetView topLeftCell="A11" zoomScale="60" zoomScaleNormal="60" workbookViewId="0">
      <selection activeCell="C15" sqref="C15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3" width="14" style="27" bestFit="1" customWidth="1"/>
    <col min="14" max="14" width="12.42578125" style="27" customWidth="1"/>
    <col min="15" max="15" width="14" style="27" bestFit="1" customWidth="1"/>
    <col min="16" max="18" width="10.140625" style="27" customWidth="1"/>
    <col min="19" max="19" width="10.28515625" style="28" customWidth="1"/>
    <col min="20" max="20" width="10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83" t="s">
        <v>55</v>
      </c>
      <c r="V1" s="283" t="s">
        <v>55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146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8.2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0</v>
      </c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5" si="3">IF(S4&lt;0,"ATENÇÃO","OK")</f>
        <v>OK</v>
      </c>
      <c r="U4" s="92"/>
      <c r="V4" s="92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20</v>
      </c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5</v>
      </c>
      <c r="P5" s="37"/>
      <c r="Q5" s="37"/>
      <c r="R5" s="37"/>
      <c r="S5" s="39">
        <f t="shared" si="2"/>
        <v>20</v>
      </c>
      <c r="T5" s="91" t="str">
        <f t="shared" si="3"/>
        <v>OK</v>
      </c>
      <c r="U5" s="92"/>
      <c r="V5" s="92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0</v>
      </c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92"/>
      <c r="V6" s="9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5</v>
      </c>
      <c r="L7" s="36">
        <f t="shared" si="4"/>
        <v>0</v>
      </c>
      <c r="M7" s="36">
        <f t="shared" si="5"/>
        <v>0</v>
      </c>
      <c r="N7" s="37"/>
      <c r="O7" s="38">
        <f t="shared" si="6"/>
        <v>1</v>
      </c>
      <c r="P7" s="37"/>
      <c r="Q7" s="37"/>
      <c r="R7" s="37"/>
      <c r="S7" s="39">
        <f t="shared" si="2"/>
        <v>5</v>
      </c>
      <c r="T7" s="91" t="str">
        <f t="shared" si="3"/>
        <v>OK</v>
      </c>
      <c r="U7" s="92"/>
      <c r="V7" s="9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70</v>
      </c>
      <c r="L8" s="36">
        <f t="shared" si="4"/>
        <v>0</v>
      </c>
      <c r="M8" s="36">
        <f t="shared" si="5"/>
        <v>0</v>
      </c>
      <c r="N8" s="37"/>
      <c r="O8" s="38">
        <f t="shared" si="6"/>
        <v>17</v>
      </c>
      <c r="P8" s="37"/>
      <c r="Q8" s="37"/>
      <c r="R8" s="37"/>
      <c r="S8" s="39">
        <f t="shared" si="2"/>
        <v>70</v>
      </c>
      <c r="T8" s="91" t="str">
        <f t="shared" si="3"/>
        <v>OK</v>
      </c>
      <c r="U8" s="92"/>
      <c r="V8" s="9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0</v>
      </c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92"/>
      <c r="V9" s="92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30</v>
      </c>
      <c r="L10" s="36">
        <f t="shared" si="4"/>
        <v>0</v>
      </c>
      <c r="M10" s="36">
        <f t="shared" si="5"/>
        <v>0</v>
      </c>
      <c r="N10" s="37"/>
      <c r="O10" s="38">
        <f t="shared" si="6"/>
        <v>7</v>
      </c>
      <c r="P10" s="37"/>
      <c r="Q10" s="37"/>
      <c r="R10" s="37"/>
      <c r="S10" s="39">
        <f t="shared" si="2"/>
        <v>30</v>
      </c>
      <c r="T10" s="91" t="str">
        <f t="shared" si="3"/>
        <v>OK</v>
      </c>
      <c r="U10" s="96"/>
      <c r="V10" s="92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0</v>
      </c>
      <c r="L11" s="36">
        <f t="shared" si="4"/>
        <v>0</v>
      </c>
      <c r="M11" s="36">
        <f t="shared" si="5"/>
        <v>0</v>
      </c>
      <c r="N11" s="37">
        <v>2</v>
      </c>
      <c r="O11" s="38">
        <f t="shared" si="6"/>
        <v>0</v>
      </c>
      <c r="P11" s="37"/>
      <c r="Q11" s="37"/>
      <c r="R11" s="37"/>
      <c r="S11" s="39">
        <f t="shared" si="2"/>
        <v>2</v>
      </c>
      <c r="T11" s="91" t="str">
        <f t="shared" si="3"/>
        <v>OK</v>
      </c>
      <c r="U11" s="97"/>
      <c r="V11" s="92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0</v>
      </c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92"/>
      <c r="V12" s="92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0</v>
      </c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92"/>
      <c r="V13" s="92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0</v>
      </c>
      <c r="L14" s="36">
        <f t="shared" si="4"/>
        <v>0</v>
      </c>
      <c r="M14" s="36">
        <f t="shared" si="5"/>
        <v>0</v>
      </c>
      <c r="N14" s="37">
        <v>100</v>
      </c>
      <c r="O14" s="38">
        <f t="shared" si="6"/>
        <v>0</v>
      </c>
      <c r="P14" s="37"/>
      <c r="Q14" s="37"/>
      <c r="R14" s="37"/>
      <c r="S14" s="39">
        <f t="shared" si="2"/>
        <v>100</v>
      </c>
      <c r="T14" s="91" t="str">
        <f t="shared" si="3"/>
        <v>OK</v>
      </c>
      <c r="U14" s="92"/>
      <c r="V14" s="92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10</v>
      </c>
      <c r="L15" s="36">
        <f t="shared" si="4"/>
        <v>0</v>
      </c>
      <c r="M15" s="36">
        <f t="shared" si="5"/>
        <v>0</v>
      </c>
      <c r="N15" s="37">
        <v>-1</v>
      </c>
      <c r="O15" s="38">
        <f t="shared" si="6"/>
        <v>2</v>
      </c>
      <c r="P15" s="37"/>
      <c r="Q15" s="37"/>
      <c r="R15" s="37"/>
      <c r="S15" s="39">
        <f t="shared" si="2"/>
        <v>9</v>
      </c>
      <c r="T15" s="91" t="str">
        <f t="shared" si="3"/>
        <v>OK</v>
      </c>
      <c r="U15" s="92"/>
      <c r="V15" s="92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0</v>
      </c>
      <c r="L16" s="36">
        <f t="shared" si="4"/>
        <v>0</v>
      </c>
      <c r="M16" s="36">
        <f t="shared" si="5"/>
        <v>0</v>
      </c>
      <c r="N16" s="37"/>
      <c r="O16" s="38">
        <f t="shared" si="6"/>
        <v>0</v>
      </c>
      <c r="P16" s="37"/>
      <c r="Q16" s="37"/>
      <c r="R16" s="37"/>
      <c r="S16" s="39">
        <f t="shared" si="2"/>
        <v>0</v>
      </c>
      <c r="T16" s="91" t="str">
        <f t="shared" si="3"/>
        <v>OK</v>
      </c>
      <c r="U16" s="92"/>
      <c r="V16" s="92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30</v>
      </c>
      <c r="L17" s="36">
        <f t="shared" si="4"/>
        <v>0</v>
      </c>
      <c r="M17" s="36">
        <f t="shared" si="5"/>
        <v>0</v>
      </c>
      <c r="N17" s="37"/>
      <c r="O17" s="38">
        <f t="shared" si="6"/>
        <v>7</v>
      </c>
      <c r="P17" s="37"/>
      <c r="Q17" s="37"/>
      <c r="R17" s="37"/>
      <c r="S17" s="39">
        <f t="shared" si="2"/>
        <v>30</v>
      </c>
      <c r="T17" s="91" t="str">
        <f t="shared" si="3"/>
        <v>OK</v>
      </c>
      <c r="U17" s="92"/>
      <c r="V17" s="9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5</v>
      </c>
      <c r="L18" s="36">
        <f t="shared" si="4"/>
        <v>0</v>
      </c>
      <c r="M18" s="36">
        <f t="shared" si="5"/>
        <v>0</v>
      </c>
      <c r="N18" s="37"/>
      <c r="O18" s="38">
        <f t="shared" si="6"/>
        <v>1</v>
      </c>
      <c r="P18" s="37"/>
      <c r="Q18" s="37"/>
      <c r="R18" s="37"/>
      <c r="S18" s="39">
        <f t="shared" si="2"/>
        <v>5</v>
      </c>
      <c r="T18" s="91" t="str">
        <f t="shared" si="3"/>
        <v>OK</v>
      </c>
      <c r="U18" s="92"/>
      <c r="V18" s="9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10</v>
      </c>
      <c r="L19" s="36">
        <f t="shared" si="4"/>
        <v>0</v>
      </c>
      <c r="M19" s="36">
        <f t="shared" si="5"/>
        <v>0</v>
      </c>
      <c r="N19" s="37">
        <v>99</v>
      </c>
      <c r="O19" s="38">
        <f t="shared" si="6"/>
        <v>2</v>
      </c>
      <c r="P19" s="37"/>
      <c r="Q19" s="37"/>
      <c r="R19" s="37"/>
      <c r="S19" s="39">
        <f t="shared" si="2"/>
        <v>109</v>
      </c>
      <c r="T19" s="91" t="str">
        <f t="shared" si="3"/>
        <v>OK</v>
      </c>
      <c r="U19" s="92"/>
      <c r="V19" s="9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30</v>
      </c>
      <c r="L20" s="36">
        <f t="shared" si="4"/>
        <v>0</v>
      </c>
      <c r="M20" s="36">
        <f t="shared" si="5"/>
        <v>0</v>
      </c>
      <c r="N20" s="37"/>
      <c r="O20" s="38">
        <f t="shared" si="6"/>
        <v>7</v>
      </c>
      <c r="P20" s="37"/>
      <c r="Q20" s="37"/>
      <c r="R20" s="37"/>
      <c r="S20" s="39">
        <f t="shared" si="2"/>
        <v>30</v>
      </c>
      <c r="T20" s="91" t="str">
        <f t="shared" si="3"/>
        <v>OK</v>
      </c>
      <c r="U20" s="92"/>
      <c r="V20" s="9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0</v>
      </c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96"/>
      <c r="V21" s="92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300</v>
      </c>
      <c r="L22" s="36">
        <f t="shared" si="4"/>
        <v>0</v>
      </c>
      <c r="M22" s="36">
        <f t="shared" si="5"/>
        <v>0</v>
      </c>
      <c r="N22" s="37"/>
      <c r="O22" s="38">
        <f t="shared" si="6"/>
        <v>75</v>
      </c>
      <c r="P22" s="37"/>
      <c r="Q22" s="37"/>
      <c r="R22" s="37"/>
      <c r="S22" s="39">
        <f t="shared" si="2"/>
        <v>300</v>
      </c>
      <c r="T22" s="91" t="str">
        <f t="shared" si="3"/>
        <v>OK</v>
      </c>
      <c r="U22" s="96"/>
      <c r="V22" s="92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0</v>
      </c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96"/>
      <c r="V23" s="92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0</v>
      </c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92"/>
      <c r="V24" s="92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0</v>
      </c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92"/>
      <c r="V25" s="92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0</v>
      </c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92"/>
      <c r="V26" s="92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0</v>
      </c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92"/>
      <c r="V27" s="92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0</v>
      </c>
      <c r="L28" s="36">
        <f t="shared" si="4"/>
        <v>0</v>
      </c>
      <c r="M28" s="36">
        <f t="shared" si="5"/>
        <v>0</v>
      </c>
      <c r="N28" s="37"/>
      <c r="O28" s="38">
        <f t="shared" si="6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92"/>
      <c r="V28" s="92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400</v>
      </c>
      <c r="L29" s="36">
        <f t="shared" si="4"/>
        <v>0</v>
      </c>
      <c r="M29" s="36">
        <f t="shared" si="5"/>
        <v>0</v>
      </c>
      <c r="N29" s="37">
        <v>800</v>
      </c>
      <c r="O29" s="38">
        <f t="shared" si="6"/>
        <v>100</v>
      </c>
      <c r="P29" s="37"/>
      <c r="Q29" s="37"/>
      <c r="R29" s="37"/>
      <c r="S29" s="39">
        <f t="shared" si="2"/>
        <v>1200</v>
      </c>
      <c r="T29" s="91" t="str">
        <f t="shared" si="3"/>
        <v>OK</v>
      </c>
      <c r="U29" s="92"/>
      <c r="V29" s="92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3000</v>
      </c>
      <c r="L30" s="36">
        <f t="shared" si="4"/>
        <v>0</v>
      </c>
      <c r="M30" s="36">
        <f t="shared" si="5"/>
        <v>0</v>
      </c>
      <c r="N30" s="37"/>
      <c r="O30" s="38">
        <f t="shared" si="6"/>
        <v>750</v>
      </c>
      <c r="P30" s="37"/>
      <c r="Q30" s="37"/>
      <c r="R30" s="37"/>
      <c r="S30" s="39">
        <f t="shared" si="2"/>
        <v>3000</v>
      </c>
      <c r="T30" s="91" t="str">
        <f t="shared" si="3"/>
        <v>OK</v>
      </c>
      <c r="U30" s="92"/>
      <c r="V30" s="92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1000</v>
      </c>
      <c r="L31" s="36">
        <f t="shared" si="4"/>
        <v>0</v>
      </c>
      <c r="M31" s="36">
        <f t="shared" si="5"/>
        <v>0</v>
      </c>
      <c r="N31" s="37"/>
      <c r="O31" s="38">
        <f t="shared" si="6"/>
        <v>250</v>
      </c>
      <c r="P31" s="37"/>
      <c r="Q31" s="37"/>
      <c r="R31" s="37"/>
      <c r="S31" s="39">
        <f t="shared" si="2"/>
        <v>1000</v>
      </c>
      <c r="T31" s="91" t="str">
        <f t="shared" si="3"/>
        <v>OK</v>
      </c>
      <c r="U31" s="92"/>
      <c r="V31" s="9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1200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300</v>
      </c>
      <c r="P32" s="37"/>
      <c r="Q32" s="37"/>
      <c r="R32" s="37"/>
      <c r="S32" s="39">
        <f t="shared" ref="S32" si="10">K32+N32+P32+Q32-M32</f>
        <v>1200</v>
      </c>
      <c r="T32" s="91" t="str">
        <f t="shared" ref="T32" si="11">IF(S32&lt;0,"ATENÇÃO","OK")</f>
        <v>OK</v>
      </c>
      <c r="U32" s="92"/>
      <c r="V32" s="9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92"/>
      <c r="V33" s="92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92"/>
      <c r="V34" s="92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29.25" customHeight="1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92"/>
      <c r="V35" s="92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6110</v>
      </c>
      <c r="U36" s="30">
        <f>SUMPRODUCT($J$4:$J$35,U4:U35)</f>
        <v>0</v>
      </c>
      <c r="V36" s="30">
        <f>SUMPRODUCT($J$4:$J$35,V4:V35)</f>
        <v>0</v>
      </c>
      <c r="W36" s="30">
        <f>SUMPRODUCT($J$4:$J$35,W4:W35)</f>
        <v>0</v>
      </c>
      <c r="X36" s="30">
        <f t="shared" ref="X36:AI36" si="12">SUMPRODUCT($J$4:$J$35,X4:X35)</f>
        <v>0</v>
      </c>
      <c r="Y36" s="30">
        <f t="shared" si="12"/>
        <v>0</v>
      </c>
      <c r="Z36" s="30">
        <f t="shared" si="12"/>
        <v>0</v>
      </c>
      <c r="AA36" s="30">
        <f t="shared" si="12"/>
        <v>0</v>
      </c>
      <c r="AB36" s="30">
        <f t="shared" si="12"/>
        <v>0</v>
      </c>
      <c r="AC36" s="30">
        <f t="shared" si="12"/>
        <v>0</v>
      </c>
      <c r="AD36" s="30">
        <f t="shared" si="12"/>
        <v>0</v>
      </c>
      <c r="AE36" s="30">
        <f t="shared" si="12"/>
        <v>0</v>
      </c>
      <c r="AF36" s="30">
        <f t="shared" si="12"/>
        <v>0</v>
      </c>
      <c r="AG36" s="30">
        <f t="shared" si="12"/>
        <v>0</v>
      </c>
      <c r="AH36" s="30">
        <f t="shared" si="12"/>
        <v>0</v>
      </c>
      <c r="AI36" s="30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534C-52B6-4BE0-835F-4154B1C1E9A5}">
  <dimension ref="A1:AI36"/>
  <sheetViews>
    <sheetView topLeftCell="A24" zoomScale="60" zoomScaleNormal="60" workbookViewId="0">
      <selection activeCell="Z34" sqref="Z34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.42578125" style="27" customWidth="1"/>
    <col min="19" max="19" width="9.42578125" style="28" customWidth="1"/>
    <col min="20" max="20" width="9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204</v>
      </c>
      <c r="V1" s="315" t="s">
        <v>205</v>
      </c>
      <c r="W1" s="315" t="s">
        <v>206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145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63.7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45811</v>
      </c>
      <c r="V3" s="234">
        <v>45938</v>
      </c>
      <c r="W3" s="234">
        <v>45939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35"/>
      <c r="V4" s="235"/>
      <c r="W4" s="235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/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0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235"/>
      <c r="V5" s="235"/>
      <c r="W5" s="235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10</v>
      </c>
      <c r="L6" s="36">
        <f t="shared" si="4"/>
        <v>0</v>
      </c>
      <c r="M6" s="36">
        <f t="shared" si="5"/>
        <v>0</v>
      </c>
      <c r="N6" s="37"/>
      <c r="O6" s="38">
        <f t="shared" si="6"/>
        <v>2</v>
      </c>
      <c r="P6" s="37"/>
      <c r="Q6" s="37"/>
      <c r="R6" s="37"/>
      <c r="S6" s="39">
        <f t="shared" si="2"/>
        <v>10</v>
      </c>
      <c r="T6" s="91" t="str">
        <f t="shared" si="3"/>
        <v>OK</v>
      </c>
      <c r="U6" s="235"/>
      <c r="V6" s="236"/>
      <c r="W6" s="236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5</v>
      </c>
      <c r="L7" s="36">
        <f t="shared" si="4"/>
        <v>0</v>
      </c>
      <c r="M7" s="36">
        <f t="shared" si="5"/>
        <v>0</v>
      </c>
      <c r="N7" s="37"/>
      <c r="O7" s="38">
        <f t="shared" si="6"/>
        <v>1</v>
      </c>
      <c r="P7" s="37"/>
      <c r="Q7" s="37"/>
      <c r="R7" s="37"/>
      <c r="S7" s="39">
        <f t="shared" si="2"/>
        <v>5</v>
      </c>
      <c r="T7" s="91" t="str">
        <f t="shared" si="3"/>
        <v>OK</v>
      </c>
      <c r="U7" s="235"/>
      <c r="V7" s="236"/>
      <c r="W7" s="235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235</v>
      </c>
      <c r="L8" s="36">
        <f t="shared" si="4"/>
        <v>80</v>
      </c>
      <c r="M8" s="36">
        <f t="shared" si="5"/>
        <v>80</v>
      </c>
      <c r="N8" s="37"/>
      <c r="O8" s="38">
        <f t="shared" si="6"/>
        <v>58</v>
      </c>
      <c r="P8" s="37"/>
      <c r="Q8" s="37"/>
      <c r="R8" s="37"/>
      <c r="S8" s="39">
        <f t="shared" si="2"/>
        <v>155</v>
      </c>
      <c r="T8" s="91" t="str">
        <f t="shared" si="3"/>
        <v>OK</v>
      </c>
      <c r="U8" s="246">
        <v>60</v>
      </c>
      <c r="V8" s="246">
        <v>20</v>
      </c>
      <c r="W8" s="235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5"/>
      <c r="V9" s="235"/>
      <c r="W9" s="235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60</v>
      </c>
      <c r="L10" s="36">
        <f t="shared" si="4"/>
        <v>0</v>
      </c>
      <c r="M10" s="36">
        <f t="shared" si="5"/>
        <v>0</v>
      </c>
      <c r="N10" s="37"/>
      <c r="O10" s="38">
        <f t="shared" si="6"/>
        <v>15</v>
      </c>
      <c r="P10" s="37"/>
      <c r="Q10" s="37"/>
      <c r="R10" s="37"/>
      <c r="S10" s="39">
        <f t="shared" si="2"/>
        <v>60</v>
      </c>
      <c r="T10" s="91" t="str">
        <f t="shared" si="3"/>
        <v>OK</v>
      </c>
      <c r="U10" s="236"/>
      <c r="V10" s="235"/>
      <c r="W10" s="235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6</v>
      </c>
      <c r="L11" s="36">
        <f t="shared" si="4"/>
        <v>0</v>
      </c>
      <c r="M11" s="36">
        <f t="shared" si="5"/>
        <v>0</v>
      </c>
      <c r="N11" s="37"/>
      <c r="O11" s="38">
        <f t="shared" si="6"/>
        <v>1</v>
      </c>
      <c r="P11" s="37"/>
      <c r="Q11" s="37"/>
      <c r="R11" s="37"/>
      <c r="S11" s="39">
        <f t="shared" si="2"/>
        <v>6</v>
      </c>
      <c r="T11" s="91" t="str">
        <f t="shared" si="3"/>
        <v>OK</v>
      </c>
      <c r="U11" s="237"/>
      <c r="V11" s="235"/>
      <c r="W11" s="235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5</v>
      </c>
      <c r="L12" s="36">
        <f t="shared" si="4"/>
        <v>0</v>
      </c>
      <c r="M12" s="36">
        <f t="shared" si="5"/>
        <v>0</v>
      </c>
      <c r="N12" s="37"/>
      <c r="O12" s="38">
        <f t="shared" si="6"/>
        <v>1</v>
      </c>
      <c r="P12" s="37"/>
      <c r="Q12" s="37"/>
      <c r="R12" s="37"/>
      <c r="S12" s="39">
        <f t="shared" si="2"/>
        <v>5</v>
      </c>
      <c r="T12" s="91" t="str">
        <f t="shared" si="3"/>
        <v>OK</v>
      </c>
      <c r="U12" s="235"/>
      <c r="V12" s="235"/>
      <c r="W12" s="235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35"/>
      <c r="V13" s="235"/>
      <c r="W13" s="235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150</v>
      </c>
      <c r="L14" s="36">
        <f t="shared" si="4"/>
        <v>2</v>
      </c>
      <c r="M14" s="36">
        <f t="shared" si="5"/>
        <v>2</v>
      </c>
      <c r="N14" s="37"/>
      <c r="O14" s="38">
        <f t="shared" si="6"/>
        <v>37</v>
      </c>
      <c r="P14" s="37"/>
      <c r="Q14" s="37"/>
      <c r="R14" s="37"/>
      <c r="S14" s="39">
        <f t="shared" si="2"/>
        <v>148</v>
      </c>
      <c r="T14" s="91" t="str">
        <f t="shared" si="3"/>
        <v>OK</v>
      </c>
      <c r="U14" s="235"/>
      <c r="V14" s="235"/>
      <c r="W14" s="246">
        <v>2</v>
      </c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5"/>
      <c r="V15" s="235"/>
      <c r="W15" s="235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/>
      <c r="L16" s="36">
        <f t="shared" si="4"/>
        <v>0</v>
      </c>
      <c r="M16" s="36">
        <f t="shared" si="5"/>
        <v>0</v>
      </c>
      <c r="N16" s="37"/>
      <c r="O16" s="38">
        <f t="shared" si="6"/>
        <v>0</v>
      </c>
      <c r="P16" s="37"/>
      <c r="Q16" s="37"/>
      <c r="R16" s="37"/>
      <c r="S16" s="39">
        <f t="shared" si="2"/>
        <v>0</v>
      </c>
      <c r="T16" s="91" t="str">
        <f t="shared" si="3"/>
        <v>OK</v>
      </c>
      <c r="U16" s="235"/>
      <c r="V16" s="235"/>
      <c r="W16" s="235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</v>
      </c>
      <c r="L17" s="36">
        <f t="shared" si="4"/>
        <v>0</v>
      </c>
      <c r="M17" s="36">
        <f t="shared" si="5"/>
        <v>0</v>
      </c>
      <c r="N17" s="37"/>
      <c r="O17" s="38">
        <f t="shared" si="6"/>
        <v>25</v>
      </c>
      <c r="P17" s="37"/>
      <c r="Q17" s="37"/>
      <c r="R17" s="37"/>
      <c r="S17" s="39">
        <f t="shared" si="2"/>
        <v>100</v>
      </c>
      <c r="T17" s="91" t="str">
        <f t="shared" si="3"/>
        <v>OK</v>
      </c>
      <c r="U17" s="235"/>
      <c r="V17" s="236"/>
      <c r="W17" s="235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4"/>
        <v>0</v>
      </c>
      <c r="M18" s="36">
        <f t="shared" si="5"/>
        <v>0</v>
      </c>
      <c r="N18" s="37"/>
      <c r="O18" s="38">
        <f t="shared" si="6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235"/>
      <c r="V18" s="236"/>
      <c r="W18" s="235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4"/>
        <v>0</v>
      </c>
      <c r="M19" s="36">
        <f t="shared" si="5"/>
        <v>0</v>
      </c>
      <c r="N19" s="37"/>
      <c r="O19" s="38">
        <f t="shared" si="6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235"/>
      <c r="V19" s="236"/>
      <c r="W19" s="235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35"/>
      <c r="V20" s="236"/>
      <c r="W20" s="235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36"/>
      <c r="V21" s="235"/>
      <c r="W21" s="235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500</v>
      </c>
      <c r="L22" s="36">
        <f t="shared" si="4"/>
        <v>0</v>
      </c>
      <c r="M22" s="36">
        <f t="shared" si="5"/>
        <v>0</v>
      </c>
      <c r="N22" s="37"/>
      <c r="O22" s="38">
        <f t="shared" si="6"/>
        <v>125</v>
      </c>
      <c r="P22" s="37"/>
      <c r="Q22" s="37"/>
      <c r="R22" s="37"/>
      <c r="S22" s="39">
        <f t="shared" si="2"/>
        <v>500</v>
      </c>
      <c r="T22" s="91" t="str">
        <f t="shared" si="3"/>
        <v>OK</v>
      </c>
      <c r="U22" s="236"/>
      <c r="V22" s="235"/>
      <c r="W22" s="235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36"/>
      <c r="V23" s="235"/>
      <c r="W23" s="235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5"/>
      <c r="V24" s="235"/>
      <c r="W24" s="235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235"/>
      <c r="V25" s="235"/>
      <c r="W25" s="235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35"/>
      <c r="V26" s="235"/>
      <c r="W26" s="235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/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35"/>
      <c r="V27" s="235"/>
      <c r="W27" s="235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1500</v>
      </c>
      <c r="L28" s="36">
        <f t="shared" si="4"/>
        <v>0</v>
      </c>
      <c r="M28" s="36">
        <f t="shared" si="5"/>
        <v>0</v>
      </c>
      <c r="N28" s="37"/>
      <c r="O28" s="38">
        <f t="shared" si="6"/>
        <v>375</v>
      </c>
      <c r="P28" s="37"/>
      <c r="Q28" s="37"/>
      <c r="R28" s="37"/>
      <c r="S28" s="39">
        <f t="shared" si="2"/>
        <v>1500</v>
      </c>
      <c r="T28" s="91" t="str">
        <f t="shared" si="3"/>
        <v>OK</v>
      </c>
      <c r="U28" s="235"/>
      <c r="V28" s="235"/>
      <c r="W28" s="235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4"/>
        <v>0</v>
      </c>
      <c r="M29" s="36">
        <f t="shared" si="5"/>
        <v>0</v>
      </c>
      <c r="N29" s="37"/>
      <c r="O29" s="38">
        <f t="shared" si="6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35"/>
      <c r="V29" s="235"/>
      <c r="W29" s="236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4500</v>
      </c>
      <c r="L30" s="36">
        <f t="shared" si="4"/>
        <v>0</v>
      </c>
      <c r="M30" s="36">
        <f t="shared" si="5"/>
        <v>0</v>
      </c>
      <c r="N30" s="37"/>
      <c r="O30" s="38">
        <f t="shared" si="6"/>
        <v>1125</v>
      </c>
      <c r="P30" s="37"/>
      <c r="Q30" s="37"/>
      <c r="R30" s="37"/>
      <c r="S30" s="39">
        <f t="shared" si="2"/>
        <v>4500</v>
      </c>
      <c r="T30" s="91" t="str">
        <f t="shared" si="3"/>
        <v>OK</v>
      </c>
      <c r="U30" s="235"/>
      <c r="V30" s="235"/>
      <c r="W30" s="235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/>
      <c r="L31" s="36">
        <f t="shared" si="4"/>
        <v>0</v>
      </c>
      <c r="M31" s="36">
        <f t="shared" si="5"/>
        <v>0</v>
      </c>
      <c r="N31" s="37"/>
      <c r="O31" s="38">
        <f t="shared" si="6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35"/>
      <c r="V31" s="236"/>
      <c r="W31" s="235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0</v>
      </c>
      <c r="P32" s="37"/>
      <c r="Q32" s="37"/>
      <c r="R32" s="37"/>
      <c r="S32" s="39">
        <f t="shared" ref="S32" si="10">K32+N32+P32+Q32-M32</f>
        <v>0</v>
      </c>
      <c r="T32" s="91" t="str">
        <f t="shared" ref="T32" si="11">IF(S32&lt;0,"ATENÇÃO","OK")</f>
        <v>OK</v>
      </c>
      <c r="U32" s="235"/>
      <c r="V32" s="236"/>
      <c r="W32" s="235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235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235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235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7071</v>
      </c>
      <c r="S36" s="28">
        <f>SUM(S4:S35)</f>
        <v>6989</v>
      </c>
      <c r="T36" s="29" t="str">
        <f t="shared" si="3"/>
        <v>OK</v>
      </c>
      <c r="U36" s="239">
        <f>SUMPRODUCT($J$4:$J$35,U4:U35)</f>
        <v>1575</v>
      </c>
      <c r="V36" s="239">
        <f t="shared" ref="V36:AI36" si="12">SUMPRODUCT($J$4:$J$35,V4:V35)</f>
        <v>525</v>
      </c>
      <c r="W36" s="239">
        <f t="shared" si="12"/>
        <v>59.72</v>
      </c>
      <c r="X36" s="239">
        <f t="shared" si="12"/>
        <v>0</v>
      </c>
      <c r="Y36" s="239">
        <f t="shared" si="12"/>
        <v>0</v>
      </c>
      <c r="Z36" s="239">
        <f t="shared" si="12"/>
        <v>0</v>
      </c>
      <c r="AA36" s="239">
        <f t="shared" si="12"/>
        <v>0</v>
      </c>
      <c r="AB36" s="239">
        <f t="shared" si="12"/>
        <v>0</v>
      </c>
      <c r="AC36" s="239">
        <f t="shared" si="12"/>
        <v>0</v>
      </c>
      <c r="AD36" s="239">
        <f t="shared" si="12"/>
        <v>0</v>
      </c>
      <c r="AE36" s="239">
        <f t="shared" si="12"/>
        <v>0</v>
      </c>
      <c r="AF36" s="239">
        <f t="shared" si="12"/>
        <v>0</v>
      </c>
      <c r="AG36" s="239">
        <f t="shared" si="12"/>
        <v>0</v>
      </c>
      <c r="AH36" s="239">
        <f t="shared" si="12"/>
        <v>0</v>
      </c>
      <c r="AI36" s="239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10" priority="2" operator="greaterThan">
      <formula>0</formula>
    </cfRule>
  </conditionalFormatting>
  <conditionalFormatting sqref="U4:AI35">
    <cfRule type="cellIs" dxfId="9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591B-B97E-4446-8B6E-C93D77135D01}">
  <dimension ref="A1:AH54"/>
  <sheetViews>
    <sheetView topLeftCell="A19" zoomScale="60" zoomScaleNormal="60" workbookViewId="0">
      <selection activeCell="AF7" sqref="AF7"/>
    </sheetView>
  </sheetViews>
  <sheetFormatPr defaultColWidth="9.7109375" defaultRowHeight="12.75" x14ac:dyDescent="0.2"/>
  <cols>
    <col min="1" max="1" width="4.28515625" style="24" customWidth="1"/>
    <col min="2" max="2" width="9.5703125" style="24" customWidth="1"/>
    <col min="3" max="3" width="5.5703125" style="24" bestFit="1" customWidth="1"/>
    <col min="4" max="4" width="12.85546875" style="25" customWidth="1"/>
    <col min="5" max="5" width="14.5703125" style="24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.28515625" style="27" customWidth="1"/>
    <col min="19" max="19" width="9.28515625" style="28" customWidth="1"/>
    <col min="20" max="20" width="9.28515625" style="29" customWidth="1"/>
    <col min="21" max="21" width="13.7109375" style="131" customWidth="1"/>
    <col min="22" max="33" width="13.7109375" style="35" customWidth="1"/>
    <col min="34" max="34" width="9.7109375" style="35"/>
    <col min="35" max="16384" width="9.7109375" style="17"/>
  </cols>
  <sheetData>
    <row r="1" spans="1:34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216</v>
      </c>
      <c r="V1" s="315" t="s">
        <v>217</v>
      </c>
      <c r="W1" s="315" t="s">
        <v>218</v>
      </c>
      <c r="X1" s="315" t="s">
        <v>219</v>
      </c>
      <c r="Y1" s="315" t="s">
        <v>220</v>
      </c>
      <c r="Z1" s="315" t="s">
        <v>221</v>
      </c>
      <c r="AA1" s="315" t="s">
        <v>222</v>
      </c>
      <c r="AB1" s="315" t="s">
        <v>223</v>
      </c>
      <c r="AC1" s="315" t="s">
        <v>224</v>
      </c>
      <c r="AD1" s="315" t="s">
        <v>225</v>
      </c>
      <c r="AE1" s="315" t="s">
        <v>226</v>
      </c>
      <c r="AF1" s="315" t="s">
        <v>55</v>
      </c>
      <c r="AG1" s="283" t="s">
        <v>55</v>
      </c>
    </row>
    <row r="2" spans="1:34" ht="30.75" customHeight="1" x14ac:dyDescent="0.2">
      <c r="A2" s="270" t="s">
        <v>144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283"/>
    </row>
    <row r="3" spans="1:34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50" t="s">
        <v>227</v>
      </c>
      <c r="V3" s="250" t="s">
        <v>228</v>
      </c>
      <c r="W3" s="250" t="s">
        <v>229</v>
      </c>
      <c r="X3" s="250" t="s">
        <v>230</v>
      </c>
      <c r="Y3" s="250" t="s">
        <v>231</v>
      </c>
      <c r="Z3" s="250" t="s">
        <v>232</v>
      </c>
      <c r="AA3" s="234">
        <v>45929</v>
      </c>
      <c r="AB3" s="234">
        <v>45929</v>
      </c>
      <c r="AC3" s="234">
        <v>45931</v>
      </c>
      <c r="AD3" s="250" t="s">
        <v>233</v>
      </c>
      <c r="AE3" s="250" t="s">
        <v>234</v>
      </c>
      <c r="AF3" s="250" t="s">
        <v>235</v>
      </c>
      <c r="AG3" s="21" t="s">
        <v>1</v>
      </c>
      <c r="AH3" s="24"/>
    </row>
    <row r="4" spans="1:34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10</v>
      </c>
      <c r="L4" s="36">
        <f t="shared" ref="L4:L35" si="0">IF(SUM(U4:AJ4)&gt;K4+N4,K4+N4,SUM(U4:AJ4))</f>
        <v>3</v>
      </c>
      <c r="M4" s="36">
        <f t="shared" ref="M4:M35" si="1">(SUM(U4:AJ4))</f>
        <v>3</v>
      </c>
      <c r="N4" s="37"/>
      <c r="O4" s="38">
        <f>ROUND(IF(K4*0.25-0.5&lt;0,0,K4*0.25-0.5),0)-R4-P4</f>
        <v>2</v>
      </c>
      <c r="P4" s="37"/>
      <c r="Q4" s="37"/>
      <c r="R4" s="37"/>
      <c r="S4" s="39">
        <f t="shared" ref="S4:S35" si="2">K4+N4+P4+Q4-M4</f>
        <v>7</v>
      </c>
      <c r="T4" s="91" t="str">
        <f t="shared" ref="T4:T36" si="3">IF(S4&lt;0,"ATENÇÃO","OK")</f>
        <v>OK</v>
      </c>
      <c r="U4" s="236"/>
      <c r="V4" s="236"/>
      <c r="W4" s="244"/>
      <c r="X4" s="244"/>
      <c r="Y4" s="244"/>
      <c r="Z4" s="244"/>
      <c r="AA4" s="242">
        <v>3</v>
      </c>
      <c r="AB4" s="244"/>
      <c r="AC4" s="244"/>
      <c r="AD4" s="244"/>
      <c r="AE4" s="244"/>
      <c r="AF4" s="244"/>
      <c r="AG4" s="98"/>
    </row>
    <row r="5" spans="1:34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60</v>
      </c>
      <c r="L5" s="36">
        <f t="shared" si="0"/>
        <v>2</v>
      </c>
      <c r="M5" s="36">
        <f t="shared" si="1"/>
        <v>2</v>
      </c>
      <c r="N5" s="37"/>
      <c r="O5" s="38">
        <f t="shared" ref="O5:O35" si="4">ROUND(IF(K5*0.25-0.5&lt;0,0,K5*0.25-0.5),0)-R5-P5</f>
        <v>15</v>
      </c>
      <c r="P5" s="37"/>
      <c r="Q5" s="37"/>
      <c r="R5" s="37"/>
      <c r="S5" s="39">
        <f t="shared" si="2"/>
        <v>58</v>
      </c>
      <c r="T5" s="91" t="str">
        <f t="shared" si="3"/>
        <v>OK</v>
      </c>
      <c r="U5" s="236">
        <v>2</v>
      </c>
      <c r="V5" s="236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98"/>
    </row>
    <row r="6" spans="1:34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35</v>
      </c>
      <c r="L6" s="36">
        <f t="shared" si="0"/>
        <v>8</v>
      </c>
      <c r="M6" s="36">
        <f t="shared" si="1"/>
        <v>8</v>
      </c>
      <c r="N6" s="37"/>
      <c r="O6" s="38">
        <f t="shared" si="4"/>
        <v>8</v>
      </c>
      <c r="P6" s="37"/>
      <c r="Q6" s="37"/>
      <c r="R6" s="37"/>
      <c r="S6" s="39">
        <f t="shared" si="2"/>
        <v>27</v>
      </c>
      <c r="T6" s="91" t="str">
        <f t="shared" si="3"/>
        <v>OK</v>
      </c>
      <c r="U6" s="236"/>
      <c r="V6" s="236"/>
      <c r="W6" s="244"/>
      <c r="X6" s="244"/>
      <c r="Y6" s="244"/>
      <c r="Z6" s="244"/>
      <c r="AA6" s="242">
        <v>2</v>
      </c>
      <c r="AB6" s="244"/>
      <c r="AC6" s="242">
        <v>1</v>
      </c>
      <c r="AD6" s="244"/>
      <c r="AE6" s="244"/>
      <c r="AF6" s="242">
        <v>5</v>
      </c>
      <c r="AG6" s="98"/>
    </row>
    <row r="7" spans="1:34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30</v>
      </c>
      <c r="L7" s="36">
        <f t="shared" si="0"/>
        <v>2</v>
      </c>
      <c r="M7" s="36">
        <f t="shared" si="1"/>
        <v>2</v>
      </c>
      <c r="N7" s="37"/>
      <c r="O7" s="38">
        <f t="shared" si="4"/>
        <v>7</v>
      </c>
      <c r="P7" s="37"/>
      <c r="Q7" s="37"/>
      <c r="R7" s="37"/>
      <c r="S7" s="39">
        <f t="shared" si="2"/>
        <v>28</v>
      </c>
      <c r="T7" s="91" t="str">
        <f t="shared" si="3"/>
        <v>OK</v>
      </c>
      <c r="U7" s="236"/>
      <c r="V7" s="236"/>
      <c r="W7" s="244"/>
      <c r="X7" s="244"/>
      <c r="Y7" s="244"/>
      <c r="Z7" s="244"/>
      <c r="AA7" s="244"/>
      <c r="AB7" s="244"/>
      <c r="AC7" s="244"/>
      <c r="AD7" s="244"/>
      <c r="AE7" s="244"/>
      <c r="AF7" s="242">
        <v>2</v>
      </c>
      <c r="AG7" s="98"/>
    </row>
    <row r="8" spans="1:34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30</v>
      </c>
      <c r="L8" s="36">
        <f t="shared" si="0"/>
        <v>6</v>
      </c>
      <c r="M8" s="36">
        <f t="shared" si="1"/>
        <v>6</v>
      </c>
      <c r="N8" s="37"/>
      <c r="O8" s="38">
        <f t="shared" si="4"/>
        <v>7</v>
      </c>
      <c r="P8" s="37"/>
      <c r="Q8" s="37"/>
      <c r="R8" s="37"/>
      <c r="S8" s="39">
        <f t="shared" si="2"/>
        <v>24</v>
      </c>
      <c r="T8" s="91" t="str">
        <f t="shared" si="3"/>
        <v>OK</v>
      </c>
      <c r="U8" s="236">
        <v>4</v>
      </c>
      <c r="V8" s="236"/>
      <c r="W8" s="244"/>
      <c r="X8" s="244"/>
      <c r="Y8" s="244"/>
      <c r="Z8" s="244"/>
      <c r="AA8" s="244"/>
      <c r="AB8" s="244"/>
      <c r="AC8" s="244"/>
      <c r="AD8" s="242">
        <v>2</v>
      </c>
      <c r="AE8" s="244"/>
      <c r="AF8" s="244"/>
      <c r="AG8" s="98"/>
    </row>
    <row r="9" spans="1:34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10</v>
      </c>
      <c r="L9" s="36">
        <f t="shared" si="0"/>
        <v>0</v>
      </c>
      <c r="M9" s="36">
        <f t="shared" si="1"/>
        <v>0</v>
      </c>
      <c r="N9" s="37"/>
      <c r="O9" s="38">
        <f t="shared" si="4"/>
        <v>2</v>
      </c>
      <c r="P9" s="37"/>
      <c r="Q9" s="37"/>
      <c r="R9" s="37"/>
      <c r="S9" s="39">
        <f t="shared" si="2"/>
        <v>10</v>
      </c>
      <c r="T9" s="91" t="str">
        <f t="shared" si="3"/>
        <v>OK</v>
      </c>
      <c r="U9" s="236"/>
      <c r="V9" s="236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98"/>
    </row>
    <row r="10" spans="1:34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80</v>
      </c>
      <c r="L10" s="36">
        <f t="shared" si="0"/>
        <v>5</v>
      </c>
      <c r="M10" s="36">
        <f t="shared" si="1"/>
        <v>5</v>
      </c>
      <c r="N10" s="37"/>
      <c r="O10" s="38">
        <f t="shared" si="4"/>
        <v>20</v>
      </c>
      <c r="P10" s="37"/>
      <c r="Q10" s="37"/>
      <c r="R10" s="37"/>
      <c r="S10" s="39">
        <f t="shared" si="2"/>
        <v>75</v>
      </c>
      <c r="T10" s="91" t="str">
        <f t="shared" si="3"/>
        <v>OK</v>
      </c>
      <c r="U10" s="236"/>
      <c r="V10" s="242">
        <v>2</v>
      </c>
      <c r="W10" s="244"/>
      <c r="X10" s="244"/>
      <c r="Y10" s="244"/>
      <c r="Z10" s="244"/>
      <c r="AA10" s="244"/>
      <c r="AB10" s="242">
        <v>3</v>
      </c>
      <c r="AC10" s="244"/>
      <c r="AD10" s="244"/>
      <c r="AE10" s="244"/>
      <c r="AF10" s="244"/>
      <c r="AG10" s="98"/>
    </row>
    <row r="11" spans="1:34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4</v>
      </c>
      <c r="L11" s="36">
        <f t="shared" si="0"/>
        <v>3</v>
      </c>
      <c r="M11" s="36">
        <f t="shared" si="1"/>
        <v>3</v>
      </c>
      <c r="N11" s="37"/>
      <c r="O11" s="38">
        <f t="shared" si="4"/>
        <v>1</v>
      </c>
      <c r="P11" s="37"/>
      <c r="Q11" s="37"/>
      <c r="R11" s="37"/>
      <c r="S11" s="39">
        <f t="shared" si="2"/>
        <v>1</v>
      </c>
      <c r="T11" s="91" t="str">
        <f t="shared" si="3"/>
        <v>OK</v>
      </c>
      <c r="U11" s="237"/>
      <c r="V11" s="236"/>
      <c r="W11" s="244"/>
      <c r="X11" s="244"/>
      <c r="Y11" s="244"/>
      <c r="Z11" s="244"/>
      <c r="AA11" s="244"/>
      <c r="AB11" s="242">
        <v>2</v>
      </c>
      <c r="AC11" s="244"/>
      <c r="AD11" s="244"/>
      <c r="AE11" s="244"/>
      <c r="AF11" s="242">
        <v>1</v>
      </c>
      <c r="AG11" s="98"/>
    </row>
    <row r="12" spans="1:34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4</v>
      </c>
      <c r="L12" s="36">
        <f t="shared" si="0"/>
        <v>0</v>
      </c>
      <c r="M12" s="36">
        <f t="shared" si="1"/>
        <v>0</v>
      </c>
      <c r="N12" s="37"/>
      <c r="O12" s="38">
        <f t="shared" si="4"/>
        <v>1</v>
      </c>
      <c r="P12" s="37"/>
      <c r="Q12" s="37"/>
      <c r="R12" s="37"/>
      <c r="S12" s="39">
        <f t="shared" si="2"/>
        <v>4</v>
      </c>
      <c r="T12" s="91" t="str">
        <f t="shared" si="3"/>
        <v>OK</v>
      </c>
      <c r="U12" s="236"/>
      <c r="V12" s="236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98"/>
    </row>
    <row r="13" spans="1:34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4</v>
      </c>
      <c r="L13" s="36">
        <f t="shared" si="0"/>
        <v>0</v>
      </c>
      <c r="M13" s="36">
        <f t="shared" si="1"/>
        <v>0</v>
      </c>
      <c r="N13" s="37"/>
      <c r="O13" s="38">
        <f t="shared" si="4"/>
        <v>1</v>
      </c>
      <c r="P13" s="37"/>
      <c r="Q13" s="37"/>
      <c r="R13" s="37"/>
      <c r="S13" s="39">
        <f t="shared" si="2"/>
        <v>4</v>
      </c>
      <c r="T13" s="91" t="str">
        <f t="shared" si="3"/>
        <v>OK</v>
      </c>
      <c r="U13" s="236"/>
      <c r="V13" s="236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98"/>
    </row>
    <row r="14" spans="1:34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10</v>
      </c>
      <c r="L14" s="36">
        <f t="shared" si="0"/>
        <v>10</v>
      </c>
      <c r="M14" s="36">
        <f t="shared" si="1"/>
        <v>10</v>
      </c>
      <c r="N14" s="37"/>
      <c r="O14" s="38">
        <f t="shared" si="4"/>
        <v>2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236">
        <v>5</v>
      </c>
      <c r="V14" s="236"/>
      <c r="W14" s="242">
        <v>5</v>
      </c>
      <c r="X14" s="244"/>
      <c r="Y14" s="244"/>
      <c r="Z14" s="244"/>
      <c r="AA14" s="244"/>
      <c r="AB14" s="244"/>
      <c r="AC14" s="244"/>
      <c r="AD14" s="244"/>
      <c r="AE14" s="244"/>
      <c r="AF14" s="244"/>
      <c r="AG14" s="98"/>
    </row>
    <row r="15" spans="1:34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10</v>
      </c>
      <c r="L15" s="36">
        <f t="shared" si="0"/>
        <v>10</v>
      </c>
      <c r="M15" s="36">
        <f t="shared" si="1"/>
        <v>10</v>
      </c>
      <c r="N15" s="37"/>
      <c r="O15" s="38">
        <f t="shared" si="4"/>
        <v>2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6"/>
      <c r="V15" s="236"/>
      <c r="W15" s="242">
        <v>10</v>
      </c>
      <c r="X15" s="244"/>
      <c r="Y15" s="244"/>
      <c r="Z15" s="244"/>
      <c r="AA15" s="244"/>
      <c r="AB15" s="244"/>
      <c r="AC15" s="244"/>
      <c r="AD15" s="244"/>
      <c r="AE15" s="244"/>
      <c r="AF15" s="244"/>
      <c r="AG15" s="98"/>
    </row>
    <row r="16" spans="1:34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15</v>
      </c>
      <c r="L16" s="36">
        <f t="shared" si="0"/>
        <v>0</v>
      </c>
      <c r="M16" s="36">
        <f t="shared" si="1"/>
        <v>0</v>
      </c>
      <c r="N16" s="37"/>
      <c r="O16" s="38">
        <f t="shared" si="4"/>
        <v>3</v>
      </c>
      <c r="P16" s="37"/>
      <c r="Q16" s="37"/>
      <c r="R16" s="37"/>
      <c r="S16" s="39">
        <f t="shared" si="2"/>
        <v>15</v>
      </c>
      <c r="T16" s="91" t="str">
        <f t="shared" si="3"/>
        <v>OK</v>
      </c>
      <c r="U16" s="236"/>
      <c r="V16" s="236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98"/>
    </row>
    <row r="17" spans="1:33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</v>
      </c>
      <c r="L17" s="36">
        <f t="shared" si="0"/>
        <v>0</v>
      </c>
      <c r="M17" s="36">
        <f t="shared" si="1"/>
        <v>0</v>
      </c>
      <c r="N17" s="37"/>
      <c r="O17" s="38">
        <f t="shared" si="4"/>
        <v>25</v>
      </c>
      <c r="P17" s="37"/>
      <c r="Q17" s="37"/>
      <c r="R17" s="37"/>
      <c r="S17" s="39">
        <f t="shared" si="2"/>
        <v>100</v>
      </c>
      <c r="T17" s="91" t="str">
        <f t="shared" si="3"/>
        <v>OK</v>
      </c>
      <c r="U17" s="236"/>
      <c r="V17" s="236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98"/>
    </row>
    <row r="18" spans="1:33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50</v>
      </c>
      <c r="L18" s="36">
        <f t="shared" si="0"/>
        <v>0</v>
      </c>
      <c r="M18" s="36">
        <f t="shared" si="1"/>
        <v>0</v>
      </c>
      <c r="N18" s="37"/>
      <c r="O18" s="38">
        <f t="shared" si="4"/>
        <v>12</v>
      </c>
      <c r="P18" s="37"/>
      <c r="Q18" s="37"/>
      <c r="R18" s="37"/>
      <c r="S18" s="39">
        <f t="shared" si="2"/>
        <v>50</v>
      </c>
      <c r="T18" s="91" t="str">
        <f t="shared" si="3"/>
        <v>OK</v>
      </c>
      <c r="U18" s="236"/>
      <c r="V18" s="237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98"/>
    </row>
    <row r="19" spans="1:33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20</v>
      </c>
      <c r="L19" s="36">
        <f t="shared" si="0"/>
        <v>5</v>
      </c>
      <c r="M19" s="36">
        <f t="shared" si="1"/>
        <v>5</v>
      </c>
      <c r="N19" s="37"/>
      <c r="O19" s="38">
        <f t="shared" si="4"/>
        <v>5</v>
      </c>
      <c r="P19" s="37"/>
      <c r="Q19" s="37"/>
      <c r="R19" s="37"/>
      <c r="S19" s="39">
        <f t="shared" si="2"/>
        <v>15</v>
      </c>
      <c r="T19" s="91" t="str">
        <f t="shared" si="3"/>
        <v>OK</v>
      </c>
      <c r="U19" s="236"/>
      <c r="V19" s="236"/>
      <c r="W19" s="244"/>
      <c r="X19" s="244"/>
      <c r="Y19" s="244"/>
      <c r="Z19" s="244"/>
      <c r="AA19" s="242">
        <v>5</v>
      </c>
      <c r="AB19" s="244"/>
      <c r="AC19" s="244"/>
      <c r="AD19" s="244"/>
      <c r="AE19" s="244"/>
      <c r="AF19" s="244"/>
      <c r="AG19" s="98"/>
    </row>
    <row r="20" spans="1:33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20</v>
      </c>
      <c r="L20" s="36">
        <f t="shared" si="0"/>
        <v>0</v>
      </c>
      <c r="M20" s="36">
        <f t="shared" si="1"/>
        <v>0</v>
      </c>
      <c r="N20" s="37"/>
      <c r="O20" s="38">
        <f t="shared" si="4"/>
        <v>5</v>
      </c>
      <c r="P20" s="37"/>
      <c r="Q20" s="37"/>
      <c r="R20" s="37"/>
      <c r="S20" s="39">
        <f t="shared" si="2"/>
        <v>20</v>
      </c>
      <c r="T20" s="91" t="str">
        <f t="shared" si="3"/>
        <v>OK</v>
      </c>
      <c r="U20" s="236"/>
      <c r="V20" s="236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98"/>
    </row>
    <row r="21" spans="1:33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150</v>
      </c>
      <c r="L21" s="36">
        <f t="shared" si="0"/>
        <v>0</v>
      </c>
      <c r="M21" s="36">
        <f t="shared" si="1"/>
        <v>0</v>
      </c>
      <c r="N21" s="37"/>
      <c r="O21" s="38">
        <f t="shared" si="4"/>
        <v>37</v>
      </c>
      <c r="P21" s="37"/>
      <c r="Q21" s="37"/>
      <c r="R21" s="37"/>
      <c r="S21" s="39">
        <f t="shared" si="2"/>
        <v>150</v>
      </c>
      <c r="T21" s="91" t="str">
        <f t="shared" si="3"/>
        <v>OK</v>
      </c>
      <c r="U21" s="236"/>
      <c r="V21" s="236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98"/>
    </row>
    <row r="22" spans="1:33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1125</v>
      </c>
      <c r="L22" s="36">
        <f t="shared" si="0"/>
        <v>100</v>
      </c>
      <c r="M22" s="36">
        <f t="shared" si="1"/>
        <v>100</v>
      </c>
      <c r="N22" s="37"/>
      <c r="O22" s="38">
        <f t="shared" si="4"/>
        <v>281</v>
      </c>
      <c r="P22" s="37"/>
      <c r="Q22" s="37"/>
      <c r="R22" s="37"/>
      <c r="S22" s="39">
        <f t="shared" si="2"/>
        <v>1025</v>
      </c>
      <c r="T22" s="91" t="str">
        <f t="shared" si="3"/>
        <v>OK</v>
      </c>
      <c r="U22" s="236"/>
      <c r="V22" s="236"/>
      <c r="W22" s="244"/>
      <c r="X22" s="244"/>
      <c r="Y22" s="244"/>
      <c r="Z22" s="244"/>
      <c r="AA22" s="244"/>
      <c r="AB22" s="244"/>
      <c r="AC22" s="244"/>
      <c r="AD22" s="244"/>
      <c r="AE22" s="244"/>
      <c r="AF22" s="242">
        <v>100</v>
      </c>
      <c r="AG22" s="98"/>
    </row>
    <row r="23" spans="1:33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300</v>
      </c>
      <c r="L23" s="36">
        <f t="shared" si="0"/>
        <v>0</v>
      </c>
      <c r="M23" s="36">
        <f t="shared" si="1"/>
        <v>0</v>
      </c>
      <c r="N23" s="37"/>
      <c r="O23" s="38">
        <f t="shared" si="4"/>
        <v>75</v>
      </c>
      <c r="P23" s="37"/>
      <c r="Q23" s="37"/>
      <c r="R23" s="37"/>
      <c r="S23" s="39">
        <f t="shared" si="2"/>
        <v>300</v>
      </c>
      <c r="T23" s="91" t="str">
        <f t="shared" si="3"/>
        <v>OK</v>
      </c>
      <c r="U23" s="236"/>
      <c r="V23" s="236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98"/>
    </row>
    <row r="24" spans="1:33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0</v>
      </c>
      <c r="L24" s="36">
        <f t="shared" si="0"/>
        <v>0</v>
      </c>
      <c r="M24" s="36">
        <f t="shared" si="1"/>
        <v>0</v>
      </c>
      <c r="N24" s="37"/>
      <c r="O24" s="38">
        <f t="shared" si="4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6"/>
      <c r="V24" s="236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98"/>
    </row>
    <row r="25" spans="1:33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500</v>
      </c>
      <c r="L25" s="36">
        <f t="shared" si="0"/>
        <v>80</v>
      </c>
      <c r="M25" s="36">
        <f t="shared" si="1"/>
        <v>80</v>
      </c>
      <c r="N25" s="37"/>
      <c r="O25" s="38">
        <f t="shared" si="4"/>
        <v>125</v>
      </c>
      <c r="P25" s="37"/>
      <c r="Q25" s="37"/>
      <c r="R25" s="37"/>
      <c r="S25" s="39">
        <f t="shared" si="2"/>
        <v>420</v>
      </c>
      <c r="T25" s="91" t="str">
        <f t="shared" si="3"/>
        <v>OK</v>
      </c>
      <c r="U25" s="236"/>
      <c r="V25" s="236"/>
      <c r="W25" s="244"/>
      <c r="X25" s="244"/>
      <c r="Y25" s="244"/>
      <c r="Z25" s="244"/>
      <c r="AA25" s="244"/>
      <c r="AB25" s="244"/>
      <c r="AC25" s="244"/>
      <c r="AD25" s="244"/>
      <c r="AE25" s="244"/>
      <c r="AF25" s="242">
        <v>80</v>
      </c>
      <c r="AG25" s="98"/>
    </row>
    <row r="26" spans="1:33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1000</v>
      </c>
      <c r="L26" s="36">
        <f t="shared" si="0"/>
        <v>0</v>
      </c>
      <c r="M26" s="36">
        <f t="shared" si="1"/>
        <v>0</v>
      </c>
      <c r="N26" s="37"/>
      <c r="O26" s="38">
        <f t="shared" si="4"/>
        <v>250</v>
      </c>
      <c r="P26" s="37"/>
      <c r="Q26" s="37"/>
      <c r="R26" s="37"/>
      <c r="S26" s="39">
        <f t="shared" si="2"/>
        <v>1000</v>
      </c>
      <c r="T26" s="91" t="str">
        <f t="shared" si="3"/>
        <v>OK</v>
      </c>
      <c r="U26" s="236"/>
      <c r="V26" s="236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98"/>
    </row>
    <row r="27" spans="1:33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300</v>
      </c>
      <c r="L27" s="36">
        <f t="shared" si="0"/>
        <v>0</v>
      </c>
      <c r="M27" s="36">
        <f t="shared" si="1"/>
        <v>0</v>
      </c>
      <c r="N27" s="37"/>
      <c r="O27" s="38">
        <f t="shared" si="4"/>
        <v>75</v>
      </c>
      <c r="P27" s="37"/>
      <c r="Q27" s="37"/>
      <c r="R27" s="37"/>
      <c r="S27" s="39">
        <f t="shared" si="2"/>
        <v>300</v>
      </c>
      <c r="T27" s="91" t="str">
        <f t="shared" si="3"/>
        <v>OK</v>
      </c>
      <c r="U27" s="236"/>
      <c r="V27" s="236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98"/>
    </row>
    <row r="28" spans="1:33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10000</v>
      </c>
      <c r="L28" s="36">
        <f t="shared" si="0"/>
        <v>2500</v>
      </c>
      <c r="M28" s="36">
        <f t="shared" si="1"/>
        <v>2500</v>
      </c>
      <c r="N28" s="37"/>
      <c r="O28" s="38">
        <f t="shared" si="4"/>
        <v>2500</v>
      </c>
      <c r="P28" s="37"/>
      <c r="Q28" s="37"/>
      <c r="R28" s="37"/>
      <c r="S28" s="39">
        <f t="shared" si="2"/>
        <v>7500</v>
      </c>
      <c r="T28" s="91" t="str">
        <f t="shared" si="3"/>
        <v>OK</v>
      </c>
      <c r="U28" s="236"/>
      <c r="V28" s="236"/>
      <c r="W28" s="244"/>
      <c r="X28" s="244"/>
      <c r="Y28" s="244"/>
      <c r="Z28" s="242">
        <v>2500</v>
      </c>
      <c r="AA28" s="244"/>
      <c r="AB28" s="244"/>
      <c r="AC28" s="244"/>
      <c r="AD28" s="244"/>
      <c r="AE28" s="244"/>
      <c r="AF28" s="244"/>
      <c r="AG28" s="98"/>
    </row>
    <row r="29" spans="1:33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0</v>
      </c>
      <c r="L29" s="36">
        <f t="shared" si="0"/>
        <v>0</v>
      </c>
      <c r="M29" s="36">
        <f t="shared" si="1"/>
        <v>0</v>
      </c>
      <c r="N29" s="37"/>
      <c r="O29" s="38">
        <f t="shared" si="4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36"/>
      <c r="V29" s="236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98"/>
    </row>
    <row r="30" spans="1:33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0</v>
      </c>
      <c r="L30" s="36">
        <f t="shared" si="0"/>
        <v>0</v>
      </c>
      <c r="M30" s="36">
        <f t="shared" si="1"/>
        <v>0</v>
      </c>
      <c r="N30" s="37"/>
      <c r="O30" s="38">
        <f t="shared" si="4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36"/>
      <c r="V30" s="236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98"/>
    </row>
    <row r="31" spans="1:33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3000</v>
      </c>
      <c r="L31" s="36">
        <f t="shared" si="0"/>
        <v>0</v>
      </c>
      <c r="M31" s="36">
        <f t="shared" si="1"/>
        <v>0</v>
      </c>
      <c r="N31" s="37"/>
      <c r="O31" s="38">
        <f t="shared" si="4"/>
        <v>750</v>
      </c>
      <c r="P31" s="37"/>
      <c r="Q31" s="37"/>
      <c r="R31" s="37"/>
      <c r="S31" s="39">
        <f t="shared" si="2"/>
        <v>3000</v>
      </c>
      <c r="T31" s="91" t="str">
        <f t="shared" si="3"/>
        <v>OK</v>
      </c>
      <c r="U31" s="236"/>
      <c r="V31" s="236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98"/>
    </row>
    <row r="32" spans="1:33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15000</v>
      </c>
      <c r="L32" s="36">
        <f t="shared" si="0"/>
        <v>8000</v>
      </c>
      <c r="M32" s="36">
        <f t="shared" si="1"/>
        <v>8000</v>
      </c>
      <c r="N32" s="37"/>
      <c r="O32" s="38">
        <f t="shared" ref="O32" si="5">ROUND(IF(K32*0.25-0.5&lt;0,0,K32*0.25-0.5),0)-R32-P32</f>
        <v>3750</v>
      </c>
      <c r="P32" s="37"/>
      <c r="Q32" s="37"/>
      <c r="R32" s="37"/>
      <c r="S32" s="39">
        <f t="shared" ref="S32" si="6">K32+N32+P32+Q32-M32</f>
        <v>7000</v>
      </c>
      <c r="T32" s="91" t="str">
        <f t="shared" ref="T32" si="7">IF(S32&lt;0,"ATENÇÃO","OK")</f>
        <v>OK</v>
      </c>
      <c r="U32" s="236"/>
      <c r="V32" s="236"/>
      <c r="W32" s="244"/>
      <c r="X32" s="242">
        <v>2000</v>
      </c>
      <c r="Y32" s="242">
        <v>3000</v>
      </c>
      <c r="Z32" s="244"/>
      <c r="AA32" s="244"/>
      <c r="AB32" s="244"/>
      <c r="AC32" s="244"/>
      <c r="AD32" s="244"/>
      <c r="AE32" s="242">
        <v>3000</v>
      </c>
      <c r="AF32" s="244"/>
      <c r="AG32" s="98"/>
    </row>
    <row r="33" spans="1:33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0"/>
        <v>0</v>
      </c>
      <c r="M33" s="36">
        <f t="shared" si="1"/>
        <v>0</v>
      </c>
      <c r="N33" s="37"/>
      <c r="O33" s="38">
        <f t="shared" si="4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6"/>
      <c r="V33" s="236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98"/>
    </row>
    <row r="34" spans="1:33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0"/>
        <v>0</v>
      </c>
      <c r="M34" s="36">
        <f t="shared" si="1"/>
        <v>0</v>
      </c>
      <c r="N34" s="37"/>
      <c r="O34" s="38">
        <f t="shared" si="4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6"/>
      <c r="V34" s="236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98"/>
    </row>
    <row r="35" spans="1:33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0"/>
        <v>0</v>
      </c>
      <c r="M35" s="36">
        <f t="shared" si="1"/>
        <v>0</v>
      </c>
      <c r="N35" s="37"/>
      <c r="O35" s="38">
        <f t="shared" si="4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6"/>
      <c r="V35" s="236"/>
      <c r="W35" s="244"/>
      <c r="X35" s="244"/>
      <c r="Y35" s="252"/>
      <c r="Z35" s="244"/>
      <c r="AA35" s="244"/>
      <c r="AB35" s="244"/>
      <c r="AC35" s="244"/>
      <c r="AD35" s="244"/>
      <c r="AE35" s="244"/>
      <c r="AF35" s="244"/>
      <c r="AG35" s="98"/>
    </row>
    <row r="36" spans="1:33" x14ac:dyDescent="0.2">
      <c r="K36" s="27">
        <f>SUM(K4:K35)</f>
        <v>31867</v>
      </c>
      <c r="S36" s="28">
        <f>SUM(S4:S35)</f>
        <v>21133</v>
      </c>
      <c r="T36" s="29" t="str">
        <f t="shared" si="3"/>
        <v>OK</v>
      </c>
      <c r="U36" s="251">
        <f>SUMPRODUCT($J$4:$J$35,U4:U35)</f>
        <v>325</v>
      </c>
      <c r="V36" s="251">
        <f t="shared" ref="V36:AG36" si="8">SUMPRODUCT($J$4:$J$35,V4:V35)</f>
        <v>99.62</v>
      </c>
      <c r="W36" s="251">
        <f t="shared" si="8"/>
        <v>328.6</v>
      </c>
      <c r="X36" s="251">
        <f t="shared" si="8"/>
        <v>600</v>
      </c>
      <c r="Y36" s="251">
        <f t="shared" si="8"/>
        <v>900</v>
      </c>
      <c r="Z36" s="251">
        <f t="shared" si="8"/>
        <v>475</v>
      </c>
      <c r="AA36" s="251">
        <f t="shared" si="8"/>
        <v>386.96000000000004</v>
      </c>
      <c r="AB36" s="251">
        <f t="shared" si="8"/>
        <v>549.09</v>
      </c>
      <c r="AC36" s="251">
        <f t="shared" si="8"/>
        <v>43</v>
      </c>
      <c r="AD36" s="251">
        <f t="shared" si="8"/>
        <v>52.5</v>
      </c>
      <c r="AE36" s="251">
        <f t="shared" si="8"/>
        <v>900</v>
      </c>
      <c r="AF36" s="251">
        <f t="shared" si="8"/>
        <v>879.85</v>
      </c>
      <c r="AG36" s="251">
        <f t="shared" si="8"/>
        <v>0</v>
      </c>
    </row>
    <row r="37" spans="1:33" x14ac:dyDescent="0.2">
      <c r="U37" s="249"/>
      <c r="V37" s="251"/>
      <c r="W37" s="251"/>
      <c r="X37" s="249"/>
      <c r="Y37" s="249"/>
      <c r="Z37" s="249"/>
      <c r="AA37" s="251"/>
      <c r="AB37" s="251"/>
      <c r="AC37" s="249"/>
      <c r="AD37" s="249"/>
      <c r="AE37" s="249"/>
      <c r="AF37" s="251"/>
    </row>
    <row r="38" spans="1:33" x14ac:dyDescent="0.2">
      <c r="U38" s="249"/>
      <c r="V38" s="249"/>
      <c r="W38" s="251"/>
      <c r="X38" s="249"/>
      <c r="Y38" s="249"/>
      <c r="Z38" s="249"/>
      <c r="AA38" s="251"/>
      <c r="AB38" s="251"/>
      <c r="AC38" s="249"/>
      <c r="AD38" s="249"/>
      <c r="AE38" s="249"/>
      <c r="AF38" s="251"/>
    </row>
    <row r="39" spans="1:33" x14ac:dyDescent="0.2">
      <c r="U39" s="249"/>
      <c r="V39" s="249"/>
      <c r="W39" s="249"/>
      <c r="X39" s="249"/>
      <c r="Y39" s="249"/>
      <c r="Z39" s="249"/>
      <c r="AA39" s="251"/>
      <c r="AB39" s="249"/>
      <c r="AC39" s="249"/>
      <c r="AD39" s="249"/>
      <c r="AE39" s="249"/>
      <c r="AF39" s="251"/>
    </row>
    <row r="40" spans="1:33" x14ac:dyDescent="0.2"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51"/>
    </row>
    <row r="41" spans="1:33" x14ac:dyDescent="0.2"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51"/>
    </row>
    <row r="42" spans="1:33" x14ac:dyDescent="0.2"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</row>
    <row r="43" spans="1:33" x14ac:dyDescent="0.2">
      <c r="U43" s="251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</row>
    <row r="44" spans="1:33" x14ac:dyDescent="0.2"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</row>
    <row r="45" spans="1:33" x14ac:dyDescent="0.2"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</row>
    <row r="46" spans="1:33" x14ac:dyDescent="0.2"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</row>
    <row r="47" spans="1:33" x14ac:dyDescent="0.2"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</row>
    <row r="48" spans="1:33" x14ac:dyDescent="0.2"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</row>
    <row r="49" spans="21:32" x14ac:dyDescent="0.2"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</row>
    <row r="50" spans="21:32" x14ac:dyDescent="0.2"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</row>
    <row r="51" spans="21:32" x14ac:dyDescent="0.2">
      <c r="AD51" s="249"/>
      <c r="AE51" s="249"/>
      <c r="AF51" s="249"/>
    </row>
    <row r="52" spans="21:32" x14ac:dyDescent="0.2">
      <c r="AD52" s="249"/>
      <c r="AE52" s="249"/>
      <c r="AF52" s="249"/>
    </row>
    <row r="53" spans="21:32" x14ac:dyDescent="0.2">
      <c r="AD53" s="249"/>
      <c r="AE53" s="249"/>
      <c r="AF53" s="249"/>
    </row>
    <row r="54" spans="21:32" x14ac:dyDescent="0.2">
      <c r="AD54" s="249"/>
      <c r="AE54" s="249"/>
      <c r="AF54" s="249"/>
    </row>
  </sheetData>
  <mergeCells count="51">
    <mergeCell ref="A27:A28"/>
    <mergeCell ref="B27:B28"/>
    <mergeCell ref="D27:D28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3:A24"/>
    <mergeCell ref="B23:B24"/>
    <mergeCell ref="D23:D24"/>
    <mergeCell ref="A25:A26"/>
    <mergeCell ref="B25:B26"/>
    <mergeCell ref="D25:D26"/>
    <mergeCell ref="A14:A15"/>
    <mergeCell ref="B14:B15"/>
    <mergeCell ref="D14:D15"/>
    <mergeCell ref="A19:A20"/>
    <mergeCell ref="B19:B20"/>
    <mergeCell ref="D19:D20"/>
    <mergeCell ref="A9:A10"/>
    <mergeCell ref="B9:B10"/>
    <mergeCell ref="D9:D10"/>
    <mergeCell ref="A11:A13"/>
    <mergeCell ref="B11:B13"/>
    <mergeCell ref="D11:D13"/>
    <mergeCell ref="Y1:Y2"/>
    <mergeCell ref="Z1:Z2"/>
    <mergeCell ref="A4:A8"/>
    <mergeCell ref="B4:B8"/>
    <mergeCell ref="D4:D8"/>
    <mergeCell ref="AF1:AF2"/>
    <mergeCell ref="AG1:AG2"/>
    <mergeCell ref="A1:C1"/>
    <mergeCell ref="D1:J1"/>
    <mergeCell ref="K1:T1"/>
    <mergeCell ref="U1:U2"/>
    <mergeCell ref="K2:T2"/>
    <mergeCell ref="A2:J2"/>
    <mergeCell ref="AA1:AA2"/>
    <mergeCell ref="AB1:AB2"/>
    <mergeCell ref="AC1:AC2"/>
    <mergeCell ref="AD1:AD2"/>
    <mergeCell ref="AE1:AE2"/>
    <mergeCell ref="V1:V2"/>
    <mergeCell ref="W1:W2"/>
    <mergeCell ref="X1:X2"/>
  </mergeCells>
  <conditionalFormatting sqref="AG4:AJ32">
    <cfRule type="cellIs" dxfId="8" priority="2" operator="greaterThan">
      <formula>0</formula>
    </cfRule>
  </conditionalFormatting>
  <conditionalFormatting sqref="U4:AG35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71BD-6C8D-4906-86D2-4FCC640007B3}">
  <dimension ref="A1:AI36"/>
  <sheetViews>
    <sheetView zoomScale="80" zoomScaleNormal="80" workbookViewId="0">
      <pane xSplit="20" topLeftCell="U1" activePane="topRight" state="frozen"/>
      <selection pane="topRight" activeCell="C6" sqref="C6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8.85546875" style="24" bestFit="1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3" width="14" style="27" bestFit="1" customWidth="1"/>
    <col min="14" max="14" width="14.7109375" style="27" bestFit="1" customWidth="1"/>
    <col min="15" max="15" width="14" style="27" bestFit="1" customWidth="1"/>
    <col min="16" max="18" width="10.140625" style="27" customWidth="1"/>
    <col min="19" max="19" width="10.28515625" style="28" customWidth="1"/>
    <col min="20" max="20" width="10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83" t="s">
        <v>55</v>
      </c>
      <c r="V1" s="283" t="s">
        <v>55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143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8.2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129" t="s">
        <v>31</v>
      </c>
      <c r="F4" s="66" t="s">
        <v>16</v>
      </c>
      <c r="G4" s="66" t="s">
        <v>17</v>
      </c>
      <c r="H4" s="58" t="s">
        <v>38</v>
      </c>
      <c r="I4" s="58" t="s">
        <v>4</v>
      </c>
      <c r="J4" s="61">
        <v>11.07</v>
      </c>
      <c r="K4" s="90">
        <v>40</v>
      </c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10</v>
      </c>
      <c r="P4" s="37"/>
      <c r="Q4" s="37"/>
      <c r="R4" s="37"/>
      <c r="S4" s="39">
        <f t="shared" ref="S4:S35" si="2">K4+N4+P4+Q4-M4</f>
        <v>40</v>
      </c>
      <c r="T4" s="91" t="str">
        <f t="shared" ref="T4:T35" si="3">IF(S4&lt;0,"ATENÇÃO","OK")</f>
        <v>OK</v>
      </c>
      <c r="U4" s="92"/>
      <c r="V4" s="92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129" t="s">
        <v>32</v>
      </c>
      <c r="F5" s="66" t="s">
        <v>16</v>
      </c>
      <c r="G5" s="66" t="s">
        <v>17</v>
      </c>
      <c r="H5" s="58" t="s">
        <v>38</v>
      </c>
      <c r="I5" s="58" t="s">
        <v>4</v>
      </c>
      <c r="J5" s="61">
        <v>35.35</v>
      </c>
      <c r="K5" s="90">
        <v>70</v>
      </c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17</v>
      </c>
      <c r="P5" s="37"/>
      <c r="Q5" s="37"/>
      <c r="R5" s="37"/>
      <c r="S5" s="39">
        <f t="shared" si="2"/>
        <v>70</v>
      </c>
      <c r="T5" s="91" t="str">
        <f t="shared" si="3"/>
        <v>OK</v>
      </c>
      <c r="U5" s="92"/>
      <c r="V5" s="92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129" t="s">
        <v>33</v>
      </c>
      <c r="F6" s="66" t="s">
        <v>16</v>
      </c>
      <c r="G6" s="66" t="s">
        <v>17</v>
      </c>
      <c r="H6" s="58" t="s">
        <v>38</v>
      </c>
      <c r="I6" s="58" t="s">
        <v>4</v>
      </c>
      <c r="J6" s="61">
        <v>43</v>
      </c>
      <c r="K6" s="90">
        <v>70</v>
      </c>
      <c r="L6" s="36">
        <f t="shared" si="4"/>
        <v>0</v>
      </c>
      <c r="M6" s="36">
        <f t="shared" si="5"/>
        <v>0</v>
      </c>
      <c r="N6" s="37">
        <v>-1</v>
      </c>
      <c r="O6" s="38">
        <f t="shared" si="6"/>
        <v>17</v>
      </c>
      <c r="P6" s="37"/>
      <c r="Q6" s="37"/>
      <c r="R6" s="37"/>
      <c r="S6" s="39">
        <f t="shared" si="2"/>
        <v>69</v>
      </c>
      <c r="T6" s="91" t="str">
        <f t="shared" si="3"/>
        <v>OK</v>
      </c>
      <c r="U6" s="92"/>
      <c r="V6" s="9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129" t="s">
        <v>34</v>
      </c>
      <c r="F7" s="66" t="s">
        <v>16</v>
      </c>
      <c r="G7" s="66" t="s">
        <v>17</v>
      </c>
      <c r="H7" s="58" t="s">
        <v>38</v>
      </c>
      <c r="I7" s="58" t="s">
        <v>4</v>
      </c>
      <c r="J7" s="61">
        <v>61.01</v>
      </c>
      <c r="K7" s="90">
        <v>70</v>
      </c>
      <c r="L7" s="36">
        <f t="shared" si="4"/>
        <v>0</v>
      </c>
      <c r="M7" s="36">
        <f t="shared" si="5"/>
        <v>0</v>
      </c>
      <c r="N7" s="37">
        <v>-4</v>
      </c>
      <c r="O7" s="38">
        <f t="shared" si="6"/>
        <v>17</v>
      </c>
      <c r="P7" s="37"/>
      <c r="Q7" s="37"/>
      <c r="R7" s="37"/>
      <c r="S7" s="39">
        <f t="shared" si="2"/>
        <v>66</v>
      </c>
      <c r="T7" s="91" t="str">
        <f t="shared" si="3"/>
        <v>OK</v>
      </c>
      <c r="U7" s="92"/>
      <c r="V7" s="9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129" t="s">
        <v>35</v>
      </c>
      <c r="F8" s="66" t="s">
        <v>16</v>
      </c>
      <c r="G8" s="66" t="s">
        <v>17</v>
      </c>
      <c r="H8" s="58" t="s">
        <v>38</v>
      </c>
      <c r="I8" s="58" t="s">
        <v>4</v>
      </c>
      <c r="J8" s="61">
        <v>26.25</v>
      </c>
      <c r="K8" s="90">
        <v>123</v>
      </c>
      <c r="L8" s="36">
        <f t="shared" si="4"/>
        <v>0</v>
      </c>
      <c r="M8" s="36">
        <f t="shared" si="5"/>
        <v>0</v>
      </c>
      <c r="N8" s="37"/>
      <c r="O8" s="38">
        <f t="shared" si="6"/>
        <v>30</v>
      </c>
      <c r="P8" s="37"/>
      <c r="Q8" s="37"/>
      <c r="R8" s="37"/>
      <c r="S8" s="39">
        <f t="shared" si="2"/>
        <v>123</v>
      </c>
      <c r="T8" s="91" t="str">
        <f t="shared" si="3"/>
        <v>OK</v>
      </c>
      <c r="U8" s="92"/>
      <c r="V8" s="9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110</v>
      </c>
      <c r="L9" s="36">
        <f t="shared" si="4"/>
        <v>0</v>
      </c>
      <c r="M9" s="36">
        <f t="shared" si="5"/>
        <v>0</v>
      </c>
      <c r="N9" s="37"/>
      <c r="O9" s="38">
        <f t="shared" si="6"/>
        <v>27</v>
      </c>
      <c r="P9" s="37"/>
      <c r="Q9" s="37"/>
      <c r="R9" s="37"/>
      <c r="S9" s="39">
        <f t="shared" si="2"/>
        <v>110</v>
      </c>
      <c r="T9" s="91" t="str">
        <f t="shared" si="3"/>
        <v>OK</v>
      </c>
      <c r="U9" s="92"/>
      <c r="V9" s="92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50</v>
      </c>
      <c r="L10" s="36">
        <f t="shared" si="4"/>
        <v>0</v>
      </c>
      <c r="M10" s="36">
        <f t="shared" si="5"/>
        <v>0</v>
      </c>
      <c r="N10" s="37"/>
      <c r="O10" s="38">
        <f t="shared" si="6"/>
        <v>12</v>
      </c>
      <c r="P10" s="37"/>
      <c r="Q10" s="37"/>
      <c r="R10" s="37"/>
      <c r="S10" s="39">
        <f t="shared" si="2"/>
        <v>50</v>
      </c>
      <c r="T10" s="91" t="str">
        <f t="shared" si="3"/>
        <v>OK</v>
      </c>
      <c r="U10" s="96"/>
      <c r="V10" s="92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12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30</v>
      </c>
      <c r="L11" s="36">
        <f t="shared" si="4"/>
        <v>0</v>
      </c>
      <c r="M11" s="36">
        <f t="shared" si="5"/>
        <v>0</v>
      </c>
      <c r="N11" s="37"/>
      <c r="O11" s="38">
        <f t="shared" si="6"/>
        <v>7</v>
      </c>
      <c r="P11" s="37"/>
      <c r="Q11" s="37"/>
      <c r="R11" s="37"/>
      <c r="S11" s="39">
        <f t="shared" si="2"/>
        <v>30</v>
      </c>
      <c r="T11" s="91" t="str">
        <f t="shared" si="3"/>
        <v>OK</v>
      </c>
      <c r="U11" s="97"/>
      <c r="V11" s="92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12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30</v>
      </c>
      <c r="L12" s="36">
        <f t="shared" si="4"/>
        <v>0</v>
      </c>
      <c r="M12" s="36">
        <f t="shared" si="5"/>
        <v>0</v>
      </c>
      <c r="N12" s="37"/>
      <c r="O12" s="38">
        <f t="shared" si="6"/>
        <v>7</v>
      </c>
      <c r="P12" s="37"/>
      <c r="Q12" s="37"/>
      <c r="R12" s="37"/>
      <c r="S12" s="39">
        <f t="shared" si="2"/>
        <v>30</v>
      </c>
      <c r="T12" s="91" t="str">
        <f t="shared" si="3"/>
        <v>OK</v>
      </c>
      <c r="U12" s="92"/>
      <c r="V12" s="92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12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36</v>
      </c>
      <c r="L13" s="36">
        <f t="shared" si="4"/>
        <v>0</v>
      </c>
      <c r="M13" s="36">
        <f t="shared" si="5"/>
        <v>0</v>
      </c>
      <c r="N13" s="37">
        <v>-1</v>
      </c>
      <c r="O13" s="38">
        <f t="shared" si="6"/>
        <v>9</v>
      </c>
      <c r="P13" s="37"/>
      <c r="Q13" s="37"/>
      <c r="R13" s="37"/>
      <c r="S13" s="39">
        <f t="shared" si="2"/>
        <v>35</v>
      </c>
      <c r="T13" s="91" t="str">
        <f t="shared" si="3"/>
        <v>OK</v>
      </c>
      <c r="U13" s="92"/>
      <c r="V13" s="92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100</v>
      </c>
      <c r="L14" s="36">
        <f t="shared" si="4"/>
        <v>0</v>
      </c>
      <c r="M14" s="36">
        <f t="shared" si="5"/>
        <v>0</v>
      </c>
      <c r="N14" s="37"/>
      <c r="O14" s="38">
        <f t="shared" si="6"/>
        <v>25</v>
      </c>
      <c r="P14" s="37"/>
      <c r="Q14" s="37"/>
      <c r="R14" s="37"/>
      <c r="S14" s="39">
        <f t="shared" si="2"/>
        <v>100</v>
      </c>
      <c r="T14" s="91" t="str">
        <f t="shared" si="3"/>
        <v>OK</v>
      </c>
      <c r="U14" s="92"/>
      <c r="V14" s="92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45</v>
      </c>
      <c r="L15" s="36">
        <f t="shared" si="4"/>
        <v>0</v>
      </c>
      <c r="M15" s="36">
        <f t="shared" si="5"/>
        <v>0</v>
      </c>
      <c r="N15" s="37"/>
      <c r="O15" s="38">
        <f t="shared" si="6"/>
        <v>11</v>
      </c>
      <c r="P15" s="37"/>
      <c r="Q15" s="37"/>
      <c r="R15" s="37"/>
      <c r="S15" s="39">
        <f t="shared" si="2"/>
        <v>45</v>
      </c>
      <c r="T15" s="91" t="str">
        <f t="shared" si="3"/>
        <v>OK</v>
      </c>
      <c r="U15" s="92"/>
      <c r="V15" s="92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40</v>
      </c>
      <c r="L16" s="36">
        <f t="shared" si="4"/>
        <v>0</v>
      </c>
      <c r="M16" s="36">
        <f t="shared" si="5"/>
        <v>0</v>
      </c>
      <c r="N16" s="37"/>
      <c r="O16" s="38">
        <f t="shared" si="6"/>
        <v>10</v>
      </c>
      <c r="P16" s="37"/>
      <c r="Q16" s="37"/>
      <c r="R16" s="37"/>
      <c r="S16" s="39">
        <f t="shared" si="2"/>
        <v>40</v>
      </c>
      <c r="T16" s="91" t="str">
        <f t="shared" si="3"/>
        <v>OK</v>
      </c>
      <c r="U16" s="92"/>
      <c r="V16" s="92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1660</v>
      </c>
      <c r="L17" s="36">
        <f t="shared" si="4"/>
        <v>0</v>
      </c>
      <c r="M17" s="36">
        <f t="shared" si="5"/>
        <v>0</v>
      </c>
      <c r="N17" s="37"/>
      <c r="O17" s="38">
        <f t="shared" si="6"/>
        <v>415</v>
      </c>
      <c r="P17" s="37"/>
      <c r="Q17" s="37"/>
      <c r="R17" s="37"/>
      <c r="S17" s="39">
        <f t="shared" si="2"/>
        <v>1660</v>
      </c>
      <c r="T17" s="91" t="str">
        <f t="shared" si="3"/>
        <v>OK</v>
      </c>
      <c r="U17" s="92"/>
      <c r="V17" s="9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30</v>
      </c>
      <c r="L18" s="36">
        <f t="shared" si="4"/>
        <v>0</v>
      </c>
      <c r="M18" s="36">
        <f t="shared" si="5"/>
        <v>0</v>
      </c>
      <c r="N18" s="37"/>
      <c r="O18" s="38">
        <f t="shared" si="6"/>
        <v>7</v>
      </c>
      <c r="P18" s="37"/>
      <c r="Q18" s="37"/>
      <c r="R18" s="37"/>
      <c r="S18" s="39">
        <f t="shared" si="2"/>
        <v>30</v>
      </c>
      <c r="T18" s="91" t="str">
        <f t="shared" si="3"/>
        <v>OK</v>
      </c>
      <c r="U18" s="92"/>
      <c r="V18" s="9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40</v>
      </c>
      <c r="L19" s="36">
        <f t="shared" si="4"/>
        <v>0</v>
      </c>
      <c r="M19" s="36">
        <f t="shared" si="5"/>
        <v>0</v>
      </c>
      <c r="N19" s="37"/>
      <c r="O19" s="38">
        <f t="shared" si="6"/>
        <v>10</v>
      </c>
      <c r="P19" s="37"/>
      <c r="Q19" s="37"/>
      <c r="R19" s="37"/>
      <c r="S19" s="39">
        <f t="shared" si="2"/>
        <v>40</v>
      </c>
      <c r="T19" s="91" t="str">
        <f t="shared" si="3"/>
        <v>OK</v>
      </c>
      <c r="U19" s="92"/>
      <c r="V19" s="9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70</v>
      </c>
      <c r="L20" s="36">
        <f t="shared" si="4"/>
        <v>0</v>
      </c>
      <c r="M20" s="36">
        <f t="shared" si="5"/>
        <v>0</v>
      </c>
      <c r="N20" s="37"/>
      <c r="O20" s="38">
        <f t="shared" si="6"/>
        <v>17</v>
      </c>
      <c r="P20" s="37"/>
      <c r="Q20" s="37"/>
      <c r="R20" s="37"/>
      <c r="S20" s="39">
        <f t="shared" si="2"/>
        <v>70</v>
      </c>
      <c r="T20" s="91" t="str">
        <f t="shared" si="3"/>
        <v>OK</v>
      </c>
      <c r="U20" s="92"/>
      <c r="V20" s="9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80</v>
      </c>
      <c r="L21" s="36">
        <f t="shared" si="4"/>
        <v>0</v>
      </c>
      <c r="M21" s="36">
        <f t="shared" si="5"/>
        <v>0</v>
      </c>
      <c r="N21" s="37"/>
      <c r="O21" s="38">
        <f t="shared" si="6"/>
        <v>20</v>
      </c>
      <c r="P21" s="37"/>
      <c r="Q21" s="37"/>
      <c r="R21" s="37"/>
      <c r="S21" s="39">
        <f t="shared" si="2"/>
        <v>80</v>
      </c>
      <c r="T21" s="91" t="str">
        <f t="shared" si="3"/>
        <v>OK</v>
      </c>
      <c r="U21" s="96"/>
      <c r="V21" s="92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500</v>
      </c>
      <c r="L22" s="36">
        <f t="shared" si="4"/>
        <v>0</v>
      </c>
      <c r="M22" s="36">
        <f t="shared" si="5"/>
        <v>0</v>
      </c>
      <c r="N22" s="37"/>
      <c r="O22" s="38">
        <f t="shared" si="6"/>
        <v>125</v>
      </c>
      <c r="P22" s="37"/>
      <c r="Q22" s="37"/>
      <c r="R22" s="37"/>
      <c r="S22" s="39">
        <f t="shared" si="2"/>
        <v>500</v>
      </c>
      <c r="T22" s="91" t="str">
        <f t="shared" si="3"/>
        <v>OK</v>
      </c>
      <c r="U22" s="96"/>
      <c r="V22" s="92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80</v>
      </c>
      <c r="L23" s="36">
        <f t="shared" si="4"/>
        <v>0</v>
      </c>
      <c r="M23" s="36">
        <f t="shared" si="5"/>
        <v>0</v>
      </c>
      <c r="N23" s="37"/>
      <c r="O23" s="38">
        <f t="shared" si="6"/>
        <v>20</v>
      </c>
      <c r="P23" s="37"/>
      <c r="Q23" s="37"/>
      <c r="R23" s="37"/>
      <c r="S23" s="39">
        <f t="shared" si="2"/>
        <v>80</v>
      </c>
      <c r="T23" s="91" t="str">
        <f t="shared" si="3"/>
        <v>OK</v>
      </c>
      <c r="U23" s="96"/>
      <c r="V23" s="92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200</v>
      </c>
      <c r="L24" s="36">
        <f t="shared" si="4"/>
        <v>0</v>
      </c>
      <c r="M24" s="36">
        <f t="shared" si="5"/>
        <v>0</v>
      </c>
      <c r="N24" s="37"/>
      <c r="O24" s="38">
        <f t="shared" si="6"/>
        <v>50</v>
      </c>
      <c r="P24" s="37"/>
      <c r="Q24" s="37"/>
      <c r="R24" s="37"/>
      <c r="S24" s="39">
        <f t="shared" si="2"/>
        <v>200</v>
      </c>
      <c r="T24" s="91" t="str">
        <f t="shared" si="3"/>
        <v>OK</v>
      </c>
      <c r="U24" s="92"/>
      <c r="V24" s="92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20</v>
      </c>
      <c r="L25" s="36">
        <f t="shared" si="4"/>
        <v>0</v>
      </c>
      <c r="M25" s="36">
        <f t="shared" si="5"/>
        <v>0</v>
      </c>
      <c r="N25" s="37"/>
      <c r="O25" s="38">
        <f t="shared" si="6"/>
        <v>5</v>
      </c>
      <c r="P25" s="37"/>
      <c r="Q25" s="37"/>
      <c r="R25" s="37"/>
      <c r="S25" s="39">
        <f t="shared" si="2"/>
        <v>20</v>
      </c>
      <c r="T25" s="91" t="str">
        <f t="shared" si="3"/>
        <v>OK</v>
      </c>
      <c r="U25" s="92"/>
      <c r="V25" s="92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220</v>
      </c>
      <c r="L26" s="36">
        <f t="shared" si="4"/>
        <v>0</v>
      </c>
      <c r="M26" s="36">
        <f t="shared" si="5"/>
        <v>0</v>
      </c>
      <c r="N26" s="37"/>
      <c r="O26" s="38">
        <f t="shared" si="6"/>
        <v>55</v>
      </c>
      <c r="P26" s="37"/>
      <c r="Q26" s="37"/>
      <c r="R26" s="37"/>
      <c r="S26" s="39">
        <f t="shared" si="2"/>
        <v>220</v>
      </c>
      <c r="T26" s="91" t="str">
        <f t="shared" si="3"/>
        <v>OK</v>
      </c>
      <c r="U26" s="92"/>
      <c r="V26" s="92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1300</v>
      </c>
      <c r="L27" s="36">
        <f t="shared" si="4"/>
        <v>0</v>
      </c>
      <c r="M27" s="36">
        <f t="shared" si="5"/>
        <v>0</v>
      </c>
      <c r="N27" s="37"/>
      <c r="O27" s="38">
        <f t="shared" si="6"/>
        <v>325</v>
      </c>
      <c r="P27" s="37"/>
      <c r="Q27" s="37"/>
      <c r="R27" s="37"/>
      <c r="S27" s="39">
        <f t="shared" si="2"/>
        <v>1300</v>
      </c>
      <c r="T27" s="91" t="str">
        <f t="shared" si="3"/>
        <v>OK</v>
      </c>
      <c r="U27" s="92"/>
      <c r="V27" s="92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7505</v>
      </c>
      <c r="L28" s="36">
        <f t="shared" si="4"/>
        <v>0</v>
      </c>
      <c r="M28" s="36">
        <f t="shared" si="5"/>
        <v>0</v>
      </c>
      <c r="N28" s="37"/>
      <c r="O28" s="38">
        <f t="shared" si="6"/>
        <v>1876</v>
      </c>
      <c r="P28" s="37"/>
      <c r="Q28" s="37"/>
      <c r="R28" s="37"/>
      <c r="S28" s="39">
        <f t="shared" si="2"/>
        <v>7505</v>
      </c>
      <c r="T28" s="91" t="str">
        <f t="shared" si="3"/>
        <v>OK</v>
      </c>
      <c r="U28" s="92"/>
      <c r="V28" s="92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1000</v>
      </c>
      <c r="L29" s="36">
        <f t="shared" si="4"/>
        <v>0</v>
      </c>
      <c r="M29" s="36">
        <f t="shared" si="5"/>
        <v>0</v>
      </c>
      <c r="N29" s="37"/>
      <c r="O29" s="38">
        <f t="shared" si="6"/>
        <v>250</v>
      </c>
      <c r="P29" s="37"/>
      <c r="Q29" s="37"/>
      <c r="R29" s="37"/>
      <c r="S29" s="39">
        <f t="shared" si="2"/>
        <v>1000</v>
      </c>
      <c r="T29" s="91" t="str">
        <f t="shared" si="3"/>
        <v>OK</v>
      </c>
      <c r="U29" s="92"/>
      <c r="V29" s="92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7505</v>
      </c>
      <c r="L30" s="36">
        <f t="shared" si="4"/>
        <v>0</v>
      </c>
      <c r="M30" s="36">
        <f t="shared" si="5"/>
        <v>0</v>
      </c>
      <c r="N30" s="37"/>
      <c r="O30" s="38">
        <f t="shared" si="6"/>
        <v>1876</v>
      </c>
      <c r="P30" s="37"/>
      <c r="Q30" s="37"/>
      <c r="R30" s="37"/>
      <c r="S30" s="39">
        <f t="shared" si="2"/>
        <v>7505</v>
      </c>
      <c r="T30" s="91" t="str">
        <f t="shared" si="3"/>
        <v>OK</v>
      </c>
      <c r="U30" s="92"/>
      <c r="V30" s="92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1300</v>
      </c>
      <c r="L31" s="36">
        <f t="shared" si="4"/>
        <v>0</v>
      </c>
      <c r="M31" s="36">
        <f t="shared" si="5"/>
        <v>0</v>
      </c>
      <c r="N31" s="37"/>
      <c r="O31" s="38">
        <f t="shared" si="6"/>
        <v>325</v>
      </c>
      <c r="P31" s="37"/>
      <c r="Q31" s="37"/>
      <c r="R31" s="37"/>
      <c r="S31" s="39">
        <f t="shared" si="2"/>
        <v>1300</v>
      </c>
      <c r="T31" s="91" t="str">
        <f t="shared" si="3"/>
        <v>OK</v>
      </c>
      <c r="U31" s="92"/>
      <c r="V31" s="9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6005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1501</v>
      </c>
      <c r="P32" s="37"/>
      <c r="Q32" s="37"/>
      <c r="R32" s="37"/>
      <c r="S32" s="39">
        <f t="shared" ref="S32" si="10">K32+N32+P32+Q32-M32</f>
        <v>6005</v>
      </c>
      <c r="T32" s="91" t="str">
        <f t="shared" ref="T32" si="11">IF(S32&lt;0,"ATENÇÃO","OK")</f>
        <v>OK</v>
      </c>
      <c r="U32" s="92"/>
      <c r="V32" s="9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92"/>
      <c r="V33" s="92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92"/>
      <c r="V34" s="92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92"/>
      <c r="V35" s="92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28329</v>
      </c>
      <c r="U36" s="30">
        <f>SUMPRODUCT($J$4:$J$35,U4:U35)</f>
        <v>0</v>
      </c>
      <c r="V36" s="30">
        <f>SUMPRODUCT($J$4:$J$35,V4:V35)</f>
        <v>0</v>
      </c>
      <c r="W36" s="30">
        <f>SUMPRODUCT($J$4:$J$35,W4:W35)</f>
        <v>0</v>
      </c>
      <c r="X36" s="30">
        <f t="shared" ref="X36:AI36" si="12">SUMPRODUCT($J$4:$J$35,X4:X35)</f>
        <v>0</v>
      </c>
      <c r="Y36" s="30">
        <f t="shared" si="12"/>
        <v>0</v>
      </c>
      <c r="Z36" s="30">
        <f t="shared" si="12"/>
        <v>0</v>
      </c>
      <c r="AA36" s="30">
        <f t="shared" si="12"/>
        <v>0</v>
      </c>
      <c r="AB36" s="30">
        <f t="shared" si="12"/>
        <v>0</v>
      </c>
      <c r="AC36" s="30">
        <f t="shared" si="12"/>
        <v>0</v>
      </c>
      <c r="AD36" s="30">
        <f t="shared" si="12"/>
        <v>0</v>
      </c>
      <c r="AE36" s="30">
        <f t="shared" si="12"/>
        <v>0</v>
      </c>
      <c r="AF36" s="30">
        <f t="shared" si="12"/>
        <v>0</v>
      </c>
      <c r="AG36" s="30">
        <f t="shared" si="12"/>
        <v>0</v>
      </c>
      <c r="AH36" s="30">
        <f t="shared" si="12"/>
        <v>0</v>
      </c>
      <c r="AI36" s="30">
        <f t="shared" si="12"/>
        <v>0</v>
      </c>
    </row>
  </sheetData>
  <autoFilter ref="A3:AH34" xr:uid="{29E771BD-6C8D-4906-86D2-4FCC640007B3}"/>
  <mergeCells count="53">
    <mergeCell ref="AI1:AI2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H1:AH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C6F5-8EA1-41A8-8856-79BE9CB8CA60}">
  <dimension ref="A1:AI36"/>
  <sheetViews>
    <sheetView zoomScale="60" zoomScaleNormal="60" workbookViewId="0">
      <selection activeCell="W18" sqref="W18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16.140625" style="25" customWidth="1"/>
    <col min="5" max="5" width="15.140625" style="24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.42578125" style="27" customWidth="1"/>
    <col min="19" max="19" width="9.42578125" style="28" customWidth="1"/>
    <col min="20" max="20" width="9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241</v>
      </c>
      <c r="V1" s="315" t="s">
        <v>242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142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45821</v>
      </c>
      <c r="V3" s="234">
        <v>45838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36"/>
      <c r="V4" s="236"/>
      <c r="W4" s="94"/>
      <c r="X4" s="94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4</v>
      </c>
      <c r="L5" s="36">
        <f t="shared" ref="L5:L35" si="4">IF(SUM(U5:AL5)&gt;K5+N5,K5+N5,SUM(U5:AL5))</f>
        <v>4</v>
      </c>
      <c r="M5" s="36">
        <f t="shared" ref="M5:M35" si="5">(SUM(U5:AL5))</f>
        <v>4</v>
      </c>
      <c r="N5" s="37"/>
      <c r="O5" s="38">
        <f t="shared" ref="O5:O35" si="6">ROUND(IF(K5*0.25-0.5&lt;0,0,K5*0.25-0.5),0)-R5-P5</f>
        <v>1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236"/>
      <c r="V5" s="236">
        <v>4</v>
      </c>
      <c r="W5" s="94"/>
      <c r="X5" s="94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2</v>
      </c>
      <c r="L6" s="36">
        <f t="shared" si="4"/>
        <v>2</v>
      </c>
      <c r="M6" s="36">
        <f t="shared" si="5"/>
        <v>2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36"/>
      <c r="V6" s="236">
        <v>2</v>
      </c>
      <c r="W6" s="94"/>
      <c r="X6" s="94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2</v>
      </c>
      <c r="L7" s="36">
        <f t="shared" si="4"/>
        <v>2</v>
      </c>
      <c r="M7" s="36">
        <f t="shared" si="5"/>
        <v>2</v>
      </c>
      <c r="N7" s="37"/>
      <c r="O7" s="38">
        <f t="shared" si="6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36"/>
      <c r="V7" s="236">
        <v>2</v>
      </c>
      <c r="W7" s="94"/>
      <c r="X7" s="94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2</v>
      </c>
      <c r="L8" s="36">
        <f t="shared" si="4"/>
        <v>2</v>
      </c>
      <c r="M8" s="36">
        <f t="shared" si="5"/>
        <v>2</v>
      </c>
      <c r="N8" s="37"/>
      <c r="O8" s="38">
        <f t="shared" si="6"/>
        <v>0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236"/>
      <c r="V8" s="236">
        <v>2</v>
      </c>
      <c r="W8" s="94"/>
      <c r="X8" s="94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6"/>
      <c r="V9" s="236"/>
      <c r="W9" s="94"/>
      <c r="X9" s="94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4"/>
        <v>0</v>
      </c>
      <c r="M10" s="36">
        <f t="shared" si="5"/>
        <v>0</v>
      </c>
      <c r="N10" s="37"/>
      <c r="O10" s="38">
        <f t="shared" si="6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36"/>
      <c r="V10" s="236"/>
      <c r="W10" s="94"/>
      <c r="X10" s="94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4</v>
      </c>
      <c r="L11" s="36">
        <f t="shared" si="4"/>
        <v>0</v>
      </c>
      <c r="M11" s="36">
        <f t="shared" si="5"/>
        <v>0</v>
      </c>
      <c r="N11" s="37"/>
      <c r="O11" s="38">
        <f t="shared" si="6"/>
        <v>1</v>
      </c>
      <c r="P11" s="37"/>
      <c r="Q11" s="37"/>
      <c r="R11" s="37"/>
      <c r="S11" s="39">
        <f t="shared" si="2"/>
        <v>4</v>
      </c>
      <c r="T11" s="91" t="str">
        <f t="shared" si="3"/>
        <v>OK</v>
      </c>
      <c r="U11" s="237"/>
      <c r="V11" s="236"/>
      <c r="W11" s="94"/>
      <c r="X11" s="94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4</v>
      </c>
      <c r="L12" s="36">
        <f t="shared" si="4"/>
        <v>0</v>
      </c>
      <c r="M12" s="36">
        <f t="shared" si="5"/>
        <v>0</v>
      </c>
      <c r="N12" s="37"/>
      <c r="O12" s="38">
        <f t="shared" si="6"/>
        <v>1</v>
      </c>
      <c r="P12" s="37"/>
      <c r="Q12" s="37"/>
      <c r="R12" s="37"/>
      <c r="S12" s="39">
        <f t="shared" si="2"/>
        <v>4</v>
      </c>
      <c r="T12" s="91" t="str">
        <f t="shared" si="3"/>
        <v>OK</v>
      </c>
      <c r="U12" s="236"/>
      <c r="V12" s="236"/>
      <c r="W12" s="94"/>
      <c r="X12" s="94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4</v>
      </c>
      <c r="L13" s="36">
        <f t="shared" si="4"/>
        <v>0</v>
      </c>
      <c r="M13" s="36">
        <f t="shared" si="5"/>
        <v>0</v>
      </c>
      <c r="N13" s="37"/>
      <c r="O13" s="38">
        <f t="shared" si="6"/>
        <v>1</v>
      </c>
      <c r="P13" s="37"/>
      <c r="Q13" s="37"/>
      <c r="R13" s="37"/>
      <c r="S13" s="39">
        <f t="shared" si="2"/>
        <v>4</v>
      </c>
      <c r="T13" s="91" t="str">
        <f t="shared" si="3"/>
        <v>OK</v>
      </c>
      <c r="U13" s="236"/>
      <c r="V13" s="236"/>
      <c r="W13" s="94"/>
      <c r="X13" s="94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12</v>
      </c>
      <c r="L14" s="36">
        <f t="shared" si="4"/>
        <v>0</v>
      </c>
      <c r="M14" s="36">
        <f t="shared" si="5"/>
        <v>0</v>
      </c>
      <c r="N14" s="37"/>
      <c r="O14" s="38">
        <f t="shared" si="6"/>
        <v>3</v>
      </c>
      <c r="P14" s="37"/>
      <c r="Q14" s="37"/>
      <c r="R14" s="37"/>
      <c r="S14" s="39">
        <f t="shared" si="2"/>
        <v>12</v>
      </c>
      <c r="T14" s="91" t="str">
        <f t="shared" si="3"/>
        <v>OK</v>
      </c>
      <c r="U14" s="236"/>
      <c r="V14" s="236"/>
      <c r="W14" s="94"/>
      <c r="X14" s="94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14</v>
      </c>
      <c r="L15" s="36">
        <f t="shared" si="4"/>
        <v>0</v>
      </c>
      <c r="M15" s="36">
        <f t="shared" si="5"/>
        <v>0</v>
      </c>
      <c r="N15" s="37">
        <v>-12</v>
      </c>
      <c r="O15" s="38">
        <f t="shared" si="6"/>
        <v>3</v>
      </c>
      <c r="P15" s="37"/>
      <c r="Q15" s="37"/>
      <c r="R15" s="37"/>
      <c r="S15" s="39">
        <f t="shared" si="2"/>
        <v>2</v>
      </c>
      <c r="T15" s="91" t="str">
        <f t="shared" si="3"/>
        <v>OK</v>
      </c>
      <c r="U15" s="236"/>
      <c r="V15" s="236"/>
      <c r="W15" s="94"/>
      <c r="X15" s="94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101</v>
      </c>
      <c r="L16" s="36">
        <f t="shared" si="4"/>
        <v>0</v>
      </c>
      <c r="M16" s="36">
        <f t="shared" si="5"/>
        <v>0</v>
      </c>
      <c r="N16" s="37"/>
      <c r="O16" s="38">
        <f t="shared" si="6"/>
        <v>25</v>
      </c>
      <c r="P16" s="37"/>
      <c r="Q16" s="37"/>
      <c r="R16" s="37"/>
      <c r="S16" s="39">
        <f t="shared" si="2"/>
        <v>101</v>
      </c>
      <c r="T16" s="91" t="str">
        <f t="shared" si="3"/>
        <v>OK</v>
      </c>
      <c r="U16" s="236"/>
      <c r="V16" s="236"/>
      <c r="W16" s="94"/>
      <c r="X16" s="94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/>
      <c r="L17" s="36">
        <f t="shared" si="4"/>
        <v>0</v>
      </c>
      <c r="M17" s="36">
        <f t="shared" si="5"/>
        <v>0</v>
      </c>
      <c r="N17" s="37"/>
      <c r="O17" s="38">
        <f t="shared" si="6"/>
        <v>0</v>
      </c>
      <c r="P17" s="37"/>
      <c r="Q17" s="37"/>
      <c r="R17" s="37"/>
      <c r="S17" s="39">
        <f t="shared" si="2"/>
        <v>0</v>
      </c>
      <c r="T17" s="91" t="str">
        <f t="shared" si="3"/>
        <v>OK</v>
      </c>
      <c r="U17" s="236"/>
      <c r="V17" s="236"/>
      <c r="W17" s="127"/>
      <c r="X17" s="94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6</v>
      </c>
      <c r="L18" s="36">
        <f t="shared" si="4"/>
        <v>0</v>
      </c>
      <c r="M18" s="36">
        <f t="shared" si="5"/>
        <v>0</v>
      </c>
      <c r="N18" s="37"/>
      <c r="O18" s="38">
        <f t="shared" si="6"/>
        <v>1</v>
      </c>
      <c r="P18" s="37"/>
      <c r="Q18" s="37"/>
      <c r="R18" s="37"/>
      <c r="S18" s="39">
        <f t="shared" si="2"/>
        <v>6</v>
      </c>
      <c r="T18" s="91" t="str">
        <f t="shared" si="3"/>
        <v>OK</v>
      </c>
      <c r="U18" s="236"/>
      <c r="V18" s="236"/>
      <c r="W18" s="127"/>
      <c r="X18" s="100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20</v>
      </c>
      <c r="L19" s="36">
        <f t="shared" si="4"/>
        <v>0</v>
      </c>
      <c r="M19" s="36">
        <f t="shared" si="5"/>
        <v>0</v>
      </c>
      <c r="N19" s="37"/>
      <c r="O19" s="38">
        <f t="shared" si="6"/>
        <v>5</v>
      </c>
      <c r="P19" s="37"/>
      <c r="Q19" s="37"/>
      <c r="R19" s="37"/>
      <c r="S19" s="39">
        <f t="shared" si="2"/>
        <v>20</v>
      </c>
      <c r="T19" s="91" t="str">
        <f t="shared" si="3"/>
        <v>OK</v>
      </c>
      <c r="U19" s="236"/>
      <c r="V19" s="236"/>
      <c r="W19" s="127"/>
      <c r="X19" s="94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20</v>
      </c>
      <c r="L20" s="36">
        <f t="shared" si="4"/>
        <v>0</v>
      </c>
      <c r="M20" s="36">
        <f t="shared" si="5"/>
        <v>0</v>
      </c>
      <c r="N20" s="37"/>
      <c r="O20" s="38">
        <f t="shared" si="6"/>
        <v>5</v>
      </c>
      <c r="P20" s="37"/>
      <c r="Q20" s="37"/>
      <c r="R20" s="37"/>
      <c r="S20" s="39">
        <f t="shared" si="2"/>
        <v>20</v>
      </c>
      <c r="T20" s="91" t="str">
        <f t="shared" si="3"/>
        <v>OK</v>
      </c>
      <c r="U20" s="236"/>
      <c r="V20" s="236"/>
      <c r="W20" s="127"/>
      <c r="X20" s="94"/>
      <c r="Y20" s="98"/>
      <c r="Z20" s="12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36"/>
      <c r="V21" s="236"/>
      <c r="W21" s="127"/>
      <c r="X21" s="94"/>
      <c r="Y21" s="98"/>
      <c r="Z21" s="12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500</v>
      </c>
      <c r="L22" s="36">
        <f t="shared" si="4"/>
        <v>0</v>
      </c>
      <c r="M22" s="36">
        <f t="shared" si="5"/>
        <v>0</v>
      </c>
      <c r="N22" s="37"/>
      <c r="O22" s="38">
        <f t="shared" si="6"/>
        <v>125</v>
      </c>
      <c r="P22" s="37"/>
      <c r="Q22" s="37"/>
      <c r="R22" s="37"/>
      <c r="S22" s="39">
        <f t="shared" si="2"/>
        <v>500</v>
      </c>
      <c r="T22" s="91" t="str">
        <f t="shared" si="3"/>
        <v>OK</v>
      </c>
      <c r="U22" s="236"/>
      <c r="V22" s="236"/>
      <c r="W22" s="127"/>
      <c r="X22" s="94"/>
      <c r="Y22" s="98"/>
      <c r="Z22" s="12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36"/>
      <c r="V23" s="236"/>
      <c r="W23" s="127"/>
      <c r="X23" s="94"/>
      <c r="Y23" s="98"/>
      <c r="Z23" s="128"/>
      <c r="AA23" s="98"/>
      <c r="AB23" s="98"/>
      <c r="AC23" s="98"/>
      <c r="AD23" s="98"/>
      <c r="AE23" s="98"/>
      <c r="AF23" s="98"/>
      <c r="AG23" s="98"/>
      <c r="AH23" s="98"/>
      <c r="AI23" s="98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6"/>
      <c r="V24" s="236"/>
      <c r="W24" s="127"/>
      <c r="X24" s="94"/>
      <c r="Y24" s="98"/>
      <c r="Z24" s="128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200</v>
      </c>
      <c r="L25" s="36">
        <f t="shared" si="4"/>
        <v>100</v>
      </c>
      <c r="M25" s="36">
        <f t="shared" si="5"/>
        <v>100</v>
      </c>
      <c r="N25" s="37"/>
      <c r="O25" s="38">
        <f t="shared" si="6"/>
        <v>50</v>
      </c>
      <c r="P25" s="37"/>
      <c r="Q25" s="37"/>
      <c r="R25" s="37"/>
      <c r="S25" s="39">
        <f t="shared" si="2"/>
        <v>100</v>
      </c>
      <c r="T25" s="91" t="str">
        <f t="shared" si="3"/>
        <v>OK</v>
      </c>
      <c r="U25" s="236">
        <v>100</v>
      </c>
      <c r="V25" s="236"/>
      <c r="W25" s="127"/>
      <c r="X25" s="94"/>
      <c r="Y25" s="98"/>
      <c r="Z25" s="128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300</v>
      </c>
      <c r="L26" s="36">
        <f t="shared" si="4"/>
        <v>0</v>
      </c>
      <c r="M26" s="36">
        <f t="shared" si="5"/>
        <v>0</v>
      </c>
      <c r="N26" s="37"/>
      <c r="O26" s="38">
        <f t="shared" si="6"/>
        <v>75</v>
      </c>
      <c r="P26" s="37"/>
      <c r="Q26" s="37"/>
      <c r="R26" s="37"/>
      <c r="S26" s="39">
        <f t="shared" si="2"/>
        <v>300</v>
      </c>
      <c r="T26" s="91" t="str">
        <f t="shared" si="3"/>
        <v>OK</v>
      </c>
      <c r="U26" s="236"/>
      <c r="V26" s="236"/>
      <c r="W26" s="127"/>
      <c r="X26" s="94"/>
      <c r="Y26" s="98"/>
      <c r="Z26" s="128"/>
      <c r="AA26" s="98"/>
      <c r="AB26" s="98"/>
      <c r="AC26" s="98"/>
      <c r="AD26" s="98"/>
      <c r="AE26" s="98"/>
      <c r="AF26" s="98"/>
      <c r="AG26" s="98"/>
      <c r="AH26" s="98"/>
      <c r="AI26" s="98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1500</v>
      </c>
      <c r="L27" s="36">
        <f t="shared" si="4"/>
        <v>0</v>
      </c>
      <c r="M27" s="36">
        <f t="shared" si="5"/>
        <v>0</v>
      </c>
      <c r="N27" s="37"/>
      <c r="O27" s="38">
        <f t="shared" si="6"/>
        <v>375</v>
      </c>
      <c r="P27" s="37"/>
      <c r="Q27" s="37"/>
      <c r="R27" s="37"/>
      <c r="S27" s="39">
        <f t="shared" si="2"/>
        <v>1500</v>
      </c>
      <c r="T27" s="91" t="str">
        <f t="shared" si="3"/>
        <v>OK</v>
      </c>
      <c r="U27" s="236"/>
      <c r="V27" s="236"/>
      <c r="W27" s="127"/>
      <c r="X27" s="94"/>
      <c r="Y27" s="98"/>
      <c r="Z27" s="12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/>
      <c r="L28" s="36">
        <f t="shared" si="4"/>
        <v>0</v>
      </c>
      <c r="M28" s="36">
        <f t="shared" si="5"/>
        <v>0</v>
      </c>
      <c r="N28" s="37"/>
      <c r="O28" s="38">
        <f t="shared" si="6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236"/>
      <c r="V28" s="236"/>
      <c r="W28" s="127"/>
      <c r="X28" s="94"/>
      <c r="Y28" s="98"/>
      <c r="Z28" s="12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1500</v>
      </c>
      <c r="L29" s="36">
        <f t="shared" si="4"/>
        <v>0</v>
      </c>
      <c r="M29" s="36">
        <f t="shared" si="5"/>
        <v>0</v>
      </c>
      <c r="N29" s="37"/>
      <c r="O29" s="38">
        <f t="shared" si="6"/>
        <v>375</v>
      </c>
      <c r="P29" s="37"/>
      <c r="Q29" s="37"/>
      <c r="R29" s="37"/>
      <c r="S29" s="39">
        <f t="shared" si="2"/>
        <v>1500</v>
      </c>
      <c r="T29" s="91" t="str">
        <f t="shared" si="3"/>
        <v>OK</v>
      </c>
      <c r="U29" s="236"/>
      <c r="V29" s="236"/>
      <c r="W29" s="102"/>
      <c r="X29" s="94"/>
      <c r="Y29" s="98"/>
      <c r="Z29" s="12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4"/>
        <v>0</v>
      </c>
      <c r="M30" s="36">
        <f t="shared" si="5"/>
        <v>0</v>
      </c>
      <c r="N30" s="37"/>
      <c r="O30" s="38">
        <f t="shared" si="6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36"/>
      <c r="V30" s="236"/>
      <c r="W30" s="127"/>
      <c r="X30" s="94"/>
      <c r="Y30" s="98"/>
      <c r="Z30" s="12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/>
      <c r="L31" s="36">
        <f t="shared" si="4"/>
        <v>0</v>
      </c>
      <c r="M31" s="36">
        <f t="shared" si="5"/>
        <v>0</v>
      </c>
      <c r="N31" s="37"/>
      <c r="O31" s="38">
        <f t="shared" si="6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36"/>
      <c r="V31" s="236"/>
      <c r="W31" s="127"/>
      <c r="X31" s="94"/>
      <c r="Y31" s="98"/>
      <c r="Z31" s="12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0</v>
      </c>
      <c r="P32" s="37"/>
      <c r="Q32" s="37"/>
      <c r="R32" s="37"/>
      <c r="S32" s="39">
        <f t="shared" ref="S32" si="10">K32+N32+P32+Q32-M32</f>
        <v>0</v>
      </c>
      <c r="T32" s="91" t="str">
        <f t="shared" ref="T32" si="11">IF(S32&lt;0,"ATENÇÃO","OK")</f>
        <v>OK</v>
      </c>
      <c r="U32" s="236"/>
      <c r="V32" s="236"/>
      <c r="W32" s="127"/>
      <c r="X32" s="94"/>
      <c r="Y32" s="98"/>
      <c r="Z32" s="12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6"/>
      <c r="V33" s="236"/>
      <c r="W33" s="94"/>
      <c r="X33" s="94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6"/>
      <c r="V34" s="236"/>
      <c r="W34" s="94"/>
      <c r="X34" s="94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6"/>
      <c r="V35" s="236"/>
      <c r="W35" s="94"/>
      <c r="X35" s="94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 x14ac:dyDescent="0.2">
      <c r="K36" s="27">
        <f>SUM(K4:K35)</f>
        <v>4195</v>
      </c>
      <c r="S36" s="28">
        <f>SUM(S4:S35)</f>
        <v>4073</v>
      </c>
      <c r="T36" s="29" t="str">
        <f t="shared" si="3"/>
        <v>OK</v>
      </c>
      <c r="U36" s="238">
        <v>340</v>
      </c>
      <c r="V36" s="238">
        <v>401.92</v>
      </c>
      <c r="W36" s="30">
        <f>SUMPRODUCT($J$4:$J$35,W4:W35)</f>
        <v>0</v>
      </c>
      <c r="X36" s="30">
        <f t="shared" ref="X36:AI36" si="12">SUMPRODUCT($J$4:$J$35,X4:X35)</f>
        <v>0</v>
      </c>
      <c r="Y36" s="30">
        <f t="shared" si="12"/>
        <v>0</v>
      </c>
      <c r="Z36" s="30">
        <f t="shared" si="12"/>
        <v>0</v>
      </c>
      <c r="AA36" s="30">
        <f t="shared" si="12"/>
        <v>0</v>
      </c>
      <c r="AB36" s="30">
        <f t="shared" si="12"/>
        <v>0</v>
      </c>
      <c r="AC36" s="30">
        <f t="shared" si="12"/>
        <v>0</v>
      </c>
      <c r="AD36" s="30">
        <f t="shared" si="12"/>
        <v>0</v>
      </c>
      <c r="AE36" s="30">
        <f t="shared" si="12"/>
        <v>0</v>
      </c>
      <c r="AF36" s="30">
        <f t="shared" si="12"/>
        <v>0</v>
      </c>
      <c r="AG36" s="30">
        <f t="shared" si="12"/>
        <v>0</v>
      </c>
      <c r="AH36" s="30">
        <f t="shared" si="12"/>
        <v>0</v>
      </c>
      <c r="AI36" s="30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5" priority="2" operator="greaterThan">
      <formula>0</formula>
    </cfRule>
  </conditionalFormatting>
  <conditionalFormatting sqref="U4:AI35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5330-9B26-4EF4-ABF5-837A47D78F32}">
  <dimension ref="A1:AI36"/>
  <sheetViews>
    <sheetView topLeftCell="A19" zoomScale="60" zoomScaleNormal="60" workbookViewId="0">
      <selection activeCell="I39" sqref="I39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8.85546875" style="24" bestFit="1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.140625" style="27" customWidth="1"/>
    <col min="19" max="19" width="9.140625" style="28" customWidth="1"/>
    <col min="20" max="20" width="9.1406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188</v>
      </c>
      <c r="V1" s="315" t="s">
        <v>189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141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45905</v>
      </c>
      <c r="V3" s="234">
        <v>45905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20</v>
      </c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5</v>
      </c>
      <c r="P4" s="37"/>
      <c r="Q4" s="37"/>
      <c r="R4" s="37"/>
      <c r="S4" s="39">
        <f t="shared" ref="S4:S35" si="2">K4+N4+P4+Q4-M4</f>
        <v>20</v>
      </c>
      <c r="T4" s="91" t="str">
        <f t="shared" ref="T4:T36" si="3">IF(S4&lt;0,"ATENÇÃO","OK")</f>
        <v>OK</v>
      </c>
      <c r="U4" s="235"/>
      <c r="V4" s="235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60</v>
      </c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15</v>
      </c>
      <c r="P5" s="37"/>
      <c r="Q5" s="37"/>
      <c r="R5" s="37"/>
      <c r="S5" s="39">
        <f t="shared" si="2"/>
        <v>60</v>
      </c>
      <c r="T5" s="91" t="str">
        <f t="shared" si="3"/>
        <v>OK</v>
      </c>
      <c r="U5" s="235"/>
      <c r="V5" s="235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11</v>
      </c>
      <c r="L6" s="36">
        <f t="shared" si="4"/>
        <v>0</v>
      </c>
      <c r="M6" s="36">
        <f t="shared" si="5"/>
        <v>0</v>
      </c>
      <c r="N6" s="37"/>
      <c r="O6" s="38">
        <f t="shared" si="6"/>
        <v>2</v>
      </c>
      <c r="P6" s="37"/>
      <c r="Q6" s="37"/>
      <c r="R6" s="37"/>
      <c r="S6" s="39">
        <f t="shared" si="2"/>
        <v>11</v>
      </c>
      <c r="T6" s="91" t="str">
        <f t="shared" si="3"/>
        <v>OK</v>
      </c>
      <c r="U6" s="235"/>
      <c r="V6" s="23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10</v>
      </c>
      <c r="L7" s="36">
        <f t="shared" si="4"/>
        <v>0</v>
      </c>
      <c r="M7" s="36">
        <f t="shared" si="5"/>
        <v>0</v>
      </c>
      <c r="N7" s="37"/>
      <c r="O7" s="38">
        <f t="shared" si="6"/>
        <v>2</v>
      </c>
      <c r="P7" s="37"/>
      <c r="Q7" s="37"/>
      <c r="R7" s="37"/>
      <c r="S7" s="39">
        <f t="shared" si="2"/>
        <v>10</v>
      </c>
      <c r="T7" s="91" t="str">
        <f t="shared" si="3"/>
        <v>OK</v>
      </c>
      <c r="U7" s="235"/>
      <c r="V7" s="23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30</v>
      </c>
      <c r="L8" s="36">
        <f t="shared" si="4"/>
        <v>0</v>
      </c>
      <c r="M8" s="36">
        <f t="shared" si="5"/>
        <v>0</v>
      </c>
      <c r="N8" s="37"/>
      <c r="O8" s="38">
        <f t="shared" si="6"/>
        <v>7</v>
      </c>
      <c r="P8" s="37"/>
      <c r="Q8" s="37"/>
      <c r="R8" s="37"/>
      <c r="S8" s="39">
        <f t="shared" si="2"/>
        <v>30</v>
      </c>
      <c r="T8" s="91" t="str">
        <f t="shared" si="3"/>
        <v>OK</v>
      </c>
      <c r="U8" s="235"/>
      <c r="V8" s="23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4</v>
      </c>
      <c r="L9" s="36">
        <f t="shared" si="4"/>
        <v>0</v>
      </c>
      <c r="M9" s="36">
        <f t="shared" si="5"/>
        <v>0</v>
      </c>
      <c r="N9" s="37"/>
      <c r="O9" s="38">
        <f t="shared" si="6"/>
        <v>1</v>
      </c>
      <c r="P9" s="37"/>
      <c r="Q9" s="37"/>
      <c r="R9" s="37"/>
      <c r="S9" s="39">
        <f t="shared" si="2"/>
        <v>4</v>
      </c>
      <c r="T9" s="91" t="str">
        <f t="shared" si="3"/>
        <v>OK</v>
      </c>
      <c r="U9" s="235"/>
      <c r="V9" s="235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10</v>
      </c>
      <c r="L10" s="36">
        <f t="shared" si="4"/>
        <v>7</v>
      </c>
      <c r="M10" s="36">
        <f t="shared" si="5"/>
        <v>7</v>
      </c>
      <c r="N10" s="37"/>
      <c r="O10" s="38">
        <f t="shared" si="6"/>
        <v>2</v>
      </c>
      <c r="P10" s="37"/>
      <c r="Q10" s="37"/>
      <c r="R10" s="37"/>
      <c r="S10" s="39">
        <f t="shared" si="2"/>
        <v>3</v>
      </c>
      <c r="T10" s="91" t="str">
        <f t="shared" si="3"/>
        <v>OK</v>
      </c>
      <c r="U10" s="242">
        <v>7</v>
      </c>
      <c r="V10" s="235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4</v>
      </c>
      <c r="L11" s="36">
        <f t="shared" si="4"/>
        <v>0</v>
      </c>
      <c r="M11" s="36">
        <f t="shared" si="5"/>
        <v>0</v>
      </c>
      <c r="N11" s="37"/>
      <c r="O11" s="38">
        <f t="shared" si="6"/>
        <v>1</v>
      </c>
      <c r="P11" s="37"/>
      <c r="Q11" s="37"/>
      <c r="R11" s="37"/>
      <c r="S11" s="39">
        <f t="shared" si="2"/>
        <v>4</v>
      </c>
      <c r="T11" s="91" t="str">
        <f t="shared" si="3"/>
        <v>OK</v>
      </c>
      <c r="U11" s="237"/>
      <c r="V11" s="235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4</v>
      </c>
      <c r="L12" s="36">
        <f t="shared" si="4"/>
        <v>0</v>
      </c>
      <c r="M12" s="36">
        <f t="shared" si="5"/>
        <v>0</v>
      </c>
      <c r="N12" s="37"/>
      <c r="O12" s="38">
        <f t="shared" si="6"/>
        <v>1</v>
      </c>
      <c r="P12" s="37"/>
      <c r="Q12" s="37"/>
      <c r="R12" s="37"/>
      <c r="S12" s="39">
        <f t="shared" si="2"/>
        <v>4</v>
      </c>
      <c r="T12" s="91" t="str">
        <f t="shared" si="3"/>
        <v>OK</v>
      </c>
      <c r="U12" s="235"/>
      <c r="V12" s="235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4</v>
      </c>
      <c r="L13" s="36">
        <f t="shared" si="4"/>
        <v>0</v>
      </c>
      <c r="M13" s="36">
        <f t="shared" si="5"/>
        <v>0</v>
      </c>
      <c r="N13" s="37"/>
      <c r="O13" s="38">
        <f t="shared" si="6"/>
        <v>1</v>
      </c>
      <c r="P13" s="37"/>
      <c r="Q13" s="37"/>
      <c r="R13" s="37"/>
      <c r="S13" s="39">
        <f t="shared" si="2"/>
        <v>4</v>
      </c>
      <c r="T13" s="91" t="str">
        <f t="shared" si="3"/>
        <v>OK</v>
      </c>
      <c r="U13" s="235"/>
      <c r="V13" s="235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305</v>
      </c>
      <c r="L14" s="36">
        <f t="shared" si="4"/>
        <v>0</v>
      </c>
      <c r="M14" s="36">
        <f t="shared" si="5"/>
        <v>0</v>
      </c>
      <c r="N14" s="37">
        <v>-100</v>
      </c>
      <c r="O14" s="38">
        <f t="shared" si="6"/>
        <v>76</v>
      </c>
      <c r="P14" s="37"/>
      <c r="Q14" s="37"/>
      <c r="R14" s="37"/>
      <c r="S14" s="39">
        <f t="shared" si="2"/>
        <v>205</v>
      </c>
      <c r="T14" s="91" t="str">
        <f t="shared" si="3"/>
        <v>OK</v>
      </c>
      <c r="U14" s="235"/>
      <c r="V14" s="235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300</v>
      </c>
      <c r="L15" s="36">
        <f t="shared" si="4"/>
        <v>0</v>
      </c>
      <c r="M15" s="36">
        <f t="shared" si="5"/>
        <v>0</v>
      </c>
      <c r="N15" s="37"/>
      <c r="O15" s="38">
        <f t="shared" si="6"/>
        <v>75</v>
      </c>
      <c r="P15" s="37"/>
      <c r="Q15" s="37"/>
      <c r="R15" s="37"/>
      <c r="S15" s="39">
        <f t="shared" si="2"/>
        <v>300</v>
      </c>
      <c r="T15" s="91" t="str">
        <f t="shared" si="3"/>
        <v>OK</v>
      </c>
      <c r="U15" s="235"/>
      <c r="V15" s="235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203</v>
      </c>
      <c r="L16" s="36">
        <f t="shared" si="4"/>
        <v>0</v>
      </c>
      <c r="M16" s="36">
        <f t="shared" si="5"/>
        <v>0</v>
      </c>
      <c r="N16" s="37"/>
      <c r="O16" s="38">
        <f t="shared" si="6"/>
        <v>50</v>
      </c>
      <c r="P16" s="37"/>
      <c r="Q16" s="37"/>
      <c r="R16" s="37"/>
      <c r="S16" s="39">
        <f t="shared" si="2"/>
        <v>203</v>
      </c>
      <c r="T16" s="91" t="str">
        <f t="shared" si="3"/>
        <v>OK</v>
      </c>
      <c r="U16" s="235"/>
      <c r="V16" s="235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</v>
      </c>
      <c r="L17" s="36">
        <f t="shared" si="4"/>
        <v>0</v>
      </c>
      <c r="M17" s="36">
        <f t="shared" si="5"/>
        <v>0</v>
      </c>
      <c r="N17" s="37"/>
      <c r="O17" s="38">
        <f t="shared" si="6"/>
        <v>25</v>
      </c>
      <c r="P17" s="37"/>
      <c r="Q17" s="37"/>
      <c r="R17" s="37"/>
      <c r="S17" s="39">
        <f t="shared" si="2"/>
        <v>100</v>
      </c>
      <c r="T17" s="91" t="str">
        <f t="shared" si="3"/>
        <v>OK</v>
      </c>
      <c r="U17" s="235"/>
      <c r="V17" s="23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10</v>
      </c>
      <c r="L18" s="36">
        <f t="shared" si="4"/>
        <v>0</v>
      </c>
      <c r="M18" s="36">
        <f t="shared" si="5"/>
        <v>0</v>
      </c>
      <c r="N18" s="37"/>
      <c r="O18" s="38">
        <f t="shared" si="6"/>
        <v>2</v>
      </c>
      <c r="P18" s="37"/>
      <c r="Q18" s="37"/>
      <c r="R18" s="37"/>
      <c r="S18" s="39">
        <f t="shared" si="2"/>
        <v>10</v>
      </c>
      <c r="T18" s="91" t="str">
        <f t="shared" si="3"/>
        <v>OK</v>
      </c>
      <c r="U18" s="235"/>
      <c r="V18" s="23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100</v>
      </c>
      <c r="L19" s="36">
        <f t="shared" si="4"/>
        <v>0</v>
      </c>
      <c r="M19" s="36">
        <f t="shared" si="5"/>
        <v>0</v>
      </c>
      <c r="N19" s="37">
        <v>-99</v>
      </c>
      <c r="O19" s="38">
        <f t="shared" si="6"/>
        <v>25</v>
      </c>
      <c r="P19" s="37"/>
      <c r="Q19" s="37"/>
      <c r="R19" s="37"/>
      <c r="S19" s="39">
        <f t="shared" si="2"/>
        <v>1</v>
      </c>
      <c r="T19" s="91" t="str">
        <f t="shared" si="3"/>
        <v>OK</v>
      </c>
      <c r="U19" s="235"/>
      <c r="V19" s="23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100</v>
      </c>
      <c r="L20" s="36">
        <f t="shared" si="4"/>
        <v>0</v>
      </c>
      <c r="M20" s="36">
        <f t="shared" si="5"/>
        <v>0</v>
      </c>
      <c r="N20" s="37"/>
      <c r="O20" s="38">
        <f t="shared" si="6"/>
        <v>25</v>
      </c>
      <c r="P20" s="37"/>
      <c r="Q20" s="37"/>
      <c r="R20" s="37"/>
      <c r="S20" s="39">
        <f t="shared" si="2"/>
        <v>100</v>
      </c>
      <c r="T20" s="91" t="str">
        <f t="shared" si="3"/>
        <v>OK</v>
      </c>
      <c r="U20" s="235"/>
      <c r="V20" s="23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20</v>
      </c>
      <c r="L21" s="36">
        <f t="shared" si="4"/>
        <v>0</v>
      </c>
      <c r="M21" s="36">
        <f t="shared" si="5"/>
        <v>0</v>
      </c>
      <c r="N21" s="37"/>
      <c r="O21" s="38">
        <f t="shared" si="6"/>
        <v>5</v>
      </c>
      <c r="P21" s="37"/>
      <c r="Q21" s="37"/>
      <c r="R21" s="37"/>
      <c r="S21" s="39">
        <f t="shared" si="2"/>
        <v>20</v>
      </c>
      <c r="T21" s="91" t="str">
        <f t="shared" si="3"/>
        <v>OK</v>
      </c>
      <c r="U21" s="236"/>
      <c r="V21" s="235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1000</v>
      </c>
      <c r="L22" s="36">
        <f t="shared" si="4"/>
        <v>0</v>
      </c>
      <c r="M22" s="36">
        <f t="shared" si="5"/>
        <v>0</v>
      </c>
      <c r="N22" s="37"/>
      <c r="O22" s="38">
        <f t="shared" si="6"/>
        <v>250</v>
      </c>
      <c r="P22" s="37"/>
      <c r="Q22" s="37"/>
      <c r="R22" s="37"/>
      <c r="S22" s="39">
        <f t="shared" si="2"/>
        <v>1000</v>
      </c>
      <c r="T22" s="91" t="str">
        <f t="shared" si="3"/>
        <v>OK</v>
      </c>
      <c r="U22" s="236"/>
      <c r="V22" s="235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1000</v>
      </c>
      <c r="L23" s="36">
        <f t="shared" si="4"/>
        <v>0</v>
      </c>
      <c r="M23" s="36">
        <f t="shared" si="5"/>
        <v>0</v>
      </c>
      <c r="N23" s="37"/>
      <c r="O23" s="38">
        <f t="shared" si="6"/>
        <v>250</v>
      </c>
      <c r="P23" s="37"/>
      <c r="Q23" s="37"/>
      <c r="R23" s="37"/>
      <c r="S23" s="39">
        <f t="shared" si="2"/>
        <v>1000</v>
      </c>
      <c r="T23" s="91" t="str">
        <f t="shared" si="3"/>
        <v>OK</v>
      </c>
      <c r="U23" s="236"/>
      <c r="V23" s="235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1000</v>
      </c>
      <c r="L24" s="36">
        <f t="shared" si="4"/>
        <v>0</v>
      </c>
      <c r="M24" s="36">
        <f t="shared" si="5"/>
        <v>0</v>
      </c>
      <c r="N24" s="37"/>
      <c r="O24" s="38">
        <f t="shared" si="6"/>
        <v>250</v>
      </c>
      <c r="P24" s="37"/>
      <c r="Q24" s="37"/>
      <c r="R24" s="37"/>
      <c r="S24" s="39">
        <f t="shared" si="2"/>
        <v>1000</v>
      </c>
      <c r="T24" s="91" t="str">
        <f t="shared" si="3"/>
        <v>OK</v>
      </c>
      <c r="U24" s="235"/>
      <c r="V24" s="235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1000</v>
      </c>
      <c r="L25" s="36">
        <f t="shared" si="4"/>
        <v>0</v>
      </c>
      <c r="M25" s="36">
        <f t="shared" si="5"/>
        <v>0</v>
      </c>
      <c r="N25" s="37"/>
      <c r="O25" s="38">
        <f t="shared" si="6"/>
        <v>250</v>
      </c>
      <c r="P25" s="37"/>
      <c r="Q25" s="37"/>
      <c r="R25" s="37"/>
      <c r="S25" s="39">
        <f t="shared" si="2"/>
        <v>1000</v>
      </c>
      <c r="T25" s="91" t="str">
        <f t="shared" si="3"/>
        <v>OK</v>
      </c>
      <c r="U25" s="235"/>
      <c r="V25" s="235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1000</v>
      </c>
      <c r="L26" s="36">
        <f t="shared" si="4"/>
        <v>0</v>
      </c>
      <c r="M26" s="36">
        <f t="shared" si="5"/>
        <v>0</v>
      </c>
      <c r="N26" s="37"/>
      <c r="O26" s="38">
        <f t="shared" si="6"/>
        <v>250</v>
      </c>
      <c r="P26" s="37"/>
      <c r="Q26" s="37"/>
      <c r="R26" s="37"/>
      <c r="S26" s="39">
        <f t="shared" si="2"/>
        <v>1000</v>
      </c>
      <c r="T26" s="91" t="str">
        <f t="shared" si="3"/>
        <v>OK</v>
      </c>
      <c r="U26" s="235"/>
      <c r="V26" s="235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2500</v>
      </c>
      <c r="L27" s="36">
        <f t="shared" si="4"/>
        <v>0</v>
      </c>
      <c r="M27" s="36">
        <f t="shared" si="5"/>
        <v>0</v>
      </c>
      <c r="N27" s="37"/>
      <c r="O27" s="38">
        <f t="shared" si="6"/>
        <v>625</v>
      </c>
      <c r="P27" s="37"/>
      <c r="Q27" s="37"/>
      <c r="R27" s="37"/>
      <c r="S27" s="39">
        <f t="shared" si="2"/>
        <v>2500</v>
      </c>
      <c r="T27" s="91" t="str">
        <f t="shared" si="3"/>
        <v>OK</v>
      </c>
      <c r="U27" s="235"/>
      <c r="V27" s="235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2000</v>
      </c>
      <c r="L28" s="36">
        <f t="shared" si="4"/>
        <v>0</v>
      </c>
      <c r="M28" s="36">
        <f t="shared" si="5"/>
        <v>0</v>
      </c>
      <c r="N28" s="37"/>
      <c r="O28" s="38">
        <f t="shared" si="6"/>
        <v>500</v>
      </c>
      <c r="P28" s="37"/>
      <c r="Q28" s="37"/>
      <c r="R28" s="37"/>
      <c r="S28" s="39">
        <f t="shared" si="2"/>
        <v>2000</v>
      </c>
      <c r="T28" s="91" t="str">
        <f t="shared" si="3"/>
        <v>OK</v>
      </c>
      <c r="U28" s="235"/>
      <c r="V28" s="235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3250</v>
      </c>
      <c r="L29" s="36">
        <f t="shared" si="4"/>
        <v>0</v>
      </c>
      <c r="M29" s="36">
        <f t="shared" si="5"/>
        <v>0</v>
      </c>
      <c r="N29" s="37"/>
      <c r="O29" s="38">
        <f t="shared" si="6"/>
        <v>812</v>
      </c>
      <c r="P29" s="37"/>
      <c r="Q29" s="37"/>
      <c r="R29" s="37"/>
      <c r="S29" s="39">
        <f t="shared" si="2"/>
        <v>3250</v>
      </c>
      <c r="T29" s="91" t="str">
        <f t="shared" si="3"/>
        <v>OK</v>
      </c>
      <c r="U29" s="235"/>
      <c r="V29" s="235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5000</v>
      </c>
      <c r="L30" s="36">
        <f t="shared" si="4"/>
        <v>0</v>
      </c>
      <c r="M30" s="36">
        <f t="shared" si="5"/>
        <v>0</v>
      </c>
      <c r="N30" s="37"/>
      <c r="O30" s="38">
        <f t="shared" si="6"/>
        <v>1250</v>
      </c>
      <c r="P30" s="37"/>
      <c r="Q30" s="37"/>
      <c r="R30" s="37"/>
      <c r="S30" s="39">
        <f t="shared" si="2"/>
        <v>5000</v>
      </c>
      <c r="T30" s="91" t="str">
        <f t="shared" si="3"/>
        <v>OK</v>
      </c>
      <c r="U30" s="235"/>
      <c r="V30" s="235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1500</v>
      </c>
      <c r="L31" s="36">
        <f t="shared" si="4"/>
        <v>500</v>
      </c>
      <c r="M31" s="36">
        <f t="shared" si="5"/>
        <v>500</v>
      </c>
      <c r="N31" s="37"/>
      <c r="O31" s="38">
        <f t="shared" si="6"/>
        <v>375</v>
      </c>
      <c r="P31" s="37"/>
      <c r="Q31" s="37"/>
      <c r="R31" s="37"/>
      <c r="S31" s="39">
        <f t="shared" si="2"/>
        <v>1000</v>
      </c>
      <c r="T31" s="91" t="str">
        <f t="shared" si="3"/>
        <v>OK</v>
      </c>
      <c r="U31" s="235"/>
      <c r="V31" s="242">
        <v>500</v>
      </c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500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125</v>
      </c>
      <c r="P32" s="37"/>
      <c r="Q32" s="37"/>
      <c r="R32" s="37"/>
      <c r="S32" s="39">
        <f t="shared" ref="S32" si="10">K32+N32+P32+Q32-M32</f>
        <v>500</v>
      </c>
      <c r="T32" s="91" t="str">
        <f t="shared" ref="T32" si="11">IF(S32&lt;0,"ATENÇÃO","OK")</f>
        <v>OK</v>
      </c>
      <c r="U32" s="235"/>
      <c r="V32" s="23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21045</v>
      </c>
      <c r="S36" s="28">
        <f>SUM(S4:S35)</f>
        <v>20339</v>
      </c>
      <c r="T36" s="29" t="str">
        <f t="shared" si="3"/>
        <v>OK</v>
      </c>
      <c r="U36" s="239">
        <f>SUMPRODUCT($J$4:$J$35,U4:U35)</f>
        <v>348.67</v>
      </c>
      <c r="V36" s="239">
        <f t="shared" ref="V36:AI36" si="12">SUMPRODUCT($J$4:$J$35,V4:V35)</f>
        <v>650</v>
      </c>
      <c r="W36" s="239">
        <f t="shared" si="12"/>
        <v>0</v>
      </c>
      <c r="X36" s="239">
        <f t="shared" si="12"/>
        <v>0</v>
      </c>
      <c r="Y36" s="239">
        <f t="shared" si="12"/>
        <v>0</v>
      </c>
      <c r="Z36" s="239">
        <f t="shared" si="12"/>
        <v>0</v>
      </c>
      <c r="AA36" s="239">
        <f t="shared" si="12"/>
        <v>0</v>
      </c>
      <c r="AB36" s="239">
        <f t="shared" si="12"/>
        <v>0</v>
      </c>
      <c r="AC36" s="239">
        <f t="shared" si="12"/>
        <v>0</v>
      </c>
      <c r="AD36" s="239">
        <f t="shared" si="12"/>
        <v>0</v>
      </c>
      <c r="AE36" s="239">
        <f t="shared" si="12"/>
        <v>0</v>
      </c>
      <c r="AF36" s="239">
        <f t="shared" si="12"/>
        <v>0</v>
      </c>
      <c r="AG36" s="239">
        <f t="shared" si="12"/>
        <v>0</v>
      </c>
      <c r="AH36" s="239">
        <f t="shared" si="12"/>
        <v>0</v>
      </c>
      <c r="AI36" s="239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3" priority="2" operator="greaterThan">
      <formula>0</formula>
    </cfRule>
  </conditionalFormatting>
  <conditionalFormatting sqref="U4:AI35">
    <cfRule type="cellIs" dxfId="2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E5B8-F48D-4196-96BE-E5CDC6AF9376}">
  <dimension ref="A1:AH39"/>
  <sheetViews>
    <sheetView zoomScale="80" zoomScaleNormal="80" workbookViewId="0">
      <pane xSplit="20" topLeftCell="Z1" activePane="topRight" state="frozen"/>
      <selection pane="topRight" activeCell="AA39" sqref="AA39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19.85546875" style="25" customWidth="1"/>
    <col min="5" max="5" width="10.140625" style="24" customWidth="1"/>
    <col min="6" max="6" width="11.85546875" style="24" hidden="1" customWidth="1"/>
    <col min="7" max="7" width="15.5703125" style="24" hidden="1" customWidth="1"/>
    <col min="8" max="8" width="10.42578125" style="24" customWidth="1"/>
    <col min="9" max="9" width="11.28515625" style="24" customWidth="1"/>
    <col min="10" max="10" width="14.42578125" style="26" customWidth="1"/>
    <col min="11" max="14" width="9.42578125" style="27" customWidth="1"/>
    <col min="15" max="18" width="6.140625" style="27" customWidth="1"/>
    <col min="19" max="19" width="9.42578125" style="28" customWidth="1"/>
    <col min="20" max="20" width="9.42578125" style="29" customWidth="1"/>
    <col min="21" max="22" width="13.7109375" style="131" customWidth="1"/>
    <col min="23" max="34" width="13.7109375" style="35" customWidth="1"/>
    <col min="35" max="16384" width="9.7109375" style="17"/>
  </cols>
  <sheetData>
    <row r="1" spans="1:34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76" t="s">
        <v>120</v>
      </c>
      <c r="V1" s="276" t="s">
        <v>122</v>
      </c>
      <c r="W1" s="276" t="s">
        <v>129</v>
      </c>
      <c r="X1" s="276" t="s">
        <v>130</v>
      </c>
      <c r="Y1" s="276" t="s">
        <v>172</v>
      </c>
      <c r="Z1" s="276" t="s">
        <v>173</v>
      </c>
      <c r="AA1" s="276" t="s">
        <v>176</v>
      </c>
      <c r="AB1" s="283" t="s">
        <v>125</v>
      </c>
      <c r="AC1" s="283" t="s">
        <v>125</v>
      </c>
      <c r="AD1" s="283" t="s">
        <v>125</v>
      </c>
      <c r="AE1" s="283" t="s">
        <v>125</v>
      </c>
      <c r="AF1" s="283" t="s">
        <v>125</v>
      </c>
      <c r="AG1" s="283" t="s">
        <v>125</v>
      </c>
      <c r="AH1" s="283" t="s">
        <v>125</v>
      </c>
    </row>
    <row r="2" spans="1:34" ht="30.75" customHeight="1" x14ac:dyDescent="0.2">
      <c r="A2" s="270" t="s">
        <v>53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76"/>
      <c r="V2" s="276"/>
      <c r="W2" s="276"/>
      <c r="X2" s="276"/>
      <c r="Y2" s="276"/>
      <c r="Z2" s="276"/>
      <c r="AA2" s="276"/>
      <c r="AB2" s="283"/>
      <c r="AC2" s="283"/>
      <c r="AD2" s="283"/>
      <c r="AE2" s="283"/>
      <c r="AF2" s="283"/>
      <c r="AG2" s="283"/>
      <c r="AH2" s="283"/>
    </row>
    <row r="3" spans="1:34" s="22" customFormat="1" ht="36.950000000000003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116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123">
        <v>45813</v>
      </c>
      <c r="V3" s="123">
        <v>45849</v>
      </c>
      <c r="W3" s="123">
        <v>45855</v>
      </c>
      <c r="X3" s="123">
        <v>45855</v>
      </c>
      <c r="Y3" s="123">
        <v>45931</v>
      </c>
      <c r="Z3" s="123">
        <v>45933</v>
      </c>
      <c r="AA3" s="123">
        <v>45966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23.25" customHeight="1" x14ac:dyDescent="0.25">
      <c r="A4" s="263">
        <v>1</v>
      </c>
      <c r="B4" s="263" t="s">
        <v>121</v>
      </c>
      <c r="C4" s="58">
        <v>1</v>
      </c>
      <c r="D4" s="302" t="s">
        <v>74</v>
      </c>
      <c r="E4" s="59" t="s">
        <v>31</v>
      </c>
      <c r="F4" s="60" t="s">
        <v>16</v>
      </c>
      <c r="G4" s="60" t="s">
        <v>17</v>
      </c>
      <c r="H4" s="58" t="s">
        <v>123</v>
      </c>
      <c r="I4" s="58" t="s">
        <v>4</v>
      </c>
      <c r="J4" s="61">
        <v>11.07</v>
      </c>
      <c r="K4" s="90">
        <v>5</v>
      </c>
      <c r="L4" s="36">
        <f t="shared" ref="L4:L35" si="0">IF(SUM(U4:AK4)&gt;K4+N4,K4+N4,SUM(U4:AK4))</f>
        <v>0</v>
      </c>
      <c r="M4" s="36">
        <f t="shared" ref="M4:M35" si="1">(SUM(U4:AK4))</f>
        <v>0</v>
      </c>
      <c r="N4" s="37">
        <v>-5</v>
      </c>
      <c r="O4" s="38">
        <f>ROUND(IF(K4*0.25-0.5&lt;0,0,K4*0.25-0.5),0)-R4-P4</f>
        <v>1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96"/>
      <c r="V4" s="96"/>
      <c r="W4" s="94"/>
      <c r="X4" s="94"/>
      <c r="Y4" s="98"/>
      <c r="Z4" s="98"/>
      <c r="AA4" s="98"/>
      <c r="AB4" s="98"/>
      <c r="AC4" s="98"/>
      <c r="AD4" s="98"/>
      <c r="AE4" s="98"/>
      <c r="AF4" s="98"/>
      <c r="AG4" s="98"/>
      <c r="AH4" s="98"/>
    </row>
    <row r="5" spans="1:34" ht="26.45" customHeight="1" x14ac:dyDescent="0.25">
      <c r="A5" s="264"/>
      <c r="B5" s="264"/>
      <c r="C5" s="58">
        <v>2</v>
      </c>
      <c r="D5" s="274"/>
      <c r="E5" s="232" t="s">
        <v>32</v>
      </c>
      <c r="F5" s="60" t="s">
        <v>16</v>
      </c>
      <c r="G5" s="60" t="s">
        <v>17</v>
      </c>
      <c r="H5" s="58" t="s">
        <v>123</v>
      </c>
      <c r="I5" s="58" t="s">
        <v>4</v>
      </c>
      <c r="J5" s="61">
        <v>35.35</v>
      </c>
      <c r="K5" s="90">
        <v>50</v>
      </c>
      <c r="L5" s="36">
        <f t="shared" si="0"/>
        <v>16</v>
      </c>
      <c r="M5" s="36">
        <f t="shared" si="1"/>
        <v>16</v>
      </c>
      <c r="N5" s="37"/>
      <c r="O5" s="38">
        <f t="shared" ref="O5:O35" si="4">ROUND(IF(K5*0.25-0.5&lt;0,0,K5*0.25-0.5),0)-R5-P5</f>
        <v>12</v>
      </c>
      <c r="P5" s="37"/>
      <c r="Q5" s="37"/>
      <c r="R5" s="37"/>
      <c r="S5" s="39">
        <f t="shared" si="2"/>
        <v>34</v>
      </c>
      <c r="T5" s="91" t="str">
        <f t="shared" si="3"/>
        <v>OK</v>
      </c>
      <c r="U5" s="96"/>
      <c r="V5" s="96"/>
      <c r="W5" s="94"/>
      <c r="X5" s="94"/>
      <c r="Y5" s="98"/>
      <c r="Z5" s="98">
        <v>16</v>
      </c>
      <c r="AA5" s="98"/>
      <c r="AB5" s="98"/>
      <c r="AC5" s="98"/>
      <c r="AD5" s="98"/>
      <c r="AE5" s="98"/>
      <c r="AF5" s="98"/>
      <c r="AG5" s="98"/>
      <c r="AH5" s="98"/>
    </row>
    <row r="6" spans="1:34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123</v>
      </c>
      <c r="I6" s="58" t="s">
        <v>4</v>
      </c>
      <c r="J6" s="61">
        <v>43</v>
      </c>
      <c r="K6" s="90">
        <v>10</v>
      </c>
      <c r="L6" s="36">
        <f t="shared" si="0"/>
        <v>0</v>
      </c>
      <c r="M6" s="36">
        <f t="shared" si="1"/>
        <v>0</v>
      </c>
      <c r="N6" s="37"/>
      <c r="O6" s="38">
        <f t="shared" si="4"/>
        <v>2</v>
      </c>
      <c r="P6" s="37"/>
      <c r="Q6" s="37"/>
      <c r="R6" s="37"/>
      <c r="S6" s="39">
        <f t="shared" si="2"/>
        <v>10</v>
      </c>
      <c r="T6" s="91" t="str">
        <f t="shared" si="3"/>
        <v>OK</v>
      </c>
      <c r="U6" s="96"/>
      <c r="V6" s="96"/>
      <c r="W6" s="94"/>
      <c r="X6" s="94"/>
      <c r="Y6" s="98"/>
      <c r="Z6" s="98"/>
      <c r="AA6" s="98"/>
      <c r="AB6" s="98"/>
      <c r="AC6" s="98"/>
      <c r="AD6" s="98"/>
      <c r="AE6" s="98"/>
      <c r="AF6" s="98"/>
      <c r="AG6" s="98"/>
      <c r="AH6" s="98"/>
    </row>
    <row r="7" spans="1:34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123</v>
      </c>
      <c r="I7" s="58" t="s">
        <v>4</v>
      </c>
      <c r="J7" s="61">
        <v>61.01</v>
      </c>
      <c r="K7" s="90">
        <v>35</v>
      </c>
      <c r="L7" s="36">
        <f t="shared" si="0"/>
        <v>0</v>
      </c>
      <c r="M7" s="36">
        <f t="shared" si="1"/>
        <v>0</v>
      </c>
      <c r="N7" s="37"/>
      <c r="O7" s="38">
        <f t="shared" si="4"/>
        <v>8</v>
      </c>
      <c r="P7" s="37"/>
      <c r="Q7" s="37"/>
      <c r="R7" s="37"/>
      <c r="S7" s="39">
        <f t="shared" si="2"/>
        <v>35</v>
      </c>
      <c r="T7" s="91" t="str">
        <f t="shared" si="3"/>
        <v>OK</v>
      </c>
      <c r="U7" s="96"/>
      <c r="V7" s="96"/>
      <c r="W7" s="94"/>
      <c r="X7" s="94"/>
      <c r="Y7" s="98"/>
      <c r="Z7" s="98"/>
      <c r="AA7" s="98"/>
      <c r="AB7" s="98"/>
      <c r="AC7" s="98"/>
      <c r="AD7" s="98"/>
      <c r="AE7" s="98"/>
      <c r="AF7" s="98"/>
      <c r="AG7" s="98"/>
      <c r="AH7" s="98"/>
    </row>
    <row r="8" spans="1:34" ht="39.950000000000003" customHeight="1" x14ac:dyDescent="0.25">
      <c r="A8" s="265"/>
      <c r="B8" s="265"/>
      <c r="C8" s="58">
        <v>5</v>
      </c>
      <c r="D8" s="274"/>
      <c r="E8" s="130" t="s">
        <v>35</v>
      </c>
      <c r="F8" s="60" t="s">
        <v>16</v>
      </c>
      <c r="G8" s="60" t="s">
        <v>17</v>
      </c>
      <c r="H8" s="58" t="s">
        <v>123</v>
      </c>
      <c r="I8" s="58" t="s">
        <v>4</v>
      </c>
      <c r="J8" s="61">
        <v>26.25</v>
      </c>
      <c r="K8" s="90">
        <v>980</v>
      </c>
      <c r="L8" s="36">
        <f t="shared" si="0"/>
        <v>77</v>
      </c>
      <c r="M8" s="36">
        <f t="shared" si="1"/>
        <v>77</v>
      </c>
      <c r="N8" s="37"/>
      <c r="O8" s="38">
        <f t="shared" si="4"/>
        <v>245</v>
      </c>
      <c r="P8" s="37"/>
      <c r="Q8" s="37"/>
      <c r="R8" s="37"/>
      <c r="S8" s="39">
        <f t="shared" si="2"/>
        <v>903</v>
      </c>
      <c r="T8" s="91" t="str">
        <f t="shared" si="3"/>
        <v>OK</v>
      </c>
      <c r="U8" s="96"/>
      <c r="V8" s="96">
        <v>19</v>
      </c>
      <c r="W8" s="94"/>
      <c r="X8" s="94"/>
      <c r="Y8" s="98"/>
      <c r="Z8" s="98">
        <v>46</v>
      </c>
      <c r="AA8" s="98">
        <v>12</v>
      </c>
      <c r="AB8" s="98"/>
      <c r="AC8" s="98"/>
      <c r="AD8" s="98"/>
      <c r="AE8" s="98"/>
      <c r="AF8" s="98"/>
      <c r="AG8" s="98"/>
      <c r="AH8" s="98"/>
    </row>
    <row r="9" spans="1:34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20</v>
      </c>
      <c r="L9" s="36">
        <f t="shared" si="0"/>
        <v>0</v>
      </c>
      <c r="M9" s="36">
        <f t="shared" si="1"/>
        <v>0</v>
      </c>
      <c r="N9" s="37"/>
      <c r="O9" s="38">
        <f t="shared" si="4"/>
        <v>5</v>
      </c>
      <c r="P9" s="37"/>
      <c r="Q9" s="37"/>
      <c r="R9" s="37"/>
      <c r="S9" s="39">
        <f t="shared" si="2"/>
        <v>20</v>
      </c>
      <c r="T9" s="91" t="str">
        <f t="shared" si="3"/>
        <v>OK</v>
      </c>
      <c r="U9" s="96"/>
      <c r="V9" s="96"/>
      <c r="W9" s="94"/>
      <c r="X9" s="94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1:34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20</v>
      </c>
      <c r="L10" s="36">
        <f t="shared" si="0"/>
        <v>0</v>
      </c>
      <c r="M10" s="36">
        <f t="shared" si="1"/>
        <v>0</v>
      </c>
      <c r="N10" s="37"/>
      <c r="O10" s="38">
        <f t="shared" si="4"/>
        <v>5</v>
      </c>
      <c r="P10" s="37"/>
      <c r="Q10" s="37"/>
      <c r="R10" s="37"/>
      <c r="S10" s="39">
        <f t="shared" si="2"/>
        <v>20</v>
      </c>
      <c r="T10" s="91" t="str">
        <f t="shared" si="3"/>
        <v>OK</v>
      </c>
      <c r="U10" s="96"/>
      <c r="V10" s="96"/>
      <c r="W10" s="94"/>
      <c r="X10" s="94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4" ht="36.950000000000003" customHeight="1" x14ac:dyDescent="0.25">
      <c r="A11" s="263">
        <v>3</v>
      </c>
      <c r="B11" s="263" t="s">
        <v>75</v>
      </c>
      <c r="C11" s="58">
        <v>8</v>
      </c>
      <c r="D11" s="303" t="s">
        <v>78</v>
      </c>
      <c r="E11" s="140" t="s">
        <v>39</v>
      </c>
      <c r="F11" s="66" t="s">
        <v>16</v>
      </c>
      <c r="G11" s="66" t="s">
        <v>17</v>
      </c>
      <c r="H11" s="58" t="s">
        <v>126</v>
      </c>
      <c r="I11" s="58" t="s">
        <v>4</v>
      </c>
      <c r="J11" s="61">
        <v>199.83</v>
      </c>
      <c r="K11" s="90">
        <v>5</v>
      </c>
      <c r="L11" s="36">
        <f t="shared" si="0"/>
        <v>2</v>
      </c>
      <c r="M11" s="36">
        <f t="shared" si="1"/>
        <v>2</v>
      </c>
      <c r="N11" s="37"/>
      <c r="O11" s="38">
        <f t="shared" si="4"/>
        <v>1</v>
      </c>
      <c r="P11" s="37"/>
      <c r="Q11" s="37"/>
      <c r="R11" s="37"/>
      <c r="S11" s="39">
        <f t="shared" si="2"/>
        <v>3</v>
      </c>
      <c r="T11" s="91" t="str">
        <f t="shared" si="3"/>
        <v>OK</v>
      </c>
      <c r="U11" s="97"/>
      <c r="V11" s="96"/>
      <c r="W11" s="94">
        <v>2</v>
      </c>
      <c r="X11" s="94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126</v>
      </c>
      <c r="I12" s="58" t="s">
        <v>4</v>
      </c>
      <c r="J12" s="61">
        <v>2456.9899999999998</v>
      </c>
      <c r="K12" s="90">
        <v>5</v>
      </c>
      <c r="L12" s="36">
        <f t="shared" si="0"/>
        <v>0</v>
      </c>
      <c r="M12" s="36">
        <f t="shared" si="1"/>
        <v>0</v>
      </c>
      <c r="N12" s="37"/>
      <c r="O12" s="38">
        <f t="shared" si="4"/>
        <v>1</v>
      </c>
      <c r="P12" s="37"/>
      <c r="Q12" s="37"/>
      <c r="R12" s="37"/>
      <c r="S12" s="39">
        <f t="shared" si="2"/>
        <v>5</v>
      </c>
      <c r="T12" s="91" t="str">
        <f t="shared" si="3"/>
        <v>OK</v>
      </c>
      <c r="U12" s="96"/>
      <c r="V12" s="96"/>
      <c r="W12" s="94"/>
      <c r="X12" s="94"/>
      <c r="Y12" s="98"/>
      <c r="Z12" s="98"/>
      <c r="AA12" s="98"/>
      <c r="AB12" s="98"/>
      <c r="AC12" s="98"/>
      <c r="AD12" s="98"/>
      <c r="AE12" s="98"/>
      <c r="AF12" s="98"/>
      <c r="AG12" s="98"/>
      <c r="AH12" s="98"/>
    </row>
    <row r="13" spans="1:34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126</v>
      </c>
      <c r="I13" s="58" t="s">
        <v>4</v>
      </c>
      <c r="J13" s="61">
        <v>3000</v>
      </c>
      <c r="K13" s="90">
        <v>5</v>
      </c>
      <c r="L13" s="36">
        <f t="shared" si="0"/>
        <v>0</v>
      </c>
      <c r="M13" s="36">
        <f t="shared" si="1"/>
        <v>0</v>
      </c>
      <c r="N13" s="37"/>
      <c r="O13" s="38">
        <f t="shared" si="4"/>
        <v>1</v>
      </c>
      <c r="P13" s="37"/>
      <c r="Q13" s="37"/>
      <c r="R13" s="37"/>
      <c r="S13" s="39">
        <f t="shared" si="2"/>
        <v>5</v>
      </c>
      <c r="T13" s="91" t="str">
        <f t="shared" si="3"/>
        <v>OK</v>
      </c>
      <c r="U13" s="96"/>
      <c r="V13" s="96"/>
      <c r="W13" s="94"/>
      <c r="X13" s="94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25</v>
      </c>
      <c r="L14" s="36">
        <f t="shared" si="0"/>
        <v>0</v>
      </c>
      <c r="M14" s="36">
        <f t="shared" si="1"/>
        <v>0</v>
      </c>
      <c r="N14" s="37"/>
      <c r="O14" s="38">
        <f t="shared" si="4"/>
        <v>6</v>
      </c>
      <c r="P14" s="37"/>
      <c r="Q14" s="37"/>
      <c r="R14" s="37"/>
      <c r="S14" s="39">
        <f t="shared" si="2"/>
        <v>25</v>
      </c>
      <c r="T14" s="91" t="str">
        <f t="shared" si="3"/>
        <v>OK</v>
      </c>
      <c r="U14" s="96"/>
      <c r="V14" s="96"/>
      <c r="W14" s="94"/>
      <c r="X14" s="94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15</v>
      </c>
      <c r="L15" s="36">
        <f t="shared" si="0"/>
        <v>0</v>
      </c>
      <c r="M15" s="36">
        <f t="shared" si="1"/>
        <v>0</v>
      </c>
      <c r="N15" s="37"/>
      <c r="O15" s="38">
        <f t="shared" si="4"/>
        <v>3</v>
      </c>
      <c r="P15" s="37"/>
      <c r="Q15" s="37"/>
      <c r="R15" s="37"/>
      <c r="S15" s="39">
        <f t="shared" si="2"/>
        <v>15</v>
      </c>
      <c r="T15" s="91" t="str">
        <f t="shared" si="3"/>
        <v>OK</v>
      </c>
      <c r="U15" s="96"/>
      <c r="V15" s="96"/>
      <c r="W15" s="94"/>
      <c r="X15" s="94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20</v>
      </c>
      <c r="L16" s="36">
        <f t="shared" si="0"/>
        <v>0</v>
      </c>
      <c r="M16" s="36">
        <f t="shared" si="1"/>
        <v>0</v>
      </c>
      <c r="N16" s="37"/>
      <c r="O16" s="38">
        <f t="shared" si="4"/>
        <v>5</v>
      </c>
      <c r="P16" s="37"/>
      <c r="Q16" s="37"/>
      <c r="R16" s="37"/>
      <c r="S16" s="39">
        <f t="shared" si="2"/>
        <v>20</v>
      </c>
      <c r="T16" s="91" t="str">
        <f t="shared" si="3"/>
        <v>OK</v>
      </c>
      <c r="U16" s="96"/>
      <c r="V16" s="96"/>
      <c r="W16" s="94"/>
      <c r="X16" s="94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1:34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50</v>
      </c>
      <c r="L17" s="36">
        <f t="shared" si="0"/>
        <v>0</v>
      </c>
      <c r="M17" s="36">
        <f t="shared" si="1"/>
        <v>0</v>
      </c>
      <c r="N17" s="37"/>
      <c r="O17" s="38">
        <f t="shared" si="4"/>
        <v>12</v>
      </c>
      <c r="P17" s="37"/>
      <c r="Q17" s="37"/>
      <c r="R17" s="37"/>
      <c r="S17" s="39">
        <f t="shared" si="2"/>
        <v>50</v>
      </c>
      <c r="T17" s="91" t="str">
        <f t="shared" si="3"/>
        <v>OK</v>
      </c>
      <c r="U17" s="96"/>
      <c r="V17" s="96"/>
      <c r="W17" s="127"/>
      <c r="X17" s="94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1:34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10</v>
      </c>
      <c r="L18" s="36">
        <f t="shared" si="0"/>
        <v>0</v>
      </c>
      <c r="M18" s="36">
        <f t="shared" si="1"/>
        <v>0</v>
      </c>
      <c r="N18" s="37"/>
      <c r="O18" s="38">
        <f t="shared" si="4"/>
        <v>2</v>
      </c>
      <c r="P18" s="37"/>
      <c r="Q18" s="37"/>
      <c r="R18" s="37"/>
      <c r="S18" s="39">
        <f t="shared" si="2"/>
        <v>10</v>
      </c>
      <c r="T18" s="91" t="str">
        <f t="shared" si="3"/>
        <v>OK</v>
      </c>
      <c r="U18" s="96"/>
      <c r="V18" s="96"/>
      <c r="W18" s="127"/>
      <c r="X18" s="100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4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60</v>
      </c>
      <c r="L19" s="36">
        <f t="shared" si="0"/>
        <v>0</v>
      </c>
      <c r="M19" s="36">
        <f t="shared" si="1"/>
        <v>0</v>
      </c>
      <c r="N19" s="37"/>
      <c r="O19" s="38">
        <f t="shared" si="4"/>
        <v>15</v>
      </c>
      <c r="P19" s="37"/>
      <c r="Q19" s="37"/>
      <c r="R19" s="37"/>
      <c r="S19" s="39">
        <f t="shared" si="2"/>
        <v>60</v>
      </c>
      <c r="T19" s="91" t="str">
        <f t="shared" si="3"/>
        <v>OK</v>
      </c>
      <c r="U19" s="96"/>
      <c r="V19" s="96"/>
      <c r="W19" s="127"/>
      <c r="X19" s="94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1:34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0</v>
      </c>
      <c r="L20" s="36">
        <f t="shared" si="0"/>
        <v>0</v>
      </c>
      <c r="M20" s="36">
        <f t="shared" si="1"/>
        <v>0</v>
      </c>
      <c r="N20" s="37"/>
      <c r="O20" s="38">
        <f t="shared" si="4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96"/>
      <c r="V20" s="96"/>
      <c r="W20" s="127"/>
      <c r="X20" s="94"/>
      <c r="Y20" s="12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1:34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0</v>
      </c>
      <c r="L21" s="36">
        <f t="shared" si="0"/>
        <v>0</v>
      </c>
      <c r="M21" s="36">
        <f t="shared" si="1"/>
        <v>0</v>
      </c>
      <c r="N21" s="37"/>
      <c r="O21" s="38">
        <f t="shared" si="4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96"/>
      <c r="V21" s="96"/>
      <c r="W21" s="127"/>
      <c r="X21" s="94"/>
      <c r="Y21" s="12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1:34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400</v>
      </c>
      <c r="L22" s="36">
        <f t="shared" si="0"/>
        <v>0</v>
      </c>
      <c r="M22" s="36">
        <f t="shared" si="1"/>
        <v>0</v>
      </c>
      <c r="N22" s="37"/>
      <c r="O22" s="38">
        <f t="shared" si="4"/>
        <v>100</v>
      </c>
      <c r="P22" s="37"/>
      <c r="Q22" s="37"/>
      <c r="R22" s="37"/>
      <c r="S22" s="39">
        <f t="shared" si="2"/>
        <v>400</v>
      </c>
      <c r="T22" s="91" t="str">
        <f t="shared" si="3"/>
        <v>OK</v>
      </c>
      <c r="U22" s="96"/>
      <c r="V22" s="96"/>
      <c r="W22" s="127"/>
      <c r="X22" s="94"/>
      <c r="Y22" s="128"/>
      <c r="Z22" s="98"/>
      <c r="AA22" s="98"/>
      <c r="AB22" s="98"/>
      <c r="AC22" s="98"/>
      <c r="AD22" s="98"/>
      <c r="AE22" s="98"/>
      <c r="AF22" s="98"/>
      <c r="AG22" s="98"/>
      <c r="AH22" s="98"/>
    </row>
    <row r="23" spans="1:34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0</v>
      </c>
      <c r="L23" s="36">
        <f t="shared" si="0"/>
        <v>0</v>
      </c>
      <c r="M23" s="36">
        <f t="shared" si="1"/>
        <v>0</v>
      </c>
      <c r="N23" s="37"/>
      <c r="O23" s="38">
        <f t="shared" si="4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96"/>
      <c r="V23" s="96"/>
      <c r="W23" s="127"/>
      <c r="X23" s="94"/>
      <c r="Y23" s="128"/>
      <c r="Z23" s="98"/>
      <c r="AA23" s="98"/>
      <c r="AB23" s="98"/>
      <c r="AC23" s="98"/>
      <c r="AD23" s="98"/>
      <c r="AE23" s="98"/>
      <c r="AF23" s="98"/>
      <c r="AG23" s="98"/>
      <c r="AH23" s="98"/>
    </row>
    <row r="24" spans="1:34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0</v>
      </c>
      <c r="L24" s="36">
        <f t="shared" si="0"/>
        <v>0</v>
      </c>
      <c r="M24" s="36">
        <f t="shared" si="1"/>
        <v>0</v>
      </c>
      <c r="N24" s="37"/>
      <c r="O24" s="38">
        <f t="shared" si="4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96"/>
      <c r="V24" s="96"/>
      <c r="W24" s="127"/>
      <c r="X24" s="94"/>
      <c r="Y24" s="12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500</v>
      </c>
      <c r="L25" s="36">
        <f t="shared" si="0"/>
        <v>0</v>
      </c>
      <c r="M25" s="36">
        <f t="shared" si="1"/>
        <v>0</v>
      </c>
      <c r="N25" s="37"/>
      <c r="O25" s="38">
        <f t="shared" si="4"/>
        <v>125</v>
      </c>
      <c r="P25" s="37"/>
      <c r="Q25" s="37"/>
      <c r="R25" s="37"/>
      <c r="S25" s="39">
        <f t="shared" si="2"/>
        <v>500</v>
      </c>
      <c r="T25" s="91" t="str">
        <f t="shared" si="3"/>
        <v>OK</v>
      </c>
      <c r="U25" s="96"/>
      <c r="V25" s="96"/>
      <c r="W25" s="127"/>
      <c r="X25" s="94"/>
      <c r="Y25" s="12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0</v>
      </c>
      <c r="L26" s="36">
        <f t="shared" si="0"/>
        <v>0</v>
      </c>
      <c r="M26" s="36">
        <f t="shared" si="1"/>
        <v>0</v>
      </c>
      <c r="N26" s="37"/>
      <c r="O26" s="38">
        <f t="shared" si="4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96"/>
      <c r="V26" s="96"/>
      <c r="W26" s="127"/>
      <c r="X26" s="94"/>
      <c r="Y26" s="12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1:34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0</v>
      </c>
      <c r="L27" s="36">
        <f t="shared" si="0"/>
        <v>0</v>
      </c>
      <c r="M27" s="36">
        <f t="shared" si="1"/>
        <v>0</v>
      </c>
      <c r="N27" s="37"/>
      <c r="O27" s="38">
        <f t="shared" si="4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96"/>
      <c r="V27" s="96"/>
      <c r="W27" s="127"/>
      <c r="X27" s="94"/>
      <c r="Y27" s="12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1:34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0</v>
      </c>
      <c r="L28" s="36">
        <f t="shared" si="0"/>
        <v>0</v>
      </c>
      <c r="M28" s="36">
        <f t="shared" si="1"/>
        <v>0</v>
      </c>
      <c r="N28" s="37"/>
      <c r="O28" s="38">
        <f t="shared" si="4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96"/>
      <c r="V28" s="96"/>
      <c r="W28" s="127"/>
      <c r="X28" s="94"/>
      <c r="Y28" s="12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1:34" ht="26.45" customHeight="1" x14ac:dyDescent="0.25">
      <c r="A29" s="289">
        <v>14</v>
      </c>
      <c r="B29" s="291" t="s">
        <v>86</v>
      </c>
      <c r="C29" s="62" t="s">
        <v>87</v>
      </c>
      <c r="D29" s="305" t="s">
        <v>88</v>
      </c>
      <c r="E29" s="139" t="s">
        <v>21</v>
      </c>
      <c r="F29" s="73" t="s">
        <v>16</v>
      </c>
      <c r="G29" s="73" t="s">
        <v>17</v>
      </c>
      <c r="H29" s="62" t="s">
        <v>123</v>
      </c>
      <c r="I29" s="82" t="s">
        <v>24</v>
      </c>
      <c r="J29" s="65">
        <v>0.3</v>
      </c>
      <c r="K29" s="90">
        <v>2000</v>
      </c>
      <c r="L29" s="36">
        <f t="shared" si="0"/>
        <v>1000</v>
      </c>
      <c r="M29" s="36">
        <f t="shared" si="1"/>
        <v>1000</v>
      </c>
      <c r="N29" s="37"/>
      <c r="O29" s="38">
        <f t="shared" si="4"/>
        <v>500</v>
      </c>
      <c r="P29" s="37"/>
      <c r="Q29" s="37"/>
      <c r="R29" s="37"/>
      <c r="S29" s="39">
        <f t="shared" si="2"/>
        <v>1000</v>
      </c>
      <c r="T29" s="91" t="str">
        <f t="shared" si="3"/>
        <v>OK</v>
      </c>
      <c r="U29" s="96"/>
      <c r="V29" s="96"/>
      <c r="W29" s="102"/>
      <c r="X29" s="94">
        <v>1000</v>
      </c>
      <c r="Y29" s="12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1:34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0</v>
      </c>
      <c r="L30" s="36">
        <f t="shared" si="0"/>
        <v>0</v>
      </c>
      <c r="M30" s="36">
        <f t="shared" si="1"/>
        <v>0</v>
      </c>
      <c r="N30" s="37"/>
      <c r="O30" s="38">
        <f t="shared" si="4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96"/>
      <c r="V30" s="96"/>
      <c r="W30" s="127"/>
      <c r="X30" s="94"/>
      <c r="Y30" s="12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1:34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0</v>
      </c>
      <c r="L31" s="36">
        <f t="shared" si="0"/>
        <v>0</v>
      </c>
      <c r="M31" s="36">
        <f t="shared" si="1"/>
        <v>0</v>
      </c>
      <c r="N31" s="37"/>
      <c r="O31" s="38">
        <f t="shared" si="4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96"/>
      <c r="V31" s="96"/>
      <c r="W31" s="127"/>
      <c r="X31" s="94"/>
      <c r="Y31" s="12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1:34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0</v>
      </c>
      <c r="L32" s="36">
        <f t="shared" si="0"/>
        <v>0</v>
      </c>
      <c r="M32" s="36">
        <f t="shared" si="1"/>
        <v>0</v>
      </c>
      <c r="N32" s="37"/>
      <c r="O32" s="38">
        <f t="shared" ref="O32" si="5">ROUND(IF(K32*0.25-0.5&lt;0,0,K32*0.25-0.5),0)-R32-P32</f>
        <v>0</v>
      </c>
      <c r="P32" s="37"/>
      <c r="Q32" s="37"/>
      <c r="R32" s="37"/>
      <c r="S32" s="39">
        <f t="shared" ref="S32" si="6">K32+N32+P32+Q32-M32</f>
        <v>0</v>
      </c>
      <c r="T32" s="91" t="str">
        <f t="shared" ref="T32" si="7">IF(S32&lt;0,"ATENÇÃO","OK")</f>
        <v>OK</v>
      </c>
      <c r="U32" s="96"/>
      <c r="V32" s="96"/>
      <c r="W32" s="127"/>
      <c r="X32" s="94"/>
      <c r="Y32" s="12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1:34" ht="67.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62" t="s">
        <v>126</v>
      </c>
      <c r="I33" s="86" t="s">
        <v>24</v>
      </c>
      <c r="J33" s="65">
        <v>7.8</v>
      </c>
      <c r="K33" s="90">
        <v>3000</v>
      </c>
      <c r="L33" s="36">
        <f t="shared" si="0"/>
        <v>1860</v>
      </c>
      <c r="M33" s="36">
        <f t="shared" si="1"/>
        <v>1860</v>
      </c>
      <c r="N33" s="37">
        <v>-170</v>
      </c>
      <c r="O33" s="38">
        <f t="shared" si="4"/>
        <v>750</v>
      </c>
      <c r="P33" s="37"/>
      <c r="Q33" s="37"/>
      <c r="R33" s="37"/>
      <c r="S33" s="39">
        <f t="shared" si="2"/>
        <v>970</v>
      </c>
      <c r="T33" s="91" t="str">
        <f t="shared" si="3"/>
        <v>OK</v>
      </c>
      <c r="U33" s="96">
        <v>1310</v>
      </c>
      <c r="V33" s="96"/>
      <c r="W33" s="94"/>
      <c r="X33" s="94"/>
      <c r="Y33" s="98">
        <v>550</v>
      </c>
      <c r="Z33" s="98"/>
      <c r="AA33" s="98"/>
      <c r="AB33" s="98"/>
      <c r="AC33" s="98"/>
      <c r="AD33" s="98"/>
      <c r="AE33" s="98"/>
      <c r="AF33" s="98"/>
      <c r="AG33" s="98"/>
      <c r="AH33" s="98"/>
    </row>
    <row r="34" spans="1:34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0"/>
        <v>0</v>
      </c>
      <c r="M34" s="36">
        <f t="shared" si="1"/>
        <v>0</v>
      </c>
      <c r="N34" s="37"/>
      <c r="O34" s="38">
        <f t="shared" si="4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96"/>
      <c r="V34" s="96"/>
      <c r="W34" s="94"/>
      <c r="X34" s="94"/>
      <c r="Y34" s="98"/>
      <c r="Z34" s="98"/>
      <c r="AA34" s="98"/>
      <c r="AB34" s="98"/>
      <c r="AC34" s="98"/>
      <c r="AD34" s="98"/>
      <c r="AE34" s="98"/>
      <c r="AF34" s="98"/>
      <c r="AG34" s="98"/>
      <c r="AH34" s="98"/>
    </row>
    <row r="35" spans="1:34" ht="28.5" customHeight="1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0"/>
        <v>0</v>
      </c>
      <c r="M35" s="36">
        <f t="shared" si="1"/>
        <v>0</v>
      </c>
      <c r="N35" s="37"/>
      <c r="O35" s="38">
        <f t="shared" si="4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96"/>
      <c r="V35" s="96"/>
      <c r="W35" s="94"/>
      <c r="X35" s="94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x14ac:dyDescent="0.2">
      <c r="K36" s="27">
        <f>SUM(K4:K35)</f>
        <v>7215</v>
      </c>
      <c r="S36" s="28">
        <f>SUM(S4:S35)</f>
        <v>4085</v>
      </c>
      <c r="T36" s="29" t="str">
        <f t="shared" si="3"/>
        <v>OK</v>
      </c>
      <c r="U36" s="136">
        <f>SUMPRODUCT($J$4:$J$35,U4:U35)</f>
        <v>10218</v>
      </c>
      <c r="V36" s="136">
        <f t="shared" ref="V36:AH36" si="8">SUMPRODUCT($J$4:$J$35,V4:V35)</f>
        <v>498.75</v>
      </c>
      <c r="W36" s="136">
        <f t="shared" si="8"/>
        <v>399.66</v>
      </c>
      <c r="X36" s="136">
        <f t="shared" si="8"/>
        <v>300</v>
      </c>
      <c r="Y36" s="136">
        <f t="shared" si="8"/>
        <v>4290</v>
      </c>
      <c r="Z36" s="136">
        <f t="shared" si="8"/>
        <v>1773.1</v>
      </c>
      <c r="AA36" s="136">
        <f t="shared" si="8"/>
        <v>315</v>
      </c>
      <c r="AB36" s="136">
        <f t="shared" si="8"/>
        <v>0</v>
      </c>
      <c r="AC36" s="136">
        <f t="shared" si="8"/>
        <v>0</v>
      </c>
      <c r="AD36" s="136">
        <f t="shared" si="8"/>
        <v>0</v>
      </c>
      <c r="AE36" s="136">
        <f t="shared" si="8"/>
        <v>0</v>
      </c>
      <c r="AF36" s="136">
        <f t="shared" si="8"/>
        <v>0</v>
      </c>
      <c r="AG36" s="136">
        <f t="shared" si="8"/>
        <v>0</v>
      </c>
      <c r="AH36" s="136">
        <f t="shared" si="8"/>
        <v>0</v>
      </c>
    </row>
    <row r="38" spans="1:34" x14ac:dyDescent="0.2">
      <c r="Z38" s="141"/>
    </row>
    <row r="39" spans="1:34" x14ac:dyDescent="0.2">
      <c r="Z39" s="141"/>
    </row>
  </sheetData>
  <autoFilter ref="A3:AH36" xr:uid="{ED69E5B8-F48D-4196-96BE-E5CDC6AF9376}"/>
  <mergeCells count="52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H1:AH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K32">
    <cfRule type="cellIs" dxfId="34" priority="2" operator="greaterThan">
      <formula>0</formula>
    </cfRule>
  </conditionalFormatting>
  <conditionalFormatting sqref="U4:AH35">
    <cfRule type="cellIs" dxfId="3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61B0-1C60-48C0-B45D-2BBBE81FA627}">
  <sheetPr>
    <tabColor rgb="FFFFC000"/>
  </sheetPr>
  <dimension ref="A1:S45"/>
  <sheetViews>
    <sheetView tabSelected="1" topLeftCell="A19" zoomScale="80" zoomScaleNormal="80" workbookViewId="0">
      <selection activeCell="D58" sqref="D58"/>
    </sheetView>
  </sheetViews>
  <sheetFormatPr defaultColWidth="9.7109375" defaultRowHeight="12.75" x14ac:dyDescent="0.2"/>
  <cols>
    <col min="1" max="1" width="7.7109375" style="24" customWidth="1"/>
    <col min="2" max="2" width="15" style="24" customWidth="1"/>
    <col min="3" max="3" width="5.5703125" style="24" bestFit="1" customWidth="1"/>
    <col min="4" max="4" width="30.85546875" style="25" customWidth="1"/>
    <col min="5" max="5" width="10.85546875" style="24" bestFit="1" customWidth="1"/>
    <col min="6" max="6" width="16.42578125" style="24" customWidth="1"/>
    <col min="7" max="7" width="12" style="24" customWidth="1"/>
    <col min="8" max="8" width="14.85546875" style="24" customWidth="1"/>
    <col min="9" max="9" width="9.42578125" style="24" customWidth="1"/>
    <col min="10" max="10" width="12.7109375" style="26" bestFit="1" customWidth="1"/>
    <col min="11" max="13" width="13.28515625" style="27" customWidth="1"/>
    <col min="14" max="14" width="13.7109375" style="27" bestFit="1" customWidth="1"/>
    <col min="15" max="15" width="13.28515625" style="27" customWidth="1"/>
    <col min="16" max="16" width="9.7109375" style="28" customWidth="1"/>
    <col min="17" max="17" width="20" style="17" bestFit="1" customWidth="1"/>
    <col min="18" max="18" width="12" style="17" customWidth="1"/>
    <col min="19" max="19" width="18.42578125" style="17" bestFit="1" customWidth="1"/>
    <col min="20" max="16384" width="9.7109375" style="17"/>
  </cols>
  <sheetData>
    <row r="1" spans="1:19" ht="34.5" customHeight="1" x14ac:dyDescent="0.2">
      <c r="A1" s="330" t="str">
        <f>SECOM!A1</f>
        <v>PROCESSO: PE 630/2025 - SGPE 52651/2024</v>
      </c>
      <c r="B1" s="331"/>
      <c r="C1" s="332"/>
      <c r="D1" s="331" t="str">
        <f>SECOM!D1</f>
        <v>OBJETO: Contratação de empresa especializada em Serviços Gráficos (IMPRESSOS ADAPTADOS, BANNERS, ADESIVOS, ENTRE OUTROS) – TODA UDESC</v>
      </c>
      <c r="E1" s="331"/>
      <c r="F1" s="331"/>
      <c r="G1" s="331"/>
      <c r="H1" s="331"/>
      <c r="I1" s="331"/>
      <c r="J1" s="332"/>
      <c r="K1" s="325" t="str">
        <f>SECOM!K1</f>
        <v>VIGÊNCIA DA ATA: 29/05/2025 até 29/05/2026</v>
      </c>
      <c r="L1" s="326"/>
      <c r="M1" s="326"/>
      <c r="N1" s="326"/>
      <c r="O1" s="326"/>
      <c r="P1" s="326"/>
      <c r="Q1" s="326"/>
      <c r="R1" s="326"/>
      <c r="S1" s="327"/>
    </row>
    <row r="2" spans="1:19" ht="20.45" customHeight="1" x14ac:dyDescent="0.2">
      <c r="A2" s="328" t="s">
        <v>154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1:19" s="22" customFormat="1" ht="4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4" t="s">
        <v>6</v>
      </c>
      <c r="L3" s="45" t="s">
        <v>63</v>
      </c>
      <c r="M3" s="46" t="s">
        <v>64</v>
      </c>
      <c r="N3" s="46" t="s">
        <v>65</v>
      </c>
      <c r="O3" s="46" t="s">
        <v>66</v>
      </c>
      <c r="P3" s="47" t="s">
        <v>67</v>
      </c>
      <c r="Q3" s="48" t="s">
        <v>68</v>
      </c>
      <c r="R3" s="48" t="s">
        <v>69</v>
      </c>
      <c r="S3" s="48" t="s">
        <v>7</v>
      </c>
    </row>
    <row r="4" spans="1:19" ht="23.25" customHeight="1" x14ac:dyDescent="0.2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52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23">
        <f>CEART!K4+CAV!K4+CESFI!K4+CEFID!K4+CEAVI!K4+CCT!K4+ESAG!K4+FAED!K4+CEPLAN!K4+CEO!K4+CEAD!K4+CESMO!K4+CERES!K4+SCII!K4+BU!K4+PROEX!K4+MUSEU!K4+COVEST!K4+SECOM!K4</f>
        <v>277</v>
      </c>
      <c r="L4" s="49">
        <f>CEART!L4+CAV!L4+CESFI!L4+CEFID!L4+CEAVI!L4+CCT!L4+ESAG!L4+FAED!L4+CEPLAN!L4+CEO!L4+CEAD!L4+CESMO!L4+CERES!L4+SCII!L4+BU!L4+PROEX!L4+MUSEU!L4+COVEST!L4+SECOM!L4</f>
        <v>115</v>
      </c>
      <c r="M4" s="49">
        <f>CEART!M4+CAV!M4+CESFI!M4+CEFID!M4+CEAVI!M4+CCT!M4+ESAG!M4+FAED!M4+CEPLAN!M4+CEO!M4+CEAD!M4+CESMO!M4+CERES!M4+SCII!M4+BU!M4+PROEX!M4+MUSEU!M4+COVEST!M4+SECOM!M4</f>
        <v>115</v>
      </c>
      <c r="N4" s="51">
        <f>ROUND(K4*0.25-0.5-O4,0)</f>
        <v>69</v>
      </c>
      <c r="O4" s="50">
        <f>PROEX!P4+SECOM!P4+PROEX!Q4+SECOM!Q4+SCII!P4+SCII!Q4+BU!P4+BU!Q4+MUSEU!P4+MUSEU!Q4+ESAG!P4+ESAG!Q4+CEART!P4+CEART!Q4+FAED!P4+FAED!Q4+CEAD!P4+CEAD!Q4+CEFID!P4+CEFID!Q4+CAV!P4+CAV!Q4+CEO!P4+CEO!Q4+CEPLAN!P4+CEPLAN!Q4+CEAVI!P4+CEAVI!Q4+CCT!P4+CCT!Q4+CERES!P4+CERES!Q4+CESFI!P4+CESFI!Q4+CESMO!P4+CESMO!Q4</f>
        <v>0</v>
      </c>
      <c r="P4" s="32">
        <f>K4-M4+O4</f>
        <v>162</v>
      </c>
      <c r="Q4" s="33">
        <f>J4*K4</f>
        <v>3066.39</v>
      </c>
      <c r="R4" s="33">
        <f>O4*J4</f>
        <v>0</v>
      </c>
      <c r="S4" s="33">
        <f>J4*M4</f>
        <v>1273.05</v>
      </c>
    </row>
    <row r="5" spans="1:19" ht="26.45" customHeight="1" x14ac:dyDescent="0.2">
      <c r="A5" s="264"/>
      <c r="B5" s="264"/>
      <c r="C5" s="58">
        <v>2</v>
      </c>
      <c r="D5" s="274"/>
      <c r="E5" s="59" t="s">
        <v>32</v>
      </c>
      <c r="F5" s="52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23">
        <f>CEART!K5+CAV!K5+CESFI!K5+CEFID!K5+CEAVI!K5+CCT!K5+ESAG!K5+FAED!K5+CEPLAN!K5+CEO!K5+CEAD!K5+CESMO!K5+CERES!K5+SCII!K5+BU!K5+PROEX!K5+MUSEU!K5+COVEST!K5+SECOM!K5</f>
        <v>1012</v>
      </c>
      <c r="L5" s="49">
        <f>CEART!L5+CAV!L5+CESFI!L5+CEFID!L5+CEAVI!L5+CCT!L5+ESAG!L5+FAED!L5+CEPLAN!L5+CEO!L5+CEAD!L5+CESMO!L5+CERES!L5+SCII!L5+BU!L5+PROEX!L5+MUSEU!L5+COVEST!L5+SECOM!L5</f>
        <v>108</v>
      </c>
      <c r="M5" s="49">
        <f>CEART!M5+CAV!M5+CESFI!M5+CEFID!M5+CEAVI!M5+CCT!M5+ESAG!M5+FAED!M5+CEPLAN!M5+CEO!M5+CEAD!M5+CESMO!M5+CERES!M5+SCII!M5+BU!M5+PROEX!M5+MUSEU!M5+COVEST!M5+SECOM!M5</f>
        <v>108</v>
      </c>
      <c r="N5" s="51">
        <f t="shared" ref="N5:N32" si="0">ROUND(K5*0.25-0.5-O5,0)</f>
        <v>253</v>
      </c>
      <c r="O5" s="50">
        <f>PROEX!P5+SECOM!P5+PROEX!Q5+SECOM!Q5+SCII!P5+SCII!Q5+BU!P5+BU!Q5+MUSEU!P5+MUSEU!Q5+ESAG!P5+ESAG!Q5+CEART!P5+CEART!Q5+FAED!P5+FAED!Q5+CEAD!P5+CEAD!Q5+CEFID!P5+CEFID!Q5+CAV!P5+CAV!Q5+CEO!P5+CEO!Q5+CEPLAN!P5+CEPLAN!Q5+CEAVI!P5+CEAVI!Q5+CCT!P5+CCT!Q5+CERES!P5+CERES!Q5+CESFI!P5+CESFI!Q5+CESMO!P5+CESMO!Q5</f>
        <v>0</v>
      </c>
      <c r="P5" s="32">
        <f t="shared" ref="P5:P32" si="1">K5-M5+O5</f>
        <v>904</v>
      </c>
      <c r="Q5" s="33">
        <f t="shared" ref="Q5:Q35" si="2">J5*K5</f>
        <v>35774.200000000004</v>
      </c>
      <c r="R5" s="33">
        <f>O5*J5</f>
        <v>0</v>
      </c>
      <c r="S5" s="33">
        <f>J5*M5</f>
        <v>3817.8</v>
      </c>
    </row>
    <row r="6" spans="1:19" ht="24" customHeight="1" x14ac:dyDescent="0.2">
      <c r="A6" s="264"/>
      <c r="B6" s="264"/>
      <c r="C6" s="58">
        <v>3</v>
      </c>
      <c r="D6" s="274"/>
      <c r="E6" s="59" t="s">
        <v>33</v>
      </c>
      <c r="F6" s="52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23">
        <f>CEART!K6+CAV!K6+CESFI!K6+CEFID!K6+CEAVI!K6+CCT!K6+ESAG!K6+FAED!K6+CEPLAN!K6+CEO!K6+CEAD!K6+CESMO!K6+CERES!K6+SCII!K6+BU!K6+PROEX!K6+MUSEU!K6+COVEST!K6+SECOM!K6</f>
        <v>308</v>
      </c>
      <c r="L6" s="49">
        <f>CEART!L6+CAV!L6+CESFI!L6+CEFID!L6+CEAVI!L6+CCT!L6+ESAG!L6+FAED!L6+CEPLAN!L6+CEO!L6+CEAD!L6+CESMO!L6+CERES!L6+SCII!L6+BU!L6+PROEX!L6+MUSEU!L6+COVEST!L6+SECOM!L6</f>
        <v>20</v>
      </c>
      <c r="M6" s="49">
        <f>CEART!M6+CAV!M6+CESFI!M6+CEFID!M6+CEAVI!M6+CCT!M6+ESAG!M6+FAED!M6+CEPLAN!M6+CEO!M6+CEAD!M6+CESMO!M6+CERES!M6+SCII!M6+BU!M6+PROEX!M6+MUSEU!M6+COVEST!M6+SECOM!M6</f>
        <v>20</v>
      </c>
      <c r="N6" s="51">
        <f t="shared" si="0"/>
        <v>77</v>
      </c>
      <c r="O6" s="50">
        <f>PROEX!P6+SECOM!P6+PROEX!Q6+SECOM!Q6+SCII!P6+SCII!Q6+BU!P6+BU!Q6+MUSEU!P6+MUSEU!Q6+ESAG!P6+ESAG!Q6+CEART!P6+CEART!Q6+FAED!P6+FAED!Q6+CEAD!P6+CEAD!Q6+CEFID!P6+CEFID!Q6+CAV!P6+CAV!Q6+CEO!P6+CEO!Q6+CEPLAN!P6+CEPLAN!Q6+CEAVI!P6+CEAVI!Q6+CCT!P6+CCT!Q6+CERES!P6+CERES!Q6+CESFI!P6+CESFI!Q6+CESMO!P6+CESMO!Q6</f>
        <v>0</v>
      </c>
      <c r="P6" s="32">
        <f t="shared" si="1"/>
        <v>288</v>
      </c>
      <c r="Q6" s="33">
        <f t="shared" si="2"/>
        <v>13244</v>
      </c>
      <c r="R6" s="33">
        <f t="shared" ref="R6:R35" si="3">O6*J6</f>
        <v>0</v>
      </c>
      <c r="S6" s="33">
        <f>J6*M6</f>
        <v>860</v>
      </c>
    </row>
    <row r="7" spans="1:19" ht="24" customHeight="1" x14ac:dyDescent="0.2">
      <c r="A7" s="264"/>
      <c r="B7" s="264"/>
      <c r="C7" s="58">
        <v>4</v>
      </c>
      <c r="D7" s="274"/>
      <c r="E7" s="59" t="s">
        <v>34</v>
      </c>
      <c r="F7" s="52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23">
        <f>CEART!K7+CAV!K7+CESFI!K7+CEFID!K7+CEAVI!K7+CCT!K7+ESAG!K7+FAED!K7+CEPLAN!K7+CEO!K7+CEAD!K7+CESMO!K7+CERES!K7+SCII!K7+BU!K7+PROEX!K7+MUSEU!K7+COVEST!K7+SECOM!K7</f>
        <v>306</v>
      </c>
      <c r="L7" s="49">
        <f>CEART!L7+CAV!L7+CESFI!L7+CEFID!L7+CEAVI!L7+CCT!L7+ESAG!L7+FAED!L7+CEPLAN!L7+CEO!L7+CEAD!L7+CESMO!L7+CERES!L7+SCII!L7+BU!L7+PROEX!L7+MUSEU!L7+COVEST!L7+SECOM!L7</f>
        <v>64</v>
      </c>
      <c r="M7" s="49">
        <f>CEART!M7+CAV!M7+CESFI!M7+CEFID!M7+CEAVI!M7+CCT!M7+ESAG!M7+FAED!M7+CEPLAN!M7+CEO!M7+CEAD!M7+CESMO!M7+CERES!M7+SCII!M7+BU!M7+PROEX!M7+MUSEU!M7+COVEST!M7+SECOM!M7</f>
        <v>64</v>
      </c>
      <c r="N7" s="51">
        <f t="shared" si="0"/>
        <v>76</v>
      </c>
      <c r="O7" s="50">
        <f>PROEX!P7+SECOM!P7+PROEX!Q7+SECOM!Q7+SCII!P7+SCII!Q7+BU!P7+BU!Q7+MUSEU!P7+MUSEU!Q7+ESAG!P7+ESAG!Q7+CEART!P7+CEART!Q7+FAED!P7+FAED!Q7+CEAD!P7+CEAD!Q7+CEFID!P7+CEFID!Q7+CAV!P7+CAV!Q7+CEO!P7+CEO!Q7+CEPLAN!P7+CEPLAN!Q7+CEAVI!P7+CEAVI!Q7+CCT!P7+CCT!Q7+CERES!P7+CERES!Q7+CESFI!P7+CESFI!Q7+CESMO!P7+CESMO!Q7</f>
        <v>0</v>
      </c>
      <c r="P7" s="32">
        <f t="shared" si="1"/>
        <v>242</v>
      </c>
      <c r="Q7" s="33">
        <f t="shared" si="2"/>
        <v>18669.059999999998</v>
      </c>
      <c r="R7" s="33">
        <f t="shared" si="3"/>
        <v>0</v>
      </c>
      <c r="S7" s="33">
        <f t="shared" ref="S7:S35" si="4">J7*M7</f>
        <v>3904.64</v>
      </c>
    </row>
    <row r="8" spans="1:19" ht="19.5" customHeight="1" x14ac:dyDescent="0.2">
      <c r="A8" s="265"/>
      <c r="B8" s="265"/>
      <c r="C8" s="58">
        <v>5</v>
      </c>
      <c r="D8" s="274"/>
      <c r="E8" s="59" t="s">
        <v>35</v>
      </c>
      <c r="F8" s="52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23">
        <f>CEART!K8+CAV!K8+CESFI!K8+CEFID!K8+CEAVI!K8+CCT!K8+ESAG!K8+FAED!K8+CEPLAN!K8+CEO!K8+CEAD!K8+CESMO!K8+CERES!K8+SCII!K8+BU!K8+PROEX!K8+MUSEU!K8+COVEST!K8+SECOM!K8</f>
        <v>2257</v>
      </c>
      <c r="L8" s="49">
        <f>CEART!L8+CAV!L8+CESFI!L8+CEFID!L8+CEAVI!L8+CCT!L8+ESAG!L8+FAED!L8+CEPLAN!L8+CEO!L8+CEAD!L8+CESMO!L8+CERES!L8+SCII!L8+BU!L8+PROEX!L8+MUSEU!L8+COVEST!L8+SECOM!L8</f>
        <v>619</v>
      </c>
      <c r="M8" s="49">
        <f>CEART!M8+CAV!M8+CESFI!M8+CEFID!M8+CEAVI!M8+CCT!M8+ESAG!M8+FAED!M8+CEPLAN!M8+CEO!M8+CEAD!M8+CESMO!M8+CERES!M8+SCII!M8+BU!M8+PROEX!M8+MUSEU!M8+COVEST!M8+SECOM!M8</f>
        <v>619</v>
      </c>
      <c r="N8" s="51">
        <f t="shared" si="0"/>
        <v>564</v>
      </c>
      <c r="O8" s="50">
        <f>PROEX!P8+SECOM!P8+PROEX!Q8+SECOM!Q8+SCII!P8+SCII!Q8+BU!P8+BU!Q8+MUSEU!P8+MUSEU!Q8+ESAG!P8+ESAG!Q8+CEART!P8+CEART!Q8+FAED!P8+FAED!Q8+CEAD!P8+CEAD!Q8+CEFID!P8+CEFID!Q8+CAV!P8+CAV!Q8+CEO!P8+CEO!Q8+CEPLAN!P8+CEPLAN!Q8+CEAVI!P8+CEAVI!Q8+CCT!P8+CCT!Q8+CERES!P8+CERES!Q8+CESFI!P8+CESFI!Q8+CESMO!P8+CESMO!Q8</f>
        <v>0</v>
      </c>
      <c r="P8" s="32">
        <f t="shared" si="1"/>
        <v>1638</v>
      </c>
      <c r="Q8" s="33">
        <f t="shared" si="2"/>
        <v>59246.25</v>
      </c>
      <c r="R8" s="33">
        <f t="shared" si="3"/>
        <v>0</v>
      </c>
      <c r="S8" s="33">
        <f t="shared" si="4"/>
        <v>16248.75</v>
      </c>
    </row>
    <row r="9" spans="1:19" ht="21.75" customHeight="1" x14ac:dyDescent="0.2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53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23">
        <f>CEART!K9+CAV!K9+CESFI!K9+CEFID!K9+CEAVI!K9+CCT!K9+ESAG!K9+FAED!K9+CEPLAN!K9+CEO!K9+CEAD!K9+CESMO!K9+CERES!K9+SCII!K9+BU!K9+PROEX!K9+MUSEU!K9+COVEST!K9+SECOM!K9</f>
        <v>234</v>
      </c>
      <c r="L9" s="49">
        <f>CEART!L9+CAV!L9+CESFI!L9+CEFID!L9+CEAVI!L9+CCT!L9+ESAG!L9+FAED!L9+CEPLAN!L9+CEO!L9+CEAD!L9+CESMO!L9+CERES!L9+SCII!L9+BU!L9+PROEX!L9+MUSEU!L9+COVEST!L9+SECOM!L9</f>
        <v>41</v>
      </c>
      <c r="M9" s="49">
        <f>CEART!M9+CAV!M9+CESFI!M9+CEFID!M9+CEAVI!M9+CCT!M9+ESAG!M9+FAED!M9+CEPLAN!M9+CEO!M9+CEAD!M9+CESMO!M9+CERES!M9+SCII!M9+BU!M9+PROEX!M9+MUSEU!M9+COVEST!M9+SECOM!M9</f>
        <v>41</v>
      </c>
      <c r="N9" s="51">
        <f t="shared" si="0"/>
        <v>58</v>
      </c>
      <c r="O9" s="50">
        <f>PROEX!P9+SECOM!P9+PROEX!Q9+SECOM!Q9+SCII!P9+SCII!Q9+BU!P9+BU!Q9+MUSEU!P9+MUSEU!Q9+ESAG!P9+ESAG!Q9+CEART!P9+CEART!Q9+FAED!P9+FAED!Q9+CEAD!P9+CEAD!Q9+CEFID!P9+CEFID!Q9+CAV!P9+CAV!Q9+CEO!P9+CEO!Q9+CEPLAN!P9+CEPLAN!Q9+CEAVI!P9+CEAVI!Q9+CCT!P9+CCT!Q9+CERES!P9+CERES!Q9+CESFI!P9+CESFI!Q9+CESMO!P9+CESMO!Q9</f>
        <v>0</v>
      </c>
      <c r="P9" s="32">
        <f t="shared" si="1"/>
        <v>193</v>
      </c>
      <c r="Q9" s="33">
        <f t="shared" si="2"/>
        <v>2342.34</v>
      </c>
      <c r="R9" s="33">
        <f t="shared" si="3"/>
        <v>0</v>
      </c>
      <c r="S9" s="33">
        <f t="shared" si="4"/>
        <v>410.40999999999997</v>
      </c>
    </row>
    <row r="10" spans="1:19" ht="20.25" customHeight="1" x14ac:dyDescent="0.2">
      <c r="A10" s="267"/>
      <c r="B10" s="267"/>
      <c r="C10" s="62">
        <v>7</v>
      </c>
      <c r="D10" s="275"/>
      <c r="E10" s="63" t="s">
        <v>36</v>
      </c>
      <c r="F10" s="53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23">
        <f>CEART!K10+CAV!K10+CESFI!K10+CEFID!K10+CEAVI!K10+CCT!K10+ESAG!K10+FAED!K10+CEPLAN!K10+CEO!K10+CEAD!K10+CESMO!K10+CERES!K10+SCII!K10+BU!K10+PROEX!K10+MUSEU!K10+COVEST!K10+SECOM!K10</f>
        <v>505</v>
      </c>
      <c r="L10" s="49">
        <f>CEART!L10+CAV!L10+CESFI!L10+CEFID!L10+CEAVI!L10+CCT!L10+ESAG!L10+FAED!L10+CEPLAN!L10+CEO!L10+CEAD!L10+CESMO!L10+CERES!L10+SCII!L10+BU!L10+PROEX!L10+MUSEU!L10+COVEST!L10+SECOM!L10</f>
        <v>132</v>
      </c>
      <c r="M10" s="49">
        <f>CEART!M10+CAV!M10+CESFI!M10+CEFID!M10+CEAVI!M10+CCT!M10+ESAG!M10+FAED!M10+CEPLAN!M10+CEO!M10+CEAD!M10+CESMO!M10+CERES!M10+SCII!M10+BU!M10+PROEX!M10+MUSEU!M10+COVEST!M10+SECOM!M10</f>
        <v>132</v>
      </c>
      <c r="N10" s="51">
        <f t="shared" si="0"/>
        <v>126</v>
      </c>
      <c r="O10" s="50">
        <f>PROEX!P10+SECOM!P10+PROEX!Q10+SECOM!Q10+SCII!P10+SCII!Q10+BU!P10+BU!Q10+MUSEU!P10+MUSEU!Q10+ESAG!P10+ESAG!Q10+CEART!P10+CEART!Q10+FAED!P10+FAED!Q10+CEAD!P10+CEAD!Q10+CEFID!P10+CEFID!Q10+CAV!P10+CAV!Q10+CEO!P10+CEO!Q10+CEPLAN!P10+CEPLAN!Q10+CEAVI!P10+CEAVI!Q10+CCT!P10+CCT!Q10+CERES!P10+CERES!Q10+CESFI!P10+CESFI!Q10+CESMO!P10+CESMO!Q10</f>
        <v>0</v>
      </c>
      <c r="P10" s="32">
        <f t="shared" si="1"/>
        <v>373</v>
      </c>
      <c r="Q10" s="33">
        <f t="shared" si="2"/>
        <v>25154.050000000003</v>
      </c>
      <c r="R10" s="33">
        <f t="shared" si="3"/>
        <v>0</v>
      </c>
      <c r="S10" s="33">
        <f t="shared" si="4"/>
        <v>6574.92</v>
      </c>
    </row>
    <row r="11" spans="1:19" ht="25.5" customHeight="1" x14ac:dyDescent="0.2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52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23">
        <f>CEART!K11+CAV!K11+CESFI!K11+CEFID!K11+CEAVI!K11+CCT!K11+ESAG!K11+FAED!K11+CEPLAN!K11+CEO!K11+CEAD!K11+CESMO!K11+CERES!K11+SCII!K11+BU!K11+PROEX!K11+MUSEU!K11+COVEST!K11+SECOM!K11</f>
        <v>105</v>
      </c>
      <c r="L11" s="49">
        <f>CEART!L11+CAV!L11+CESFI!L11+CEFID!L11+CEAVI!L11+CCT!L11+ESAG!L11+FAED!L11+CEPLAN!L11+CEO!L11+CEAD!L11+CESMO!L11+CERES!L11+SCII!L11+BU!L11+PROEX!L11+MUSEU!L11+COVEST!L11+SECOM!L11</f>
        <v>15</v>
      </c>
      <c r="M11" s="49">
        <f>CEART!M11+CAV!M11+CESFI!M11+CEFID!M11+CEAVI!M11+CCT!M11+ESAG!M11+FAED!M11+CEPLAN!M11+CEO!M11+CEAD!M11+CESMO!M11+CERES!M11+SCII!M11+BU!M11+PROEX!M11+MUSEU!M11+COVEST!M11+SECOM!M11</f>
        <v>15</v>
      </c>
      <c r="N11" s="51">
        <f t="shared" si="0"/>
        <v>26</v>
      </c>
      <c r="O11" s="50">
        <f>PROEX!P11+SECOM!P11+PROEX!Q11+SECOM!Q11+SCII!P11+SCII!Q11+BU!P11+BU!Q11+MUSEU!P11+MUSEU!Q11+ESAG!P11+ESAG!Q11+CEART!P11+CEART!Q11+FAED!P11+FAED!Q11+CEAD!P11+CEAD!Q11+CEFID!P11+CEFID!Q11+CAV!P11+CAV!Q11+CEO!P11+CEO!Q11+CEPLAN!P11+CEPLAN!Q11+CEAVI!P11+CEAVI!Q11+CCT!P11+CCT!Q11+CERES!P11+CERES!Q11+CESFI!P11+CESFI!Q11+CESMO!P11+CESMO!Q11</f>
        <v>0</v>
      </c>
      <c r="P11" s="32">
        <f t="shared" si="1"/>
        <v>90</v>
      </c>
      <c r="Q11" s="33">
        <f t="shared" si="2"/>
        <v>20982.15</v>
      </c>
      <c r="R11" s="33">
        <f t="shared" si="3"/>
        <v>0</v>
      </c>
      <c r="S11" s="33">
        <f t="shared" si="4"/>
        <v>2997.4500000000003</v>
      </c>
    </row>
    <row r="12" spans="1:19" ht="21.2" customHeight="1" x14ac:dyDescent="0.2">
      <c r="A12" s="264"/>
      <c r="B12" s="264"/>
      <c r="C12" s="58">
        <v>9</v>
      </c>
      <c r="D12" s="269"/>
      <c r="E12" s="59" t="s">
        <v>40</v>
      </c>
      <c r="F12" s="52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23">
        <f>CEART!K12+CAV!K12+CESFI!K12+CEFID!K12+CEAVI!K12+CCT!K12+ESAG!K12+FAED!K12+CEPLAN!K12+CEO!K12+CEAD!K12+CESMO!K12+CERES!K12+SCII!K12+BU!K12+PROEX!K12+MUSEU!K12+COVEST!K12+SECOM!K12</f>
        <v>81</v>
      </c>
      <c r="L12" s="49">
        <f>CEART!L12+CAV!L12+CESFI!L12+CEFID!L12+CEAVI!L12+CCT!L12+ESAG!L12+FAED!L12+CEPLAN!L12+CEO!L12+CEAD!L12+CESMO!L12+CERES!L12+SCII!L12+BU!L12+PROEX!L12+MUSEU!L12+COVEST!L12+SECOM!L12</f>
        <v>8</v>
      </c>
      <c r="M12" s="49">
        <f>CEART!M12+CAV!M12+CESFI!M12+CEFID!M12+CEAVI!M12+CCT!M12+ESAG!M12+FAED!M12+CEPLAN!M12+CEO!M12+CEAD!M12+CESMO!M12+CERES!M12+SCII!M12+BU!M12+PROEX!M12+MUSEU!M12+COVEST!M12+SECOM!M12</f>
        <v>8</v>
      </c>
      <c r="N12" s="51">
        <f t="shared" si="0"/>
        <v>20</v>
      </c>
      <c r="O12" s="50">
        <f>PROEX!P12+SECOM!P12+PROEX!Q12+SECOM!Q12+SCII!P12+SCII!Q12+BU!P12+BU!Q12+MUSEU!P12+MUSEU!Q12+ESAG!P12+ESAG!Q12+CEART!P12+CEART!Q12+FAED!P12+FAED!Q12+CEAD!P12+CEAD!Q12+CEFID!P12+CEFID!Q12+CAV!P12+CAV!Q12+CEO!P12+CEO!Q12+CEPLAN!P12+CEPLAN!Q12+CEAVI!P12+CEAVI!Q12+CCT!P12+CCT!Q12+CERES!P12+CERES!Q12+CESFI!P12+CESFI!Q12+CESMO!P12+CESMO!Q12</f>
        <v>0</v>
      </c>
      <c r="P12" s="32">
        <f t="shared" si="1"/>
        <v>73</v>
      </c>
      <c r="Q12" s="33">
        <f t="shared" si="2"/>
        <v>199016.18999999997</v>
      </c>
      <c r="R12" s="33">
        <f t="shared" si="3"/>
        <v>0</v>
      </c>
      <c r="S12" s="33">
        <f t="shared" si="4"/>
        <v>19655.919999999998</v>
      </c>
    </row>
    <row r="13" spans="1:19" ht="19.5" customHeight="1" x14ac:dyDescent="0.2">
      <c r="A13" s="265"/>
      <c r="B13" s="265"/>
      <c r="C13" s="58">
        <v>10</v>
      </c>
      <c r="D13" s="269"/>
      <c r="E13" s="59" t="s">
        <v>41</v>
      </c>
      <c r="F13" s="52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23">
        <f>CEART!K13+CAV!K13+CESFI!K13+CEFID!K13+CEAVI!K13+CCT!K13+ESAG!K13+FAED!K13+CEPLAN!K13+CEO!K13+CEAD!K13+CESMO!K13+CERES!K13+SCII!K13+BU!K13+PROEX!K13+MUSEU!K13+COVEST!K13+SECOM!K13</f>
        <v>110</v>
      </c>
      <c r="L13" s="49">
        <f>CEART!L13+CAV!L13+CESFI!L13+CEFID!L13+CEAVI!L13+CCT!L13+ESAG!L13+FAED!L13+CEPLAN!L13+CEO!L13+CEAD!L13+CESMO!L13+CERES!L13+SCII!L13+BU!L13+PROEX!L13+MUSEU!L13+COVEST!L13+SECOM!L13</f>
        <v>19</v>
      </c>
      <c r="M13" s="49">
        <f>CEART!M13+CAV!M13+CESFI!M13+CEFID!M13+CEAVI!M13+CCT!M13+ESAG!M13+FAED!M13+CEPLAN!M13+CEO!M13+CEAD!M13+CESMO!M13+CERES!M13+SCII!M13+BU!M13+PROEX!M13+MUSEU!M13+COVEST!M13+SECOM!M13</f>
        <v>19</v>
      </c>
      <c r="N13" s="51">
        <f t="shared" si="0"/>
        <v>27</v>
      </c>
      <c r="O13" s="50">
        <f>PROEX!P13+SECOM!P13+PROEX!Q13+SECOM!Q13+SCII!P13+SCII!Q13+BU!P13+BU!Q13+MUSEU!P13+MUSEU!Q13+ESAG!P13+ESAG!Q13+CEART!P13+CEART!Q13+FAED!P13+FAED!Q13+CEAD!P13+CEAD!Q13+CEFID!P13+CEFID!Q13+CAV!P13+CAV!Q13+CEO!P13+CEO!Q13+CEPLAN!P13+CEPLAN!Q13+CEAVI!P13+CEAVI!Q13+CCT!P13+CCT!Q13+CERES!P13+CERES!Q13+CESFI!P13+CESFI!Q13+CESMO!P13+CESMO!Q13</f>
        <v>0</v>
      </c>
      <c r="P13" s="32">
        <f t="shared" si="1"/>
        <v>91</v>
      </c>
      <c r="Q13" s="33">
        <f t="shared" si="2"/>
        <v>330000</v>
      </c>
      <c r="R13" s="33">
        <f t="shared" si="3"/>
        <v>0</v>
      </c>
      <c r="S13" s="33">
        <f t="shared" si="4"/>
        <v>57000</v>
      </c>
    </row>
    <row r="14" spans="1:19" ht="25.15" customHeight="1" x14ac:dyDescent="0.2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53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23">
        <f>CEART!K14+CAV!K14+CESFI!K14+CEFID!K14+CEAVI!K14+CCT!K14+ESAG!K14+FAED!K14+CEPLAN!K14+CEO!K14+CEAD!K14+CESMO!K14+CERES!K14+SCII!K14+BU!K14+PROEX!K14+MUSEU!K14+COVEST!K14+SECOM!K14</f>
        <v>1304</v>
      </c>
      <c r="L14" s="49">
        <f>CEART!L14+CAV!L14+CESFI!L14+CEFID!L14+CEAVI!L14+CCT!L14+ESAG!L14+FAED!L14+CEPLAN!L14+CEO!L14+CEAD!L14+CESMO!L14+CERES!L14+SCII!L14+BU!L14+PROEX!L14+MUSEU!L14+COVEST!L14+SECOM!L14</f>
        <v>420.5</v>
      </c>
      <c r="M14" s="49">
        <f>CEART!M14+CAV!M14+CESFI!M14+CEFID!M14+CEAVI!M14+CCT!M14+ESAG!M14+FAED!M14+CEPLAN!M14+CEO!M14+CEAD!M14+CESMO!M14+CERES!M14+SCII!M14+BU!M14+PROEX!M14+MUSEU!M14+COVEST!M14+SECOM!M14</f>
        <v>420.5</v>
      </c>
      <c r="N14" s="51">
        <f t="shared" si="0"/>
        <v>326</v>
      </c>
      <c r="O14" s="50">
        <f>PROEX!P14+SECOM!P14+PROEX!Q14+SECOM!Q14+SCII!P14+SCII!Q14+BU!P14+BU!Q14+MUSEU!P14+MUSEU!Q14+ESAG!P14+ESAG!Q14+CEART!P14+CEART!Q14+FAED!P14+FAED!Q14+CEAD!P14+CEAD!Q14+CEFID!P14+CEFID!Q14+CAV!P14+CAV!Q14+CEO!P14+CEO!Q14+CEPLAN!P14+CEPLAN!Q14+CEAVI!P14+CEAVI!Q14+CCT!P14+CCT!Q14+CERES!P14+CERES!Q14+CESFI!P14+CESFI!Q14+CESMO!P14+CESMO!Q14</f>
        <v>0</v>
      </c>
      <c r="P14" s="32">
        <f t="shared" si="1"/>
        <v>883.5</v>
      </c>
      <c r="Q14" s="33">
        <f t="shared" si="2"/>
        <v>38937.440000000002</v>
      </c>
      <c r="R14" s="33">
        <f t="shared" si="3"/>
        <v>0</v>
      </c>
      <c r="S14" s="33">
        <f t="shared" si="4"/>
        <v>12556.13</v>
      </c>
    </row>
    <row r="15" spans="1:19" ht="22.7" customHeight="1" x14ac:dyDescent="0.2">
      <c r="A15" s="267"/>
      <c r="B15" s="267"/>
      <c r="C15" s="62">
        <v>12</v>
      </c>
      <c r="D15" s="275"/>
      <c r="E15" s="63" t="s">
        <v>43</v>
      </c>
      <c r="F15" s="53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23">
        <f>CEART!K15+CAV!K15+CESFI!K15+CEFID!K15+CEAVI!K15+CCT!K15+ESAG!K15+FAED!K15+CEPLAN!K15+CEO!K15+CEAD!K15+CESMO!K15+CERES!K15+SCII!K15+BU!K15+PROEX!K15+MUSEU!K15+COVEST!K15+SECOM!K15</f>
        <v>444</v>
      </c>
      <c r="L15" s="49">
        <f>CEART!L15+CAV!L15+CESFI!L15+CEFID!L15+CEAVI!L15+CCT!L15+ESAG!L15+FAED!L15+CEPLAN!L15+CEO!L15+CEAD!L15+CESMO!L15+CERES!L15+SCII!L15+BU!L15+PROEX!L15+MUSEU!L15+COVEST!L15+SECOM!L15</f>
        <v>61</v>
      </c>
      <c r="M15" s="49">
        <f>CEART!M15+CAV!M15+CESFI!M15+CEFID!M15+CEAVI!M15+CCT!M15+ESAG!M15+FAED!M15+CEPLAN!M15+CEO!M15+CEAD!M15+CESMO!M15+CERES!M15+SCII!M15+BU!M15+PROEX!M15+MUSEU!M15+COVEST!M15+SECOM!M15</f>
        <v>61</v>
      </c>
      <c r="N15" s="51">
        <f t="shared" si="0"/>
        <v>111</v>
      </c>
      <c r="O15" s="50">
        <f>PROEX!P15+SECOM!P15+PROEX!Q15+SECOM!Q15+SCII!P15+SCII!Q15+BU!P15+BU!Q15+MUSEU!P15+MUSEU!Q15+ESAG!P15+ESAG!Q15+CEART!P15+CEART!Q15+FAED!P15+FAED!Q15+CEAD!P15+CEAD!Q15+CEFID!P15+CEFID!Q15+CAV!P15+CAV!Q15+CEO!P15+CEO!Q15+CEPLAN!P15+CEPLAN!Q15+CEAVI!P15+CEAVI!Q15+CCT!P15+CCT!Q15+CERES!P15+CERES!Q15+CESFI!P15+CESFI!Q15+CESMO!P15+CESMO!Q15</f>
        <v>0</v>
      </c>
      <c r="P15" s="32">
        <f t="shared" si="1"/>
        <v>383</v>
      </c>
      <c r="Q15" s="33">
        <f t="shared" si="2"/>
        <v>7960.92</v>
      </c>
      <c r="R15" s="33">
        <f t="shared" si="3"/>
        <v>0</v>
      </c>
      <c r="S15" s="33">
        <f t="shared" si="4"/>
        <v>1093.73</v>
      </c>
    </row>
    <row r="16" spans="1:19" ht="45" customHeight="1" x14ac:dyDescent="0.2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52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23">
        <f>CEART!K16+CAV!K16+CESFI!K16+CEFID!K16+CEAVI!K16+CCT!K16+ESAG!K16+FAED!K16+CEPLAN!K16+CEO!K16+CEAD!K16+CESMO!K16+CERES!K16+SCII!K16+BU!K16+PROEX!K16+MUSEU!K16+COVEST!K16+SECOM!K16</f>
        <v>1391</v>
      </c>
      <c r="L16" s="49">
        <f>CEART!L16+CAV!L16+CESFI!L16+CEFID!L16+CEAVI!L16+CCT!L16+ESAG!L16+FAED!L16+CEPLAN!L16+CEO!L16+CEAD!L16+CESMO!L16+CERES!L16+SCII!L16+BU!L16+PROEX!L16+MUSEU!L16+COVEST!L16+SECOM!L16</f>
        <v>29.5</v>
      </c>
      <c r="M16" s="49">
        <f>CEART!M16+CAV!M16+CESFI!M16+CEFID!M16+CEAVI!M16+CCT!M16+ESAG!M16+FAED!M16+CEPLAN!M16+CEO!M16+CEAD!M16+CESMO!M16+CERES!M16+SCII!M16+BU!M16+PROEX!M16+MUSEU!M16+COVEST!M16+SECOM!M16</f>
        <v>29.5</v>
      </c>
      <c r="N16" s="51">
        <f t="shared" si="0"/>
        <v>347</v>
      </c>
      <c r="O16" s="50">
        <f>PROEX!P16+SECOM!P16+PROEX!Q16+SECOM!Q16+SCII!P16+SCII!Q16+BU!P16+BU!Q16+MUSEU!P16+MUSEU!Q16+ESAG!P16+ESAG!Q16+CEART!P16+CEART!Q16+FAED!P16+FAED!Q16+CEAD!P16+CEAD!Q16+CEFID!P16+CEFID!Q16+CAV!P16+CAV!Q16+CEO!P16+CEO!Q16+CEPLAN!P16+CEPLAN!Q16+CEAVI!P16+CEAVI!Q16+CCT!P16+CCT!Q16+CERES!P16+CERES!Q16+CESFI!P16+CESFI!Q16+CESMO!P16+CESMO!Q16</f>
        <v>0</v>
      </c>
      <c r="P16" s="32">
        <f t="shared" si="1"/>
        <v>1361.5</v>
      </c>
      <c r="Q16" s="33">
        <f t="shared" si="2"/>
        <v>60494.590000000004</v>
      </c>
      <c r="R16" s="33">
        <f t="shared" si="3"/>
        <v>0</v>
      </c>
      <c r="S16" s="33">
        <f t="shared" si="4"/>
        <v>1282.9550000000002</v>
      </c>
    </row>
    <row r="17" spans="1:19" ht="121.7" customHeight="1" x14ac:dyDescent="0.2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53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23">
        <f>CEART!K17+CAV!K17+CESFI!K17+CEFID!K17+CEAVI!K17+CCT!K17+ESAG!K17+FAED!K17+CEPLAN!K17+CEO!K17+CEAD!K17+CESMO!K17+CERES!K17+SCII!K17+BU!K17+PROEX!K17+MUSEU!K17+COVEST!K17+SECOM!K17</f>
        <v>4610</v>
      </c>
      <c r="L17" s="49">
        <f>CEART!L17+CAV!L17+CESFI!L17+CEFID!L17+CEAVI!L17+CCT!L17+ESAG!L17+FAED!L17+CEPLAN!L17+CEO!L17+CEAD!L17+CESMO!L17+CERES!L17+SCII!L17+BU!L17+PROEX!L17+MUSEU!L17+COVEST!L17+SECOM!L17</f>
        <v>218</v>
      </c>
      <c r="M17" s="49">
        <f>CEART!M17+CAV!M17+CESFI!M17+CEFID!M17+CEAVI!M17+CCT!M17+ESAG!M17+FAED!M17+CEPLAN!M17+CEO!M17+CEAD!M17+CESMO!M17+CERES!M17+SCII!M17+BU!M17+PROEX!M17+MUSEU!M17+COVEST!M17+SECOM!M17</f>
        <v>218</v>
      </c>
      <c r="N17" s="51">
        <f t="shared" si="0"/>
        <v>1152</v>
      </c>
      <c r="O17" s="50">
        <f>PROEX!P17+SECOM!P17+PROEX!Q17+SECOM!Q17+SCII!P17+SCII!Q17+BU!P17+BU!Q17+MUSEU!P17+MUSEU!Q17+ESAG!P17+ESAG!Q17+CEART!P17+CEART!Q17+FAED!P17+FAED!Q17+CEAD!P17+CEAD!Q17+CEFID!P17+CEFID!Q17+CAV!P17+CAV!Q17+CEO!P17+CEO!Q17+CEPLAN!P17+CEPLAN!Q17+CEAVI!P17+CEAVI!Q17+CCT!P17+CCT!Q17+CERES!P17+CERES!Q17+CESFI!P17+CESFI!Q17+CESMO!P17+CESMO!Q17</f>
        <v>0</v>
      </c>
      <c r="P17" s="32">
        <f t="shared" si="1"/>
        <v>4392</v>
      </c>
      <c r="Q17" s="33">
        <f t="shared" si="2"/>
        <v>48405</v>
      </c>
      <c r="R17" s="33">
        <f t="shared" si="3"/>
        <v>0</v>
      </c>
      <c r="S17" s="33">
        <f t="shared" si="4"/>
        <v>2289</v>
      </c>
    </row>
    <row r="18" spans="1:19" ht="135" x14ac:dyDescent="0.2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52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23">
        <f>CEART!K18+CAV!K18+CESFI!K18+CEFID!K18+CEAVI!K18+CCT!K18+ESAG!K18+FAED!K18+CEPLAN!K18+CEO!K18+CEAD!K18+CESMO!K18+CERES!K18+SCII!K18+BU!K18+PROEX!K18+MUSEU!K18+COVEST!K18+SECOM!K18</f>
        <v>408</v>
      </c>
      <c r="L18" s="49">
        <f>CEART!L18+CAV!L18+CESFI!L18+CEFID!L18+CEAVI!L18+CCT!L18+ESAG!L18+FAED!L18+CEPLAN!L18+CEO!L18+CEAD!L18+CESMO!L18+CERES!L18+SCII!L18+BU!L18+PROEX!L18+MUSEU!L18+COVEST!L18+SECOM!L18</f>
        <v>22</v>
      </c>
      <c r="M18" s="49">
        <f>CEART!M18+CAV!M18+CESFI!M18+CEFID!M18+CEAVI!M18+CCT!M18+ESAG!M18+FAED!M18+CEPLAN!M18+CEO!M18+CEAD!M18+CESMO!M18+CERES!M18+SCII!M18+BU!M18+PROEX!M18+MUSEU!M18+COVEST!M18+SECOM!M18</f>
        <v>22</v>
      </c>
      <c r="N18" s="51">
        <f t="shared" si="0"/>
        <v>102</v>
      </c>
      <c r="O18" s="50">
        <f>PROEX!P18+SECOM!P18+PROEX!Q18+SECOM!Q18+SCII!P18+SCII!Q18+BU!P18+BU!Q18+MUSEU!P18+MUSEU!Q18+ESAG!P18+ESAG!Q18+CEART!P18+CEART!Q18+FAED!P18+FAED!Q18+CEAD!P18+CEAD!Q18+CEFID!P18+CEFID!Q18+CAV!P18+CAV!Q18+CEO!P18+CEO!Q18+CEPLAN!P18+CEPLAN!Q18+CEAVI!P18+CEAVI!Q18+CCT!P18+CCT!Q18+CERES!P18+CERES!Q18+CESFI!P18+CESFI!Q18+CESMO!P18+CESMO!Q18</f>
        <v>0</v>
      </c>
      <c r="P18" s="32">
        <f t="shared" si="1"/>
        <v>386</v>
      </c>
      <c r="Q18" s="33">
        <f t="shared" si="2"/>
        <v>61999.68</v>
      </c>
      <c r="R18" s="33">
        <f t="shared" si="3"/>
        <v>0</v>
      </c>
      <c r="S18" s="33">
        <f t="shared" si="4"/>
        <v>3343.1200000000003</v>
      </c>
    </row>
    <row r="19" spans="1:19" ht="38.25" customHeight="1" x14ac:dyDescent="0.2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53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23">
        <f>CEART!K19+CAV!K19+CESFI!K19+CEFID!K19+CEAVI!K19+CCT!K19+ESAG!K19+FAED!K19+CEPLAN!K19+CEO!K19+CEAD!K19+CESMO!K19+CERES!K19+SCII!K19+BU!K19+PROEX!K19+MUSEU!K19+COVEST!K19+SECOM!K19</f>
        <v>758</v>
      </c>
      <c r="L19" s="49">
        <f>CEART!L19+CAV!L19+CESFI!L19+CEFID!L19+CEAVI!L19+CCT!L19+ESAG!L19+FAED!L19+CEPLAN!L19+CEO!L19+CEAD!L19+CESMO!L19+CERES!L19+SCII!L19+BU!L19+PROEX!L19+MUSEU!L19+COVEST!L19+SECOM!L19</f>
        <v>13</v>
      </c>
      <c r="M19" s="49">
        <f>CEART!M19+CAV!M19+CESFI!M19+CEFID!M19+CEAVI!M19+CCT!M19+ESAG!M19+FAED!M19+CEPLAN!M19+CEO!M19+CEAD!M19+CESMO!M19+CERES!M19+SCII!M19+BU!M19+PROEX!M19+MUSEU!M19+COVEST!M19+SECOM!M19</f>
        <v>13</v>
      </c>
      <c r="N19" s="51">
        <f t="shared" si="0"/>
        <v>189</v>
      </c>
      <c r="O19" s="50">
        <f>PROEX!P19+SECOM!P19+PROEX!Q19+SECOM!Q19+SCII!P19+SCII!Q19+BU!P19+BU!Q19+MUSEU!P19+MUSEU!Q19+ESAG!P19+ESAG!Q19+CEART!P19+CEART!Q19+FAED!P19+FAED!Q19+CEAD!P19+CEAD!Q19+CEFID!P19+CEFID!Q19+CAV!P19+CAV!Q19+CEO!P19+CEO!Q19+CEPLAN!P19+CEPLAN!Q19+CEAVI!P19+CEAVI!Q19+CCT!P19+CCT!Q19+CERES!P19+CERES!Q19+CESFI!P19+CESFI!Q19+CESMO!P19+CESMO!Q19</f>
        <v>0</v>
      </c>
      <c r="P19" s="32">
        <f t="shared" si="1"/>
        <v>745</v>
      </c>
      <c r="Q19" s="33">
        <f t="shared" si="2"/>
        <v>40590.9</v>
      </c>
      <c r="R19" s="33">
        <f t="shared" si="3"/>
        <v>0</v>
      </c>
      <c r="S19" s="33">
        <f t="shared" si="4"/>
        <v>696.15</v>
      </c>
    </row>
    <row r="20" spans="1:19" ht="45" customHeight="1" x14ac:dyDescent="0.2">
      <c r="A20" s="267"/>
      <c r="B20" s="267"/>
      <c r="C20" s="62">
        <v>17</v>
      </c>
      <c r="D20" s="275"/>
      <c r="E20" s="63" t="s">
        <v>49</v>
      </c>
      <c r="F20" s="5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23">
        <f>CEART!K20+CAV!K20+CESFI!K20+CEFID!K20+CEAVI!K20+CCT!K20+ESAG!K20+FAED!K20+CEPLAN!K20+CEO!K20+CEAD!K20+CESMO!K20+CERES!K20+SCII!K20+BU!K20+PROEX!K20+MUSEU!K20+COVEST!K20+SECOM!K20</f>
        <v>1416</v>
      </c>
      <c r="L20" s="49">
        <f>CEART!L20+CAV!L20+CESFI!L20+CEFID!L20+CEAVI!L20+CCT!L20+ESAG!L20+FAED!L20+CEPLAN!L20+CEO!L20+CEAD!L20+CESMO!L20+CERES!L20+SCII!L20+BU!L20+PROEX!L20+MUSEU!L20+COVEST!L20+SECOM!L20</f>
        <v>406</v>
      </c>
      <c r="M20" s="49">
        <f>CEART!M20+CAV!M20+CESFI!M20+CEFID!M20+CEAVI!M20+CCT!M20+ESAG!M20+FAED!M20+CEPLAN!M20+CEO!M20+CEAD!M20+CESMO!M20+CERES!M20+SCII!M20+BU!M20+PROEX!M20+MUSEU!M20+COVEST!M20+SECOM!M20</f>
        <v>406</v>
      </c>
      <c r="N20" s="51">
        <f t="shared" si="0"/>
        <v>354</v>
      </c>
      <c r="O20" s="50">
        <f>PROEX!P20+SECOM!P20+PROEX!Q20+SECOM!Q20+SCII!P20+SCII!Q20+BU!P20+BU!Q20+MUSEU!P20+MUSEU!Q20+ESAG!P20+ESAG!Q20+CEART!P20+CEART!Q20+FAED!P20+FAED!Q20+CEAD!P20+CEAD!Q20+CEFID!P20+CEFID!Q20+CAV!P20+CAV!Q20+CEO!P20+CEO!Q20+CEPLAN!P20+CEPLAN!Q20+CEAVI!P20+CEAVI!Q20+CCT!P20+CCT!Q20+CERES!P20+CERES!Q20+CESFI!P20+CESFI!Q20+CESMO!P20+CESMO!Q20</f>
        <v>0</v>
      </c>
      <c r="P20" s="32">
        <f t="shared" si="1"/>
        <v>1010</v>
      </c>
      <c r="Q20" s="33">
        <f t="shared" si="2"/>
        <v>10407.6</v>
      </c>
      <c r="R20" s="33">
        <f t="shared" si="3"/>
        <v>0</v>
      </c>
      <c r="S20" s="33">
        <f t="shared" si="4"/>
        <v>2984.1</v>
      </c>
    </row>
    <row r="21" spans="1:19" ht="58.7" customHeight="1" x14ac:dyDescent="0.2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52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23">
        <f>CEART!K21+CAV!K21+CESFI!K21+CEFID!K21+CEAVI!K21+CCT!K21+ESAG!K21+FAED!K21+CEPLAN!K21+CEO!K21+CEAD!K21+CESMO!K21+CERES!K21+SCII!K21+BU!K21+PROEX!K21+MUSEU!K21+COVEST!K21+SECOM!K21</f>
        <v>2580</v>
      </c>
      <c r="L21" s="49">
        <f>CEART!L21+CAV!L21+CESFI!L21+CEFID!L21+CEAVI!L21+CCT!L21+ESAG!L21+FAED!L21+CEPLAN!L21+CEO!L21+CEAD!L21+CESMO!L21+CERES!L21+SCII!L21+BU!L21+PROEX!L21+MUSEU!L21+COVEST!L21+SECOM!L21</f>
        <v>100</v>
      </c>
      <c r="M21" s="49">
        <f>CEART!M21+CAV!M21+CESFI!M21+CEFID!M21+CEAVI!M21+CCT!M21+ESAG!M21+FAED!M21+CEPLAN!M21+CEO!M21+CEAD!M21+CESMO!M21+CERES!M21+SCII!M21+BU!M21+PROEX!M21+MUSEU!M21+COVEST!M21+SECOM!M21</f>
        <v>100</v>
      </c>
      <c r="N21" s="51">
        <f t="shared" si="0"/>
        <v>645</v>
      </c>
      <c r="O21" s="50">
        <f>PROEX!P21+SECOM!P21+PROEX!Q21+SECOM!Q21+SCII!P21+SCII!Q21+BU!P21+BU!Q21+MUSEU!P21+MUSEU!Q21+ESAG!P21+ESAG!Q21+CEART!P21+CEART!Q21+FAED!P21+FAED!Q21+CEAD!P21+CEAD!Q21+CEFID!P21+CEFID!Q21+CAV!P21+CAV!Q21+CEO!P21+CEO!Q21+CEPLAN!P21+CEPLAN!Q21+CEAVI!P21+CEAVI!Q21+CCT!P21+CCT!Q21+CERES!P21+CERES!Q21+CESFI!P21+CESFI!Q21+CESMO!P21+CESMO!Q21</f>
        <v>0</v>
      </c>
      <c r="P21" s="32">
        <f t="shared" si="1"/>
        <v>2480</v>
      </c>
      <c r="Q21" s="33">
        <f t="shared" si="2"/>
        <v>27993</v>
      </c>
      <c r="R21" s="33">
        <f t="shared" si="3"/>
        <v>0</v>
      </c>
      <c r="S21" s="33">
        <f t="shared" si="4"/>
        <v>1085</v>
      </c>
    </row>
    <row r="22" spans="1:19" ht="45" customHeight="1" x14ac:dyDescent="0.2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5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23">
        <f>CEART!K22+CAV!K22+CESFI!K22+CEFID!K22+CEAVI!K22+CCT!K22+ESAG!K22+FAED!K22+CEPLAN!K22+CEO!K22+CEAD!K22+CESMO!K22+CERES!K22+SCII!K22+BU!K22+PROEX!K22+MUSEU!K22+COVEST!K22+SECOM!K22</f>
        <v>25075</v>
      </c>
      <c r="L22" s="49">
        <f>CEART!L22+CAV!L22+CESFI!L22+CEFID!L22+CEAVI!L22+CCT!L22+ESAG!L22+FAED!L22+CEPLAN!L22+CEO!L22+CEAD!L22+CESMO!L22+CERES!L22+SCII!L22+BU!L22+PROEX!L22+MUSEU!L22+COVEST!L22+SECOM!L22</f>
        <v>100</v>
      </c>
      <c r="M22" s="49">
        <f>CEART!M22+CAV!M22+CESFI!M22+CEFID!M22+CEAVI!M22+CCT!M22+ESAG!M22+FAED!M22+CEPLAN!M22+CEO!M22+CEAD!M22+CESMO!M22+CERES!M22+SCII!M22+BU!M22+PROEX!M22+MUSEU!M22+COVEST!M22+SECOM!M22</f>
        <v>100</v>
      </c>
      <c r="N22" s="51">
        <f t="shared" si="0"/>
        <v>6268</v>
      </c>
      <c r="O22" s="50">
        <f>PROEX!P22+SECOM!P22+PROEX!Q22+SECOM!Q22+SCII!P22+SCII!Q22+BU!P22+BU!Q22+MUSEU!P22+MUSEU!Q22+ESAG!P22+ESAG!Q22+CEART!P22+CEART!Q22+FAED!P22+FAED!Q22+CEAD!P22+CEAD!Q22+CEFID!P22+CEFID!Q22+CAV!P22+CAV!Q22+CEO!P22+CEO!Q22+CEPLAN!P22+CEPLAN!Q22+CEAVI!P22+CEAVI!Q22+CCT!P22+CCT!Q22+CERES!P22+CERES!Q22+CESFI!P22+CESFI!Q22+CESMO!P22+CESMO!Q22</f>
        <v>0</v>
      </c>
      <c r="P22" s="32">
        <f t="shared" si="1"/>
        <v>24975</v>
      </c>
      <c r="Q22" s="33">
        <f t="shared" si="2"/>
        <v>17803.25</v>
      </c>
      <c r="R22" s="33">
        <f t="shared" si="3"/>
        <v>0</v>
      </c>
      <c r="S22" s="33">
        <f t="shared" si="4"/>
        <v>71</v>
      </c>
    </row>
    <row r="23" spans="1:19" ht="28.15" customHeight="1" x14ac:dyDescent="0.2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52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23">
        <f>CEART!K23+CAV!K23+CESFI!K23+CEFID!K23+CEAVI!K23+CCT!K23+ESAG!K23+FAED!K23+CEPLAN!K23+CEO!K23+CEAD!K23+CESMO!K23+CERES!K23+SCII!K23+BU!K23+PROEX!K23+MUSEU!K23+COVEST!K23+SECOM!K23</f>
        <v>4192</v>
      </c>
      <c r="L23" s="49">
        <f>CEART!L23+CAV!L23+CESFI!L23+CEFID!L23+CEAVI!L23+CCT!L23+ESAG!L23+FAED!L23+CEPLAN!L23+CEO!L23+CEAD!L23+CESMO!L23+CERES!L23+SCII!L23+BU!L23+PROEX!L23+MUSEU!L23+COVEST!L23+SECOM!L23</f>
        <v>0</v>
      </c>
      <c r="M23" s="49">
        <f>CEART!M23+CAV!M23+CESFI!M23+CEFID!M23+CEAVI!M23+CCT!M23+ESAG!M23+FAED!M23+CEPLAN!M23+CEO!M23+CEAD!M23+CESMO!M23+CERES!M23+SCII!M23+BU!M23+PROEX!M23+MUSEU!M23+COVEST!M23+SECOM!M23</f>
        <v>0</v>
      </c>
      <c r="N23" s="51">
        <f t="shared" si="0"/>
        <v>1048</v>
      </c>
      <c r="O23" s="50">
        <f>PROEX!P23+SECOM!P23+PROEX!Q23+SECOM!Q23+SCII!P23+SCII!Q23+BU!P23+BU!Q23+MUSEU!P23+MUSEU!Q23+ESAG!P23+ESAG!Q23+CEART!P23+CEART!Q23+FAED!P23+FAED!Q23+CEAD!P23+CEAD!Q23+CEFID!P23+CEFID!Q23+CAV!P23+CAV!Q23+CEO!P23+CEO!Q23+CEPLAN!P23+CEPLAN!Q23+CEAVI!P23+CEAVI!Q23+CCT!P23+CCT!Q23+CERES!P23+CERES!Q23+CESFI!P23+CESFI!Q23+CESMO!P23+CESMO!Q23</f>
        <v>0</v>
      </c>
      <c r="P23" s="32">
        <f t="shared" si="1"/>
        <v>4192</v>
      </c>
      <c r="Q23" s="33">
        <f t="shared" si="2"/>
        <v>88786.559999999998</v>
      </c>
      <c r="R23" s="33">
        <f t="shared" si="3"/>
        <v>0</v>
      </c>
      <c r="S23" s="33">
        <f t="shared" si="4"/>
        <v>0</v>
      </c>
    </row>
    <row r="24" spans="1:19" ht="25.15" customHeight="1" x14ac:dyDescent="0.2">
      <c r="A24" s="286"/>
      <c r="B24" s="288"/>
      <c r="C24" s="75">
        <v>21</v>
      </c>
      <c r="D24" s="304"/>
      <c r="E24" s="59" t="s">
        <v>20</v>
      </c>
      <c r="F24" s="52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23">
        <f>CEART!K24+CAV!K24+CESFI!K24+CEFID!K24+CEAVI!K24+CCT!K24+ESAG!K24+FAED!K24+CEPLAN!K24+CEO!K24+CEAD!K24+CESMO!K24+CERES!K24+SCII!K24+BU!K24+PROEX!K24+MUSEU!K24+COVEST!K24+SECOM!K24</f>
        <v>25225</v>
      </c>
      <c r="L24" s="49">
        <f>CEART!L24+CAV!L24+CESFI!L24+CEFID!L24+CEAVI!L24+CCT!L24+ESAG!L24+FAED!L24+CEPLAN!L24+CEO!L24+CEAD!L24+CESMO!L24+CERES!L24+SCII!L24+BU!L24+PROEX!L24+MUSEU!L24+COVEST!L24+SECOM!L24</f>
        <v>2100</v>
      </c>
      <c r="M24" s="49">
        <f>CEART!M24+CAV!M24+CESFI!M24+CEFID!M24+CEAVI!M24+CCT!M24+ESAG!M24+FAED!M24+CEPLAN!M24+CEO!M24+CEAD!M24+CESMO!M24+CERES!M24+SCII!M24+BU!M24+PROEX!M24+MUSEU!M24+COVEST!M24+SECOM!M24</f>
        <v>2100</v>
      </c>
      <c r="N24" s="51">
        <f t="shared" si="0"/>
        <v>6306</v>
      </c>
      <c r="O24" s="50">
        <f>PROEX!P24+SECOM!P24+PROEX!Q24+SECOM!Q24+SCII!P24+SCII!Q24+BU!P24+BU!Q24+MUSEU!P24+MUSEU!Q24+ESAG!P24+ESAG!Q24+CEART!P24+CEART!Q24+FAED!P24+FAED!Q24+CEAD!P24+CEAD!Q24+CEFID!P24+CEFID!Q24+CAV!P24+CAV!Q24+CEO!P24+CEO!Q24+CEPLAN!P24+CEPLAN!Q24+CEAVI!P24+CEAVI!Q24+CCT!P24+CCT!Q24+CERES!P24+CERES!Q24+CESFI!P24+CESFI!Q24+CESMO!P24+CESMO!Q24</f>
        <v>0</v>
      </c>
      <c r="P24" s="32">
        <f>K24-M24+O24</f>
        <v>23125</v>
      </c>
      <c r="Q24" s="33">
        <f t="shared" si="2"/>
        <v>141007.75</v>
      </c>
      <c r="R24" s="33">
        <f t="shared" si="3"/>
        <v>0</v>
      </c>
      <c r="S24" s="33">
        <f t="shared" si="4"/>
        <v>11739</v>
      </c>
    </row>
    <row r="25" spans="1:19" ht="26.45" customHeight="1" x14ac:dyDescent="0.2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5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23">
        <f>CEART!K25+CAV!K25+CESFI!K25+CEFID!K25+CEAVI!K25+CCT!K25+ESAG!K25+FAED!K25+CEPLAN!K25+CEO!K25+CEAD!K25+CESMO!K25+CERES!K25+SCII!K25+BU!K25+PROEX!K25+MUSEU!K25+COVEST!K25+SECOM!K25</f>
        <v>6014</v>
      </c>
      <c r="L25" s="49">
        <f>CEART!L25+CAV!L25+CESFI!L25+CEFID!L25+CEAVI!L25+CCT!L25+ESAG!L25+FAED!L25+CEPLAN!L25+CEO!L25+CEAD!L25+CESMO!L25+CERES!L25+SCII!L25+BU!L25+PROEX!L25+MUSEU!L25+COVEST!L25+SECOM!L25</f>
        <v>480</v>
      </c>
      <c r="M25" s="49">
        <f>CEART!M25+CAV!M25+CESFI!M25+CEFID!M25+CEAVI!M25+CCT!M25+ESAG!M25+FAED!M25+CEPLAN!M25+CEO!M25+CEAD!M25+CESMO!M25+CERES!M25+SCII!M25+BU!M25+PROEX!M25+MUSEU!M25+COVEST!M25+SECOM!M25</f>
        <v>480</v>
      </c>
      <c r="N25" s="51">
        <f t="shared" si="0"/>
        <v>1503</v>
      </c>
      <c r="O25" s="50">
        <f>PROEX!P25+SECOM!P25+PROEX!Q25+SECOM!Q25+SCII!P25+SCII!Q25+BU!P25+BU!Q25+MUSEU!P25+MUSEU!Q25+ESAG!P25+ESAG!Q25+CEART!P25+CEART!Q25+FAED!P25+FAED!Q25+CEAD!P25+CEAD!Q25+CEFID!P25+CEFID!Q25+CAV!P25+CAV!Q25+CEO!P25+CEO!Q25+CEPLAN!P25+CEPLAN!Q25+CEAVI!P25+CEAVI!Q25+CCT!P25+CCT!Q25+CERES!P25+CERES!Q25+CESFI!P25+CESFI!Q25+CESMO!P25+CESMO!Q25</f>
        <v>0</v>
      </c>
      <c r="P25" s="32">
        <f t="shared" si="1"/>
        <v>5534</v>
      </c>
      <c r="Q25" s="33">
        <f t="shared" si="2"/>
        <v>20447.599999999999</v>
      </c>
      <c r="R25" s="33">
        <f t="shared" si="3"/>
        <v>0</v>
      </c>
      <c r="S25" s="33">
        <f t="shared" si="4"/>
        <v>1632</v>
      </c>
    </row>
    <row r="26" spans="1:19" ht="24.4" customHeight="1" x14ac:dyDescent="0.2">
      <c r="A26" s="290"/>
      <c r="B26" s="290"/>
      <c r="C26" s="62">
        <v>23</v>
      </c>
      <c r="D26" s="275"/>
      <c r="E26" s="63" t="s">
        <v>20</v>
      </c>
      <c r="F26" s="5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23">
        <f>CEART!K26+CAV!K26+CESFI!K26+CEFID!K26+CEAVI!K26+CCT!K26+ESAG!K26+FAED!K26+CEPLAN!K26+CEO!K26+CEAD!K26+CESMO!K26+CERES!K26+SCII!K26+BU!K26+PROEX!K26+MUSEU!K26+COVEST!K26+SECOM!K26</f>
        <v>28520</v>
      </c>
      <c r="L26" s="49">
        <f>CEART!L26+CAV!L26+CESFI!L26+CEFID!L26+CEAVI!L26+CCT!L26+ESAG!L26+FAED!L26+CEPLAN!L26+CEO!L26+CEAD!L26+CESMO!L26+CERES!L26+SCII!L26+BU!L26+PROEX!L26+MUSEU!L26+COVEST!L26+SECOM!L26</f>
        <v>2771</v>
      </c>
      <c r="M26" s="49">
        <f>CEART!M26+CAV!M26+CESFI!M26+CEFID!M26+CEAVI!M26+CCT!M26+ESAG!M26+FAED!M26+CEPLAN!M26+CEO!M26+CEAD!M26+CESMO!M26+CERES!M26+SCII!M26+BU!M26+PROEX!M26+MUSEU!M26+COVEST!M26+SECOM!M26</f>
        <v>2771</v>
      </c>
      <c r="N26" s="51">
        <f t="shared" si="0"/>
        <v>7130</v>
      </c>
      <c r="O26" s="50">
        <f>PROEX!P26+SECOM!P26+PROEX!Q26+SECOM!Q26+SCII!P26+SCII!Q26+BU!P26+BU!Q26+MUSEU!P26+MUSEU!Q26+ESAG!P26+ESAG!Q26+CEART!P26+CEART!Q26+FAED!P26+FAED!Q26+CEAD!P26+CEAD!Q26+CEFID!P26+CEFID!Q26+CAV!P26+CAV!Q26+CEO!P26+CEO!Q26+CEPLAN!P26+CEPLAN!Q26+CEAVI!P26+CEAVI!Q26+CCT!P26+CCT!Q26+CERES!P26+CERES!Q26+CESFI!P26+CESFI!Q26+CESMO!P26+CESMO!Q26</f>
        <v>0</v>
      </c>
      <c r="P26" s="32">
        <f t="shared" si="1"/>
        <v>25749</v>
      </c>
      <c r="Q26" s="33">
        <f t="shared" si="2"/>
        <v>51336</v>
      </c>
      <c r="R26" s="33">
        <f t="shared" si="3"/>
        <v>0</v>
      </c>
      <c r="S26" s="33">
        <f t="shared" si="4"/>
        <v>4987.8</v>
      </c>
    </row>
    <row r="27" spans="1:19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54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23">
        <f>CEART!K27+CAV!K27+CESFI!K27+CEFID!K27+CEAVI!K27+CCT!K27+ESAG!K27+FAED!K27+CEPLAN!K27+CEO!K27+CEAD!K27+CESMO!K27+CERES!K27+SCII!K27+BU!K27+PROEX!K27+MUSEU!K27+COVEST!K27+SECOM!K27</f>
        <v>23500</v>
      </c>
      <c r="L27" s="49">
        <f>CEART!L27+CAV!L27+CESFI!L27+CEFID!L27+CEAVI!L27+CCT!L27+ESAG!L27+FAED!L27+CEPLAN!L27+CEO!L27+CEAD!L27+CESMO!L27+CERES!L27+SCII!L27+BU!L27+PROEX!L27+MUSEU!L27+COVEST!L27+SECOM!L27</f>
        <v>2000</v>
      </c>
      <c r="M27" s="49">
        <f>CEART!M27+CAV!M27+CESFI!M27+CEFID!M27+CEAVI!M27+CCT!M27+ESAG!M27+FAED!M27+CEPLAN!M27+CEO!M27+CEAD!M27+CESMO!M27+CERES!M27+SCII!M27+BU!M27+PROEX!M27+MUSEU!M27+COVEST!M27+SECOM!M27</f>
        <v>2000</v>
      </c>
      <c r="N27" s="51">
        <f t="shared" si="0"/>
        <v>5875</v>
      </c>
      <c r="O27" s="50">
        <f>PROEX!P27+SECOM!P27+PROEX!Q27+SECOM!Q27+SCII!P27+SCII!Q27+BU!P27+BU!Q27+MUSEU!P27+MUSEU!Q27+ESAG!P27+ESAG!Q27+CEART!P27+CEART!Q27+FAED!P27+FAED!Q27+CEAD!P27+CEAD!Q27+CEFID!P27+CEFID!Q27+CAV!P27+CAV!Q27+CEO!P27+CEO!Q27+CEPLAN!P27+CEPLAN!Q27+CEAVI!P27+CEAVI!Q27+CCT!P27+CCT!Q27+CERES!P27+CERES!Q27+CESFI!P27+CESFI!Q27+CESMO!P27+CESMO!Q27</f>
        <v>0</v>
      </c>
      <c r="P27" s="32">
        <f t="shared" si="1"/>
        <v>21500</v>
      </c>
      <c r="Q27" s="33">
        <f t="shared" si="2"/>
        <v>7755</v>
      </c>
      <c r="R27" s="33">
        <f t="shared" si="3"/>
        <v>0</v>
      </c>
      <c r="S27" s="33">
        <f t="shared" si="4"/>
        <v>660</v>
      </c>
    </row>
    <row r="28" spans="1:19" ht="30.2" customHeight="1" x14ac:dyDescent="0.25">
      <c r="A28" s="296"/>
      <c r="B28" s="296"/>
      <c r="C28" s="75">
        <v>25</v>
      </c>
      <c r="D28" s="274"/>
      <c r="E28" s="59" t="s">
        <v>22</v>
      </c>
      <c r="F28" s="54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23">
        <f>CEART!K28+CAV!K28+CESFI!K28+CEFID!K28+CEAVI!K28+CCT!K28+ESAG!K28+FAED!K28+CEPLAN!K28+CEO!K28+CEAD!K28+CESMO!K28+CERES!K28+SCII!K28+BU!K28+PROEX!K28+MUSEU!K28+COVEST!K28+SECOM!K28</f>
        <v>199515</v>
      </c>
      <c r="L28" s="49">
        <f>CEART!L28+CAV!L28+CESFI!L28+CEFID!L28+CEAVI!L28+CCT!L28+ESAG!L28+FAED!L28+CEPLAN!L28+CEO!L28+CEAD!L28+CESMO!L28+CERES!L28+SCII!L28+BU!L28+PROEX!L28+MUSEU!L28+COVEST!L28+SECOM!L28</f>
        <v>65012</v>
      </c>
      <c r="M28" s="49">
        <f>CEART!M28+CAV!M28+CESFI!M28+CEFID!M28+CEAVI!M28+CCT!M28+ESAG!M28+FAED!M28+CEPLAN!M28+CEO!M28+CEAD!M28+CESMO!M28+CERES!M28+SCII!M28+BU!M28+PROEX!M28+MUSEU!M28+COVEST!M28+SECOM!M28</f>
        <v>65012</v>
      </c>
      <c r="N28" s="51">
        <f t="shared" si="0"/>
        <v>49878</v>
      </c>
      <c r="O28" s="50">
        <f>PROEX!P28+SECOM!P28+PROEX!Q28+SECOM!Q28+SCII!P28+SCII!Q28+BU!P28+BU!Q28+MUSEU!P28+MUSEU!Q28+ESAG!P28+ESAG!Q28+CEART!P28+CEART!Q28+FAED!P28+FAED!Q28+CEAD!P28+CEAD!Q28+CEFID!P28+CEFID!Q28+CAV!P28+CAV!Q28+CEO!P28+CEO!Q28+CEPLAN!P28+CEPLAN!Q28+CEAVI!P28+CEAVI!Q28+CCT!P28+CCT!Q28+CERES!P28+CERES!Q28+CESFI!P28+CESFI!Q28+CESMO!P28+CESMO!Q28</f>
        <v>0</v>
      </c>
      <c r="P28" s="32">
        <f t="shared" si="1"/>
        <v>134503</v>
      </c>
      <c r="Q28" s="33">
        <f t="shared" si="2"/>
        <v>37907.85</v>
      </c>
      <c r="R28" s="33">
        <f t="shared" si="3"/>
        <v>0</v>
      </c>
      <c r="S28" s="33">
        <f t="shared" si="4"/>
        <v>12352.28</v>
      </c>
    </row>
    <row r="29" spans="1:19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55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23">
        <f>CEART!K29+CAV!K29+CESFI!K29+CEFID!K29+CEAVI!K29+CCT!K29+ESAG!K29+FAED!K29+CEPLAN!K29+CEO!K29+CEAD!K29+CESMO!K29+CERES!K29+SCII!K29+BU!K29+PROEX!K29+MUSEU!K29+COVEST!K29+SECOM!K29</f>
        <v>25550</v>
      </c>
      <c r="L29" s="49">
        <f>CEART!L29+CAV!L29+CESFI!L29+CEFID!L29+CEAVI!L29+CCT!L29+ESAG!L29+FAED!L29+CEPLAN!L29+CEO!L29+CEAD!L29+CESMO!L29+CERES!L29+SCII!L29+BU!L29+PROEX!L29+MUSEU!L29+COVEST!L29+SECOM!L29</f>
        <v>2200</v>
      </c>
      <c r="M29" s="49">
        <f>CEART!M29+CAV!M29+CESFI!M29+CEFID!M29+CEAVI!M29+CCT!M29+ESAG!M29+FAED!M29+CEPLAN!M29+CEO!M29+CEAD!M29+CESMO!M29+CERES!M29+SCII!M29+BU!M29+PROEX!M29+MUSEU!M29+COVEST!M29+SECOM!M29</f>
        <v>2200</v>
      </c>
      <c r="N29" s="51">
        <f t="shared" si="0"/>
        <v>6387</v>
      </c>
      <c r="O29" s="50">
        <f>PROEX!P29+SECOM!P29+PROEX!Q29+SECOM!Q29+SCII!P29+SCII!Q29+BU!P29+BU!Q29+MUSEU!P29+MUSEU!Q29+ESAG!P29+ESAG!Q29+CEART!P29+CEART!Q29+FAED!P29+FAED!Q29+CEAD!P29+CEAD!Q29+CEFID!P29+CEFID!Q29+CAV!P29+CAV!Q29+CEO!P29+CEO!Q29+CEPLAN!P29+CEPLAN!Q29+CEAVI!P29+CEAVI!Q29+CCT!P29+CCT!Q29+CERES!P29+CERES!Q29+CESFI!P29+CESFI!Q29+CESMO!P29+CESMO!Q29</f>
        <v>0</v>
      </c>
      <c r="P29" s="32">
        <f t="shared" si="1"/>
        <v>23350</v>
      </c>
      <c r="Q29" s="33">
        <f t="shared" si="2"/>
        <v>7665</v>
      </c>
      <c r="R29" s="33">
        <f t="shared" si="3"/>
        <v>0</v>
      </c>
      <c r="S29" s="33">
        <f t="shared" si="4"/>
        <v>660</v>
      </c>
    </row>
    <row r="30" spans="1:19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55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23">
        <f>CEART!K30+CAV!K30+CESFI!K30+CEFID!K30+CEAVI!K30+CCT!K30+ESAG!K30+FAED!K30+CEPLAN!K30+CEO!K30+CEAD!K30+CESMO!K30+CERES!K30+SCII!K30+BU!K30+PROEX!K30+MUSEU!K30+COVEST!K30+SECOM!K30</f>
        <v>78515</v>
      </c>
      <c r="L30" s="49">
        <f>CEART!L30+CAV!L30+CESFI!L30+CEFID!L30+CEAVI!L30+CCT!L30+ESAG!L30+FAED!L30+CEPLAN!L30+CEO!L30+CEAD!L30+CESMO!L30+CERES!L30+SCII!L30+BU!L30+PROEX!L30+MUSEU!L30+COVEST!L30+SECOM!L30</f>
        <v>35504</v>
      </c>
      <c r="M30" s="49">
        <f>CEART!M30+CAV!M30+CESFI!M30+CEFID!M30+CEAVI!M30+CCT!M30+ESAG!M30+FAED!M30+CEPLAN!M30+CEO!M30+CEAD!M30+CESMO!M30+CERES!M30+SCII!M30+BU!M30+PROEX!M30+MUSEU!M30+COVEST!M30+SECOM!M30</f>
        <v>35504</v>
      </c>
      <c r="N30" s="51">
        <f t="shared" si="0"/>
        <v>19628</v>
      </c>
      <c r="O30" s="50">
        <f>PROEX!P30+SECOM!P30+PROEX!Q30+SECOM!Q30+SCII!P30+SCII!Q30+BU!P30+BU!Q30+MUSEU!P30+MUSEU!Q30+ESAG!P30+ESAG!Q30+CEART!P30+CEART!Q30+FAED!P30+FAED!Q30+CEAD!P30+CEAD!Q30+CEFID!P30+CEFID!Q30+CAV!P30+CAV!Q30+CEO!P30+CEO!Q30+CEPLAN!P30+CEPLAN!Q30+CEAVI!P30+CEAVI!Q30+CCT!P30+CCT!Q30+CERES!P30+CERES!Q30+CESFI!P30+CESFI!Q30+CESMO!P30+CESMO!Q30</f>
        <v>0</v>
      </c>
      <c r="P30" s="32">
        <f t="shared" si="1"/>
        <v>43011</v>
      </c>
      <c r="Q30" s="33">
        <f t="shared" si="2"/>
        <v>19628.75</v>
      </c>
      <c r="R30" s="33">
        <f t="shared" si="3"/>
        <v>0</v>
      </c>
      <c r="S30" s="33">
        <f t="shared" si="4"/>
        <v>8876</v>
      </c>
    </row>
    <row r="31" spans="1:19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54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23">
        <f>CEART!K31+CAV!K31+CESFI!K31+CEFID!K31+CEAVI!K31+CCT!K31+ESAG!K31+FAED!K31+CEPLAN!K31+CEO!K31+CEAD!K31+CESMO!K31+CERES!K31+SCII!K31+BU!K31+PROEX!K31+MUSEU!K31+COVEST!K31+SECOM!K31</f>
        <v>28700</v>
      </c>
      <c r="L31" s="49">
        <f>CEART!L31+CAV!L31+CESFI!L31+CEFID!L31+CEAVI!L31+CCT!L31+ESAG!L31+FAED!L31+CEPLAN!L31+CEO!L31+CEAD!L31+CESMO!L31+CERES!L31+SCII!L31+BU!L31+PROEX!L31+MUSEU!L31+COVEST!L31+SECOM!L31</f>
        <v>3500</v>
      </c>
      <c r="M31" s="49">
        <f>CEART!M31+CAV!M31+CESFI!M31+CEFID!M31+CEAVI!M31+CCT!M31+ESAG!M31+FAED!M31+CEPLAN!M31+CEO!M31+CEAD!M31+CESMO!M31+CERES!M31+SCII!M31+BU!M31+PROEX!M31+MUSEU!M31+COVEST!M31+SECOM!M31</f>
        <v>3500</v>
      </c>
      <c r="N31" s="51">
        <f t="shared" si="0"/>
        <v>7175</v>
      </c>
      <c r="O31" s="50">
        <f>PROEX!P31+SECOM!P31+PROEX!Q31+SECOM!Q31+SCII!P31+SCII!Q31+BU!P31+BU!Q31+MUSEU!P31+MUSEU!Q31+ESAG!P31+ESAG!Q31+CEART!P31+CEART!Q31+FAED!P31+FAED!Q31+CEAD!P31+CEAD!Q31+CEFID!P31+CEFID!Q31+CAV!P31+CAV!Q31+CEO!P31+CEO!Q31+CEPLAN!P31+CEPLAN!Q31+CEAVI!P31+CEAVI!Q31+CCT!P31+CCT!Q31+CERES!P31+CERES!Q31+CESFI!P31+CESFI!Q31+CESMO!P31+CESMO!Q31</f>
        <v>0</v>
      </c>
      <c r="P31" s="32">
        <f t="shared" si="1"/>
        <v>25200</v>
      </c>
      <c r="Q31" s="33">
        <f t="shared" si="2"/>
        <v>37310</v>
      </c>
      <c r="R31" s="33">
        <f t="shared" si="3"/>
        <v>0</v>
      </c>
      <c r="S31" s="33">
        <f t="shared" si="4"/>
        <v>4550</v>
      </c>
    </row>
    <row r="32" spans="1:19" ht="29.25" customHeight="1" x14ac:dyDescent="0.25">
      <c r="A32" s="286"/>
      <c r="B32" s="286"/>
      <c r="C32" s="75">
        <v>29</v>
      </c>
      <c r="D32" s="304"/>
      <c r="E32" s="59" t="s">
        <v>22</v>
      </c>
      <c r="F32" s="54" t="s">
        <v>16</v>
      </c>
      <c r="G32" s="69" t="s">
        <v>17</v>
      </c>
      <c r="H32" s="79" t="s">
        <v>38</v>
      </c>
      <c r="I32" s="80" t="s">
        <v>24</v>
      </c>
      <c r="J32" s="61">
        <v>0.3</v>
      </c>
      <c r="K32" s="23">
        <f>CEART!K32+CAV!K32+CESFI!K32+CEFID!K32+CEAVI!K32+CCT!K32+ESAG!K32+FAED!K32+CEPLAN!K32+CEO!K32+CEAD!K32+CESMO!K32+CERES!K32+SCII!K32+BU!K32+PROEX!K32+MUSEU!K32+COVEST!K32+SECOM!K32</f>
        <v>91915</v>
      </c>
      <c r="L32" s="49">
        <f>CEART!L32+CAV!L32+CESFI!L32+CEFID!L32+CEAVI!L32+CCT!L32+ESAG!L32+FAED!L32+CEPLAN!L32+CEO!L32+CEAD!L32+CESMO!L32+CERES!L32+SCII!L32+BU!L32+PROEX!L32+MUSEU!L32+COVEST!L32+SECOM!L32</f>
        <v>30200</v>
      </c>
      <c r="M32" s="49">
        <f>CEART!M32+CAV!M32+CESFI!M32+CEFID!M32+CEAVI!M32+CCT!M32+ESAG!M32+FAED!M32+CEPLAN!M32+CEO!M32+CEAD!M32+CESMO!M32+CERES!M32+SCII!M32+BU!M32+PROEX!M32+MUSEU!M32+COVEST!M32+SECOM!M32</f>
        <v>30200</v>
      </c>
      <c r="N32" s="51">
        <f t="shared" si="0"/>
        <v>22978</v>
      </c>
      <c r="O32" s="50">
        <f>PROEX!P33+SECOM!P32+PROEX!Q33+SECOM!Q32+SCII!P32+SCII!Q32+BU!P32+BU!Q32+MUSEU!P32+MUSEU!Q32+ESAG!P32+ESAG!Q32+CEART!P32+CEART!Q32+FAED!P32+FAED!Q32+CEAD!P32+CEAD!Q32+CEFID!P32+CEFID!Q32+CAV!P32+CAV!Q32+CEO!P32+CEO!Q32+CEPLAN!P32+CEPLAN!Q32+CEAVI!P32+CEAVI!Q32+CCT!P32+CCT!Q32+CERES!P32+CERES!Q32+CESFI!P32+CESFI!Q32+CESMO!P32+CESMO!Q32</f>
        <v>0</v>
      </c>
      <c r="P32" s="32">
        <f t="shared" si="1"/>
        <v>61715</v>
      </c>
      <c r="Q32" s="33">
        <f t="shared" si="2"/>
        <v>27574.5</v>
      </c>
      <c r="R32" s="33">
        <f t="shared" si="3"/>
        <v>0</v>
      </c>
      <c r="S32" s="33">
        <f t="shared" si="4"/>
        <v>9060</v>
      </c>
    </row>
    <row r="33" spans="1:19" ht="44.25" customHeight="1" x14ac:dyDescent="0.2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56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23">
        <f>CEART!K33+CAV!K33+CESFI!K33+CEFID!K33+CEAVI!K33+CCT!K33+ESAG!K33+FAED!K33+CEPLAN!K33+CEO!K33+CEAD!K33+CESMO!K33+CERES!K33+SCII!K33+BU!K33+PROEX!K33+MUSEU!K33+COVEST!K33+SECOM!K33</f>
        <v>3000</v>
      </c>
      <c r="L33" s="49">
        <f>CEART!L33+CAV!L33+CESFI!L33+CEFID!L33+CEAVI!L33+CCT!L33+ESAG!L33+FAED!L33+CEPLAN!L33+CEO!L33+CEAD!L33+CESMO!L33+CERES!L33+SCII!L33+BU!L33+PROEX!L33+MUSEU!L33+COVEST!L33+SECOM!L33</f>
        <v>2030</v>
      </c>
      <c r="M33" s="49">
        <f>CEART!M33+CAV!M33+CESFI!M33+CEFID!M33+CEAVI!M33+CCT!M33+ESAG!M33+FAED!M33+CEPLAN!M33+CEO!M33+CEAD!M33+CESMO!M33+CERES!M33+SCII!M33+BU!M33+PROEX!M33+MUSEU!M33+COVEST!M33+SECOM!M33</f>
        <v>2030</v>
      </c>
      <c r="N33" s="51">
        <f t="shared" ref="N33:N35" si="5">ROUND(K33*0.25-0.5-O33,0)</f>
        <v>750</v>
      </c>
      <c r="O33" s="50">
        <f>PROEX!P34+SECOM!P33+PROEX!Q34+SECOM!Q33+SCII!P33+SCII!Q33+BU!P33+BU!Q33+MUSEU!P33+MUSEU!Q33+ESAG!P33+ESAG!Q33+CEART!P33+CEART!Q33+FAED!P33+FAED!Q33+CEAD!P33+CEAD!Q33+CEFID!P33+CEFID!Q33+CAV!P33+CAV!Q33+CEO!P33+CEO!Q33+CEPLAN!P33+CEPLAN!Q33+CEAVI!P33+CEAVI!Q33+CCT!P33+CCT!Q33+CERES!P33+CERES!Q33+CESFI!P33+CESFI!Q33+CESMO!P33+CESMO!Q33</f>
        <v>0</v>
      </c>
      <c r="P33" s="32">
        <f t="shared" ref="P33:P35" si="6">K33-M33+O33</f>
        <v>970</v>
      </c>
      <c r="Q33" s="33">
        <f t="shared" si="2"/>
        <v>23400</v>
      </c>
      <c r="R33" s="33">
        <f t="shared" si="3"/>
        <v>0</v>
      </c>
      <c r="S33" s="33">
        <f t="shared" si="4"/>
        <v>15834</v>
      </c>
    </row>
    <row r="34" spans="1:19" ht="30" x14ac:dyDescent="0.2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57" t="s">
        <v>16</v>
      </c>
      <c r="G34" s="69" t="s">
        <v>17</v>
      </c>
      <c r="H34" s="89" t="s">
        <v>38</v>
      </c>
      <c r="I34" s="89" t="s">
        <v>24</v>
      </c>
      <c r="J34" s="61">
        <v>1.5</v>
      </c>
      <c r="K34" s="23">
        <f>CEART!K34+CAV!K34+CESFI!K34+CEFID!K34+CEAVI!K34+CCT!K34+ESAG!K34+FAED!K34+CEPLAN!K34+CEO!K34+CEAD!K34+CESMO!K34+CERES!K34+SCII!K34+BU!K34+PROEX!K34+MUSEU!K34+COVEST!K34+SECOM!K34</f>
        <v>2000</v>
      </c>
      <c r="L34" s="49">
        <f>CEART!L34+CAV!L34+CESFI!L34+CEFID!L34+CEAVI!L34+CCT!L34+ESAG!L34+FAED!L34+CEPLAN!L34+CEO!L34+CEAD!L34+CESMO!L34+CERES!L34+SCII!L34+BU!L34+PROEX!L34+MUSEU!L34+COVEST!L34+SECOM!L34</f>
        <v>0</v>
      </c>
      <c r="M34" s="49">
        <f>CEART!M34+CAV!M34+CESFI!M34+CEFID!M34+CEAVI!M34+CCT!M34+ESAG!M34+FAED!M34+CEPLAN!M34+CEO!M34+CEAD!M34+CESMO!M34+CERES!M34+SCII!M34+BU!M34+PROEX!M34+MUSEU!M34+COVEST!M34+SECOM!M34</f>
        <v>0</v>
      </c>
      <c r="N34" s="51">
        <f t="shared" si="5"/>
        <v>500</v>
      </c>
      <c r="O34" s="50">
        <f>PROEX!P35+SECOM!P34+PROEX!Q35+SECOM!Q34+SCII!P34+SCII!Q34+BU!P34+BU!Q34+MUSEU!P34+MUSEU!Q34+ESAG!P34+ESAG!Q34+CEART!P34+CEART!Q34+FAED!P34+FAED!Q34+CEAD!P34+CEAD!Q34+CEFID!P34+CEFID!Q34+CAV!P34+CAV!Q34+CEO!P34+CEO!Q34+CEPLAN!P34+CEPLAN!Q34+CEAVI!P34+CEAVI!Q34+CCT!P34+CCT!Q34+CERES!P34+CERES!Q34+CESFI!P34+CESFI!Q34+CESMO!P34+CESMO!Q34</f>
        <v>0</v>
      </c>
      <c r="P34" s="32">
        <f t="shared" si="6"/>
        <v>2000</v>
      </c>
      <c r="Q34" s="33">
        <f>J34*K34</f>
        <v>3000</v>
      </c>
      <c r="R34" s="33">
        <f t="shared" si="3"/>
        <v>0</v>
      </c>
      <c r="S34" s="33">
        <f t="shared" si="4"/>
        <v>0</v>
      </c>
    </row>
    <row r="35" spans="1:19" ht="15.75" x14ac:dyDescent="0.2">
      <c r="A35" s="286"/>
      <c r="B35" s="286"/>
      <c r="C35" s="75" t="s">
        <v>96</v>
      </c>
      <c r="D35" s="301"/>
      <c r="E35" s="87" t="s">
        <v>97</v>
      </c>
      <c r="F35" s="57" t="s">
        <v>16</v>
      </c>
      <c r="G35" s="69" t="s">
        <v>17</v>
      </c>
      <c r="H35" s="89" t="s">
        <v>38</v>
      </c>
      <c r="I35" s="89" t="s">
        <v>24</v>
      </c>
      <c r="J35" s="61">
        <v>0.9</v>
      </c>
      <c r="K35" s="23">
        <f>CEART!K35+CAV!K35+CESFI!K35+CEFID!K35+CEAVI!K35+CCT!K35+ESAG!K35+FAED!K35+CEPLAN!K35+CEO!K35+CEAD!K35+CESMO!K35+CERES!K35+SCII!K35+BU!K35+PROEX!K35+MUSEU!K35+COVEST!K35+SECOM!K35</f>
        <v>5000</v>
      </c>
      <c r="L35" s="49">
        <f>CEART!L35+CAV!L35+CESFI!L35+CEFID!L35+CEAVI!L35+CCT!L35+ESAG!L35+FAED!L35+CEPLAN!L35+CEO!L35+CEAD!L35+CESMO!L35+CERES!L35+SCII!L35+BU!L35+PROEX!L35+MUSEU!L35+COVEST!L35+SECOM!L35</f>
        <v>0</v>
      </c>
      <c r="M35" s="49">
        <f>CEART!M35+CAV!M35+CESFI!M35+CEFID!M35+CEAVI!M35+CCT!M35+ESAG!M35+FAED!M35+CEPLAN!M35+CEO!M35+CEAD!M35+CESMO!M35+CERES!M35+SCII!M35+BU!M35+PROEX!M35+MUSEU!M35+COVEST!M35+SECOM!M35</f>
        <v>0</v>
      </c>
      <c r="N35" s="51">
        <f t="shared" si="5"/>
        <v>1250</v>
      </c>
      <c r="O35" s="50">
        <f>PROEX!P36+SECOM!P35+PROEX!Q36+SECOM!Q35+SCII!P35+SCII!Q35+BU!P35+BU!Q35+MUSEU!P35+MUSEU!Q35+ESAG!P35+ESAG!Q35+CEART!P35+CEART!Q35+FAED!P35+FAED!Q35+CEAD!P35+CEAD!Q35+CEFID!P35+CEFID!Q35+CAV!P35+CAV!Q35+CEO!P35+CEO!Q35+CEPLAN!P35+CEPLAN!Q35+CEAVI!P35+CEAVI!Q35+CCT!P35+CCT!Q35+CERES!P35+CERES!Q35+CESFI!P35+CESFI!Q35+CESMO!P35+CESMO!Q35</f>
        <v>0</v>
      </c>
      <c r="P35" s="32">
        <f t="shared" si="6"/>
        <v>5000</v>
      </c>
      <c r="Q35" s="33">
        <f t="shared" si="2"/>
        <v>4500</v>
      </c>
      <c r="R35" s="33">
        <f t="shared" si="3"/>
        <v>0</v>
      </c>
      <c r="S35" s="33">
        <f t="shared" si="4"/>
        <v>0</v>
      </c>
    </row>
    <row r="36" spans="1:19" x14ac:dyDescent="0.2">
      <c r="Q36" s="34">
        <f>SUM(Q4:Q35)</f>
        <v>1492406.02</v>
      </c>
    </row>
    <row r="38" spans="1:19" ht="15.75" x14ac:dyDescent="0.2">
      <c r="B38" s="14"/>
      <c r="C38" s="317" t="str">
        <f>A1</f>
        <v>PROCESSO: PE 630/2025 - SGPE 52651/2024</v>
      </c>
      <c r="D38" s="317"/>
      <c r="E38" s="317"/>
      <c r="F38" s="318"/>
    </row>
    <row r="39" spans="1:19" ht="15.75" x14ac:dyDescent="0.2">
      <c r="B39" s="15"/>
      <c r="C39" s="319" t="str">
        <f>D1</f>
        <v>OBJETO: Contratação de empresa especializada em Serviços Gráficos (IMPRESSOS ADAPTADOS, BANNERS, ADESIVOS, ENTRE OUTROS) – TODA UDESC</v>
      </c>
      <c r="D39" s="319"/>
      <c r="E39" s="319"/>
      <c r="F39" s="320"/>
    </row>
    <row r="40" spans="1:19" ht="15.75" x14ac:dyDescent="0.2">
      <c r="B40" s="16"/>
      <c r="C40" s="321" t="str">
        <f>K1</f>
        <v>VIGÊNCIA DA ATA: 29/05/2025 até 29/05/2026</v>
      </c>
      <c r="D40" s="321"/>
      <c r="E40" s="321"/>
      <c r="F40" s="322"/>
    </row>
    <row r="41" spans="1:19" ht="31.5" x14ac:dyDescent="0.25">
      <c r="B41" s="1" t="s">
        <v>29</v>
      </c>
      <c r="C41" s="2"/>
      <c r="D41" s="10"/>
      <c r="E41" s="2"/>
      <c r="F41" s="3">
        <f>Q33</f>
        <v>23400</v>
      </c>
    </row>
    <row r="42" spans="1:19" ht="15.75" x14ac:dyDescent="0.25">
      <c r="B42" s="4" t="s">
        <v>8</v>
      </c>
      <c r="C42" s="5"/>
      <c r="D42" s="11"/>
      <c r="E42" s="5"/>
      <c r="F42" s="6">
        <f>S33</f>
        <v>15834</v>
      </c>
    </row>
    <row r="43" spans="1:19" ht="15.75" x14ac:dyDescent="0.25">
      <c r="B43" s="4" t="s">
        <v>9</v>
      </c>
      <c r="C43" s="5"/>
      <c r="D43" s="11"/>
      <c r="E43" s="5"/>
      <c r="F43" s="7"/>
    </row>
    <row r="44" spans="1:19" ht="15.75" x14ac:dyDescent="0.25">
      <c r="B44" s="8" t="s">
        <v>10</v>
      </c>
      <c r="C44" s="9"/>
      <c r="D44" s="12"/>
      <c r="E44" s="9"/>
      <c r="F44" s="262">
        <f>F42/F41</f>
        <v>0.67666666666666664</v>
      </c>
    </row>
    <row r="45" spans="1:19" ht="15.75" x14ac:dyDescent="0.25">
      <c r="B45" s="323" t="s">
        <v>259</v>
      </c>
      <c r="C45" s="324"/>
      <c r="D45" s="324"/>
      <c r="E45" s="324"/>
      <c r="F45" s="13"/>
    </row>
  </sheetData>
  <mergeCells count="41">
    <mergeCell ref="A31:A32"/>
    <mergeCell ref="B31:B32"/>
    <mergeCell ref="D31:D32"/>
    <mergeCell ref="A34:A35"/>
    <mergeCell ref="B34:B35"/>
    <mergeCell ref="D34:D35"/>
    <mergeCell ref="A27:A28"/>
    <mergeCell ref="B27:B28"/>
    <mergeCell ref="D27:D28"/>
    <mergeCell ref="A29:A30"/>
    <mergeCell ref="B29:B30"/>
    <mergeCell ref="D29:D30"/>
    <mergeCell ref="D19:D20"/>
    <mergeCell ref="A23:A24"/>
    <mergeCell ref="B23:B24"/>
    <mergeCell ref="D23:D24"/>
    <mergeCell ref="A25:A26"/>
    <mergeCell ref="B25:B26"/>
    <mergeCell ref="D25:D26"/>
    <mergeCell ref="D11:D13"/>
    <mergeCell ref="A1:C1"/>
    <mergeCell ref="D1:J1"/>
    <mergeCell ref="A4:A8"/>
    <mergeCell ref="B4:B8"/>
    <mergeCell ref="D4:D8"/>
    <mergeCell ref="C38:F38"/>
    <mergeCell ref="C39:F39"/>
    <mergeCell ref="C40:F40"/>
    <mergeCell ref="B45:E45"/>
    <mergeCell ref="K1:S1"/>
    <mergeCell ref="A2:S2"/>
    <mergeCell ref="A14:A15"/>
    <mergeCell ref="B14:B15"/>
    <mergeCell ref="D14:D15"/>
    <mergeCell ref="A19:A20"/>
    <mergeCell ref="B19:B20"/>
    <mergeCell ref="A9:A10"/>
    <mergeCell ref="B9:B10"/>
    <mergeCell ref="D9:D10"/>
    <mergeCell ref="A11:A13"/>
    <mergeCell ref="B11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E957-0A11-4451-82F0-D047E9B72E1B}">
  <sheetPr>
    <tabColor rgb="FF00B0F0"/>
  </sheetPr>
  <dimension ref="A1:AJ45"/>
  <sheetViews>
    <sheetView topLeftCell="A16" zoomScale="80" zoomScaleNormal="80" workbookViewId="0">
      <selection activeCell="N46" sqref="N46"/>
    </sheetView>
  </sheetViews>
  <sheetFormatPr defaultColWidth="9.140625" defaultRowHeight="22.5" customHeight="1" x14ac:dyDescent="0.25"/>
  <cols>
    <col min="1" max="1" width="9.140625" style="164"/>
    <col min="2" max="2" width="25.28515625" style="164" customWidth="1"/>
    <col min="3" max="3" width="10" style="164" customWidth="1"/>
    <col min="4" max="4" width="36.42578125" style="164" customWidth="1"/>
    <col min="5" max="5" width="14" style="164" customWidth="1"/>
    <col min="6" max="6" width="10.42578125" style="164" customWidth="1"/>
    <col min="7" max="7" width="11.140625" style="164" customWidth="1"/>
    <col min="8" max="23" width="9.140625" style="164"/>
    <col min="24" max="24" width="17.28515625" style="164" customWidth="1"/>
    <col min="25" max="25" width="17.85546875" style="164" customWidth="1"/>
    <col min="26" max="26" width="16.7109375" style="164" customWidth="1"/>
    <col min="27" max="27" width="15.5703125" style="164" customWidth="1"/>
    <col min="28" max="36" width="13.140625" style="164" customWidth="1"/>
    <col min="37" max="16384" width="9.140625" style="164"/>
  </cols>
  <sheetData>
    <row r="1" spans="1:36" ht="42.95" customHeight="1" x14ac:dyDescent="0.25">
      <c r="A1" s="376" t="s">
        <v>133</v>
      </c>
      <c r="B1" s="376"/>
      <c r="C1" s="376"/>
      <c r="D1" s="377" t="s">
        <v>115</v>
      </c>
      <c r="E1" s="377"/>
      <c r="F1" s="378"/>
      <c r="G1" s="381" t="s">
        <v>116</v>
      </c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120" t="s">
        <v>112</v>
      </c>
      <c r="AA1" s="120" t="s">
        <v>113</v>
      </c>
      <c r="AB1" s="120" t="s">
        <v>113</v>
      </c>
      <c r="AC1" s="120" t="s">
        <v>113</v>
      </c>
      <c r="AD1" s="120" t="s">
        <v>113</v>
      </c>
      <c r="AE1" s="120" t="s">
        <v>113</v>
      </c>
      <c r="AF1" s="120" t="s">
        <v>113</v>
      </c>
      <c r="AG1" s="120" t="s">
        <v>113</v>
      </c>
      <c r="AH1" s="120" t="s">
        <v>113</v>
      </c>
      <c r="AI1" s="120" t="s">
        <v>112</v>
      </c>
      <c r="AJ1" s="120" t="s">
        <v>113</v>
      </c>
    </row>
    <row r="2" spans="1:36" ht="43.5" customHeight="1" thickBot="1" x14ac:dyDescent="0.3">
      <c r="A2" s="379" t="s">
        <v>256</v>
      </c>
      <c r="B2" s="380"/>
      <c r="C2" s="380"/>
      <c r="D2" s="380"/>
      <c r="E2" s="380"/>
      <c r="F2" s="380"/>
      <c r="G2" s="165"/>
      <c r="H2" s="383" t="s">
        <v>132</v>
      </c>
      <c r="I2" s="384"/>
      <c r="J2" s="385"/>
      <c r="K2" s="386" t="s">
        <v>161</v>
      </c>
      <c r="L2" s="387"/>
      <c r="M2" s="388"/>
      <c r="N2" s="389" t="s">
        <v>161</v>
      </c>
      <c r="O2" s="390"/>
      <c r="P2" s="391"/>
      <c r="Q2" s="392" t="s">
        <v>102</v>
      </c>
      <c r="R2" s="393"/>
      <c r="S2" s="394"/>
      <c r="T2" s="395" t="s">
        <v>103</v>
      </c>
      <c r="U2" s="395"/>
      <c r="V2" s="395"/>
      <c r="W2" s="395"/>
      <c r="X2" s="396" t="s">
        <v>104</v>
      </c>
      <c r="Y2" s="396"/>
      <c r="Z2" s="180" t="s">
        <v>132</v>
      </c>
      <c r="AA2" s="180" t="s">
        <v>161</v>
      </c>
      <c r="AB2" s="180" t="s">
        <v>161</v>
      </c>
      <c r="AC2" s="121" t="s">
        <v>114</v>
      </c>
      <c r="AD2" s="121" t="s">
        <v>114</v>
      </c>
      <c r="AE2" s="121" t="s">
        <v>114</v>
      </c>
      <c r="AF2" s="121" t="s">
        <v>114</v>
      </c>
      <c r="AG2" s="121" t="s">
        <v>114</v>
      </c>
      <c r="AH2" s="121" t="s">
        <v>114</v>
      </c>
      <c r="AI2" s="121" t="s">
        <v>114</v>
      </c>
      <c r="AJ2" s="121" t="s">
        <v>114</v>
      </c>
    </row>
    <row r="3" spans="1:36" ht="40.5" customHeight="1" x14ac:dyDescent="0.25">
      <c r="A3" s="166" t="s">
        <v>5</v>
      </c>
      <c r="B3" s="166" t="s">
        <v>18</v>
      </c>
      <c r="C3" s="167" t="s">
        <v>3</v>
      </c>
      <c r="D3" s="166" t="s">
        <v>13</v>
      </c>
      <c r="E3" s="168" t="s">
        <v>11</v>
      </c>
      <c r="F3" s="168" t="s">
        <v>4</v>
      </c>
      <c r="G3" s="103" t="s">
        <v>105</v>
      </c>
      <c r="H3" s="169" t="s">
        <v>106</v>
      </c>
      <c r="I3" s="170" t="s">
        <v>107</v>
      </c>
      <c r="J3" s="170" t="s">
        <v>108</v>
      </c>
      <c r="K3" s="171" t="s">
        <v>106</v>
      </c>
      <c r="L3" s="171" t="s">
        <v>107</v>
      </c>
      <c r="M3" s="171" t="s">
        <v>108</v>
      </c>
      <c r="N3" s="172" t="s">
        <v>106</v>
      </c>
      <c r="O3" s="172" t="s">
        <v>107</v>
      </c>
      <c r="P3" s="172" t="s">
        <v>108</v>
      </c>
      <c r="Q3" s="173" t="s">
        <v>106</v>
      </c>
      <c r="R3" s="174" t="s">
        <v>107</v>
      </c>
      <c r="S3" s="175" t="s">
        <v>108</v>
      </c>
      <c r="T3" s="176" t="s">
        <v>106</v>
      </c>
      <c r="U3" s="176" t="s">
        <v>109</v>
      </c>
      <c r="V3" s="176" t="s">
        <v>107</v>
      </c>
      <c r="W3" s="177" t="s">
        <v>108</v>
      </c>
      <c r="X3" s="104" t="s">
        <v>110</v>
      </c>
      <c r="Y3" s="104" t="s">
        <v>111</v>
      </c>
      <c r="Z3" s="179" t="s">
        <v>163</v>
      </c>
      <c r="AA3" s="179" t="s">
        <v>164</v>
      </c>
      <c r="AB3" s="179" t="s">
        <v>166</v>
      </c>
      <c r="AC3" s="122" t="s">
        <v>165</v>
      </c>
      <c r="AD3" s="122" t="s">
        <v>165</v>
      </c>
      <c r="AE3" s="122" t="s">
        <v>165</v>
      </c>
      <c r="AF3" s="122" t="s">
        <v>165</v>
      </c>
      <c r="AG3" s="122" t="s">
        <v>165</v>
      </c>
      <c r="AH3" s="122" t="s">
        <v>165</v>
      </c>
      <c r="AI3" s="122" t="s">
        <v>165</v>
      </c>
      <c r="AJ3" s="122" t="s">
        <v>165</v>
      </c>
    </row>
    <row r="4" spans="1:36" ht="22.5" customHeight="1" x14ac:dyDescent="0.25">
      <c r="A4" s="370">
        <v>1</v>
      </c>
      <c r="B4" s="370" t="s">
        <v>73</v>
      </c>
      <c r="C4" s="145">
        <v>1</v>
      </c>
      <c r="D4" s="354" t="s">
        <v>74</v>
      </c>
      <c r="E4" s="146" t="s">
        <v>31</v>
      </c>
      <c r="F4" s="145" t="s">
        <v>4</v>
      </c>
      <c r="G4" s="105">
        <f>'GESTOR '!K4</f>
        <v>277</v>
      </c>
      <c r="H4" s="106">
        <f>IF(ROUNDDOWN($G4*0.5,0)&gt;$W4,$W4,ROUNDDOWN($G4*0.5,0))</f>
        <v>138</v>
      </c>
      <c r="I4" s="107">
        <f>SUMIF($Z$2:$AJ$2,$H$2,Z4:AJ4)</f>
        <v>0</v>
      </c>
      <c r="J4" s="107">
        <f>H4-I4</f>
        <v>138</v>
      </c>
      <c r="K4" s="108">
        <f>IF(ROUNDDOWN($G4*0.5,0)&gt;$W4,$W4,ROUNDDOWN($G4*0.5,0))</f>
        <v>138</v>
      </c>
      <c r="L4" s="109">
        <f>SUMIF($Z$2:$AJ$2,$K$2,Z4:AJ4)</f>
        <v>0</v>
      </c>
      <c r="M4" s="109">
        <f>K4-L4</f>
        <v>138</v>
      </c>
      <c r="N4" s="110">
        <f>IF(ROUNDDOWN($G4*0.5,0)&gt;$W4,$W4,ROUNDDOWN($G4*0.5,0))</f>
        <v>138</v>
      </c>
      <c r="O4" s="111">
        <f>SUMIF($Z$2:$AJ$2,$N$2,Z4:AJ4)</f>
        <v>0</v>
      </c>
      <c r="P4" s="111">
        <f>N4-O4</f>
        <v>138</v>
      </c>
      <c r="Q4" s="112">
        <f>IF(ROUNDDOWN($G4*0.5,0)&gt;$W4,$W4,ROUNDDOWN($G4*0.5,0))</f>
        <v>138</v>
      </c>
      <c r="R4" s="113">
        <f>SUMIF($Z$2:$AJ$2,$Q$2,Z4:AJ4)</f>
        <v>0</v>
      </c>
      <c r="S4" s="114">
        <f>Q4-R4</f>
        <v>138</v>
      </c>
      <c r="T4" s="115">
        <f>G4*2</f>
        <v>554</v>
      </c>
      <c r="U4" s="116">
        <v>0</v>
      </c>
      <c r="V4" s="116">
        <f>(SUM(Z4:AJ4))</f>
        <v>0</v>
      </c>
      <c r="W4" s="117">
        <f>T4-V4-U4</f>
        <v>554</v>
      </c>
      <c r="X4" s="118">
        <v>11.07</v>
      </c>
      <c r="Y4" s="118">
        <f t="shared" ref="Y4:Y35" si="0">X4*G4</f>
        <v>3066.39</v>
      </c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</row>
    <row r="5" spans="1:36" ht="22.5" customHeight="1" x14ac:dyDescent="0.25">
      <c r="A5" s="371"/>
      <c r="B5" s="371"/>
      <c r="C5" s="145">
        <v>2</v>
      </c>
      <c r="D5" s="354"/>
      <c r="E5" s="146" t="s">
        <v>32</v>
      </c>
      <c r="F5" s="145" t="s">
        <v>4</v>
      </c>
      <c r="G5" s="105">
        <f>'GESTOR '!K5</f>
        <v>1012</v>
      </c>
      <c r="H5" s="106">
        <f t="shared" ref="H5:H35" si="1">IF(ROUNDDOWN($G5*0.5,0)&gt;$W5,$W5,ROUNDDOWN($G5*0.5,0))</f>
        <v>506</v>
      </c>
      <c r="I5" s="107">
        <f t="shared" ref="I5:I35" si="2">SUMIF($Z$2:$AJ$2,$H$2,Z5:AJ5)</f>
        <v>0</v>
      </c>
      <c r="J5" s="107">
        <f t="shared" ref="J5:J35" si="3">H5-I5</f>
        <v>506</v>
      </c>
      <c r="K5" s="108">
        <f t="shared" ref="K5:K35" si="4">IF(ROUNDDOWN($G5*0.5,0)&gt;$W5,$W5,ROUNDDOWN($G5*0.5,0))</f>
        <v>506</v>
      </c>
      <c r="L5" s="109">
        <f t="shared" ref="L5:L35" si="5">SUMIF($Z$2:$AJ$2,$K$2,Z5:AJ5)</f>
        <v>0</v>
      </c>
      <c r="M5" s="109">
        <f t="shared" ref="M5:M35" si="6">K5-L5</f>
        <v>506</v>
      </c>
      <c r="N5" s="110">
        <f t="shared" ref="N5:N35" si="7">IF(ROUNDDOWN($G5*0.5,0)&gt;$W5,$W5,ROUNDDOWN($G5*0.5,0))</f>
        <v>506</v>
      </c>
      <c r="O5" s="111">
        <f t="shared" ref="O5:O35" si="8">SUMIF($Z$2:$AJ$2,$N$2,Z5:AJ5)</f>
        <v>0</v>
      </c>
      <c r="P5" s="111">
        <f t="shared" ref="P5:P35" si="9">N5-O5</f>
        <v>506</v>
      </c>
      <c r="Q5" s="112">
        <f t="shared" ref="Q5:Q35" si="10">IF(ROUNDDOWN($G5*0.5,0)&gt;$W5,$W5,ROUNDDOWN($G5*0.5,0))</f>
        <v>506</v>
      </c>
      <c r="R5" s="113">
        <f t="shared" ref="R5:R35" si="11">SUMIF($Z$2:$AJ$2,$Q$2,Z5:AJ5)</f>
        <v>0</v>
      </c>
      <c r="S5" s="114">
        <f t="shared" ref="S5:S35" si="12">Q5-R5</f>
        <v>506</v>
      </c>
      <c r="T5" s="115">
        <f t="shared" ref="T5:T35" si="13">G5*2</f>
        <v>2024</v>
      </c>
      <c r="U5" s="116">
        <v>0</v>
      </c>
      <c r="V5" s="119">
        <f t="shared" ref="V5:V35" si="14">(SUM(Z5:AG5))</f>
        <v>0</v>
      </c>
      <c r="W5" s="117">
        <f t="shared" ref="W5:W35" si="15">T5-V5-U5</f>
        <v>2024</v>
      </c>
      <c r="X5" s="118">
        <v>35.35</v>
      </c>
      <c r="Y5" s="118">
        <f t="shared" si="0"/>
        <v>35774.200000000004</v>
      </c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1:36" ht="22.5" customHeight="1" x14ac:dyDescent="0.25">
      <c r="A6" s="371"/>
      <c r="B6" s="371"/>
      <c r="C6" s="145">
        <v>3</v>
      </c>
      <c r="D6" s="354"/>
      <c r="E6" s="146" t="s">
        <v>33</v>
      </c>
      <c r="F6" s="145" t="s">
        <v>4</v>
      </c>
      <c r="G6" s="105">
        <f>'GESTOR '!K6</f>
        <v>308</v>
      </c>
      <c r="H6" s="106">
        <f t="shared" si="1"/>
        <v>154</v>
      </c>
      <c r="I6" s="107">
        <f t="shared" si="2"/>
        <v>0</v>
      </c>
      <c r="J6" s="107">
        <f t="shared" si="3"/>
        <v>154</v>
      </c>
      <c r="K6" s="108">
        <f t="shared" si="4"/>
        <v>154</v>
      </c>
      <c r="L6" s="109">
        <f t="shared" si="5"/>
        <v>0</v>
      </c>
      <c r="M6" s="109">
        <f t="shared" si="6"/>
        <v>154</v>
      </c>
      <c r="N6" s="110">
        <f t="shared" si="7"/>
        <v>154</v>
      </c>
      <c r="O6" s="111">
        <f t="shared" si="8"/>
        <v>0</v>
      </c>
      <c r="P6" s="111">
        <f t="shared" si="9"/>
        <v>154</v>
      </c>
      <c r="Q6" s="112">
        <f t="shared" si="10"/>
        <v>154</v>
      </c>
      <c r="R6" s="113">
        <f t="shared" si="11"/>
        <v>0</v>
      </c>
      <c r="S6" s="114">
        <f t="shared" si="12"/>
        <v>154</v>
      </c>
      <c r="T6" s="115">
        <f t="shared" si="13"/>
        <v>616</v>
      </c>
      <c r="U6" s="116">
        <v>0</v>
      </c>
      <c r="V6" s="119">
        <f t="shared" si="14"/>
        <v>0</v>
      </c>
      <c r="W6" s="117">
        <f t="shared" si="15"/>
        <v>616</v>
      </c>
      <c r="X6" s="118">
        <v>43</v>
      </c>
      <c r="Y6" s="118">
        <f t="shared" si="0"/>
        <v>13244</v>
      </c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</row>
    <row r="7" spans="1:36" ht="22.5" customHeight="1" x14ac:dyDescent="0.25">
      <c r="A7" s="371"/>
      <c r="B7" s="371"/>
      <c r="C7" s="145">
        <v>4</v>
      </c>
      <c r="D7" s="354"/>
      <c r="E7" s="146" t="s">
        <v>34</v>
      </c>
      <c r="F7" s="145" t="s">
        <v>4</v>
      </c>
      <c r="G7" s="105">
        <f>'GESTOR '!K7</f>
        <v>306</v>
      </c>
      <c r="H7" s="106">
        <f t="shared" si="1"/>
        <v>153</v>
      </c>
      <c r="I7" s="107">
        <f t="shared" si="2"/>
        <v>0</v>
      </c>
      <c r="J7" s="107">
        <f t="shared" si="3"/>
        <v>153</v>
      </c>
      <c r="K7" s="108">
        <f t="shared" si="4"/>
        <v>153</v>
      </c>
      <c r="L7" s="109">
        <f t="shared" si="5"/>
        <v>0</v>
      </c>
      <c r="M7" s="109">
        <f t="shared" si="6"/>
        <v>153</v>
      </c>
      <c r="N7" s="110">
        <f t="shared" si="7"/>
        <v>153</v>
      </c>
      <c r="O7" s="111">
        <f t="shared" si="8"/>
        <v>0</v>
      </c>
      <c r="P7" s="111">
        <f t="shared" si="9"/>
        <v>153</v>
      </c>
      <c r="Q7" s="112">
        <f t="shared" si="10"/>
        <v>153</v>
      </c>
      <c r="R7" s="113">
        <f t="shared" si="11"/>
        <v>0</v>
      </c>
      <c r="S7" s="114">
        <f t="shared" si="12"/>
        <v>153</v>
      </c>
      <c r="T7" s="115">
        <f t="shared" si="13"/>
        <v>612</v>
      </c>
      <c r="U7" s="116">
        <v>0</v>
      </c>
      <c r="V7" s="119">
        <f t="shared" si="14"/>
        <v>0</v>
      </c>
      <c r="W7" s="117">
        <f t="shared" si="15"/>
        <v>612</v>
      </c>
      <c r="X7" s="118">
        <v>61.01</v>
      </c>
      <c r="Y7" s="118">
        <f t="shared" si="0"/>
        <v>18669.059999999998</v>
      </c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</row>
    <row r="8" spans="1:36" ht="22.5" customHeight="1" x14ac:dyDescent="0.25">
      <c r="A8" s="372"/>
      <c r="B8" s="372"/>
      <c r="C8" s="145">
        <v>5</v>
      </c>
      <c r="D8" s="354"/>
      <c r="E8" s="146" t="s">
        <v>35</v>
      </c>
      <c r="F8" s="145" t="s">
        <v>4</v>
      </c>
      <c r="G8" s="105">
        <f>'GESTOR '!K8</f>
        <v>2257</v>
      </c>
      <c r="H8" s="106">
        <f t="shared" si="1"/>
        <v>1128</v>
      </c>
      <c r="I8" s="107">
        <f t="shared" si="2"/>
        <v>0</v>
      </c>
      <c r="J8" s="107">
        <f t="shared" si="3"/>
        <v>1128</v>
      </c>
      <c r="K8" s="108">
        <f t="shared" si="4"/>
        <v>1128</v>
      </c>
      <c r="L8" s="109">
        <f t="shared" si="5"/>
        <v>0</v>
      </c>
      <c r="M8" s="109">
        <f t="shared" si="6"/>
        <v>1128</v>
      </c>
      <c r="N8" s="110">
        <f t="shared" si="7"/>
        <v>1128</v>
      </c>
      <c r="O8" s="111">
        <f t="shared" si="8"/>
        <v>0</v>
      </c>
      <c r="P8" s="111">
        <f t="shared" si="9"/>
        <v>1128</v>
      </c>
      <c r="Q8" s="112">
        <f t="shared" si="10"/>
        <v>1128</v>
      </c>
      <c r="R8" s="113">
        <f t="shared" si="11"/>
        <v>0</v>
      </c>
      <c r="S8" s="114">
        <f t="shared" si="12"/>
        <v>1128</v>
      </c>
      <c r="T8" s="115">
        <f t="shared" si="13"/>
        <v>4514</v>
      </c>
      <c r="U8" s="116">
        <v>0</v>
      </c>
      <c r="V8" s="119">
        <f t="shared" si="14"/>
        <v>0</v>
      </c>
      <c r="W8" s="117">
        <f t="shared" si="15"/>
        <v>4514</v>
      </c>
      <c r="X8" s="118">
        <v>26.25</v>
      </c>
      <c r="Y8" s="118">
        <f t="shared" si="0"/>
        <v>59246.25</v>
      </c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</row>
    <row r="9" spans="1:36" ht="22.5" customHeight="1" x14ac:dyDescent="0.25">
      <c r="A9" s="368">
        <v>2</v>
      </c>
      <c r="B9" s="368" t="s">
        <v>75</v>
      </c>
      <c r="C9" s="147" t="s">
        <v>76</v>
      </c>
      <c r="D9" s="364" t="s">
        <v>77</v>
      </c>
      <c r="E9" s="148" t="s">
        <v>31</v>
      </c>
      <c r="F9" s="147" t="s">
        <v>4</v>
      </c>
      <c r="G9" s="105">
        <f>'GESTOR '!K9</f>
        <v>234</v>
      </c>
      <c r="H9" s="106">
        <f t="shared" si="1"/>
        <v>117</v>
      </c>
      <c r="I9" s="107">
        <f t="shared" si="2"/>
        <v>0</v>
      </c>
      <c r="J9" s="107">
        <f t="shared" si="3"/>
        <v>117</v>
      </c>
      <c r="K9" s="108">
        <f t="shared" si="4"/>
        <v>117</v>
      </c>
      <c r="L9" s="109">
        <f t="shared" si="5"/>
        <v>0</v>
      </c>
      <c r="M9" s="109">
        <f t="shared" si="6"/>
        <v>117</v>
      </c>
      <c r="N9" s="110">
        <f t="shared" si="7"/>
        <v>117</v>
      </c>
      <c r="O9" s="111">
        <f t="shared" si="8"/>
        <v>0</v>
      </c>
      <c r="P9" s="111">
        <f t="shared" si="9"/>
        <v>117</v>
      </c>
      <c r="Q9" s="112">
        <f t="shared" si="10"/>
        <v>117</v>
      </c>
      <c r="R9" s="113">
        <f t="shared" si="11"/>
        <v>0</v>
      </c>
      <c r="S9" s="114">
        <f t="shared" si="12"/>
        <v>117</v>
      </c>
      <c r="T9" s="115">
        <f t="shared" si="13"/>
        <v>468</v>
      </c>
      <c r="U9" s="116">
        <v>0</v>
      </c>
      <c r="V9" s="119">
        <f t="shared" si="14"/>
        <v>0</v>
      </c>
      <c r="W9" s="117">
        <f t="shared" si="15"/>
        <v>468</v>
      </c>
      <c r="X9" s="118">
        <v>10.01</v>
      </c>
      <c r="Y9" s="118">
        <f t="shared" si="0"/>
        <v>2342.34</v>
      </c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</row>
    <row r="10" spans="1:36" ht="22.5" customHeight="1" x14ac:dyDescent="0.25">
      <c r="A10" s="369"/>
      <c r="B10" s="369"/>
      <c r="C10" s="147">
        <v>7</v>
      </c>
      <c r="D10" s="364"/>
      <c r="E10" s="148" t="s">
        <v>36</v>
      </c>
      <c r="F10" s="147" t="s">
        <v>4</v>
      </c>
      <c r="G10" s="105">
        <f>'GESTOR '!K10</f>
        <v>505</v>
      </c>
      <c r="H10" s="106">
        <f t="shared" si="1"/>
        <v>252</v>
      </c>
      <c r="I10" s="107">
        <f t="shared" si="2"/>
        <v>0</v>
      </c>
      <c r="J10" s="107">
        <f t="shared" si="3"/>
        <v>252</v>
      </c>
      <c r="K10" s="108">
        <f t="shared" si="4"/>
        <v>252</v>
      </c>
      <c r="L10" s="109">
        <f t="shared" si="5"/>
        <v>0</v>
      </c>
      <c r="M10" s="109">
        <f t="shared" si="6"/>
        <v>252</v>
      </c>
      <c r="N10" s="110">
        <f t="shared" si="7"/>
        <v>252</v>
      </c>
      <c r="O10" s="111">
        <f t="shared" si="8"/>
        <v>0</v>
      </c>
      <c r="P10" s="111">
        <f t="shared" si="9"/>
        <v>252</v>
      </c>
      <c r="Q10" s="112">
        <f t="shared" si="10"/>
        <v>252</v>
      </c>
      <c r="R10" s="113">
        <f t="shared" si="11"/>
        <v>0</v>
      </c>
      <c r="S10" s="114">
        <f t="shared" si="12"/>
        <v>252</v>
      </c>
      <c r="T10" s="115">
        <f t="shared" si="13"/>
        <v>1010</v>
      </c>
      <c r="U10" s="116">
        <v>0</v>
      </c>
      <c r="V10" s="119">
        <f t="shared" si="14"/>
        <v>0</v>
      </c>
      <c r="W10" s="117">
        <f t="shared" si="15"/>
        <v>1010</v>
      </c>
      <c r="X10" s="118">
        <v>49.81</v>
      </c>
      <c r="Y10" s="118">
        <f t="shared" si="0"/>
        <v>25154.050000000003</v>
      </c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</row>
    <row r="11" spans="1:36" ht="22.5" customHeight="1" x14ac:dyDescent="0.25">
      <c r="A11" s="370">
        <v>3</v>
      </c>
      <c r="B11" s="373" t="s">
        <v>117</v>
      </c>
      <c r="C11" s="145">
        <v>8</v>
      </c>
      <c r="D11" s="374" t="s">
        <v>78</v>
      </c>
      <c r="E11" s="146" t="s">
        <v>39</v>
      </c>
      <c r="F11" s="145" t="s">
        <v>4</v>
      </c>
      <c r="G11" s="105">
        <f>'GESTOR '!K11</f>
        <v>105</v>
      </c>
      <c r="H11" s="106">
        <f t="shared" si="1"/>
        <v>52</v>
      </c>
      <c r="I11" s="107">
        <f t="shared" si="2"/>
        <v>0</v>
      </c>
      <c r="J11" s="107">
        <f t="shared" si="3"/>
        <v>52</v>
      </c>
      <c r="K11" s="108">
        <f t="shared" si="4"/>
        <v>52</v>
      </c>
      <c r="L11" s="109">
        <f t="shared" si="5"/>
        <v>0</v>
      </c>
      <c r="M11" s="109">
        <f t="shared" si="6"/>
        <v>52</v>
      </c>
      <c r="N11" s="110">
        <f t="shared" si="7"/>
        <v>52</v>
      </c>
      <c r="O11" s="111">
        <f t="shared" si="8"/>
        <v>0</v>
      </c>
      <c r="P11" s="111">
        <f t="shared" si="9"/>
        <v>52</v>
      </c>
      <c r="Q11" s="112">
        <f t="shared" si="10"/>
        <v>52</v>
      </c>
      <c r="R11" s="113">
        <f t="shared" si="11"/>
        <v>0</v>
      </c>
      <c r="S11" s="114">
        <f t="shared" si="12"/>
        <v>52</v>
      </c>
      <c r="T11" s="115">
        <f t="shared" si="13"/>
        <v>210</v>
      </c>
      <c r="U11" s="116">
        <v>0</v>
      </c>
      <c r="V11" s="119">
        <f t="shared" si="14"/>
        <v>0</v>
      </c>
      <c r="W11" s="117">
        <f t="shared" si="15"/>
        <v>210</v>
      </c>
      <c r="X11" s="118">
        <v>199.83</v>
      </c>
      <c r="Y11" s="118">
        <f t="shared" si="0"/>
        <v>20982.15</v>
      </c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</row>
    <row r="12" spans="1:36" ht="22.5" customHeight="1" x14ac:dyDescent="0.25">
      <c r="A12" s="371"/>
      <c r="B12" s="371"/>
      <c r="C12" s="145">
        <v>9</v>
      </c>
      <c r="D12" s="375"/>
      <c r="E12" s="146" t="s">
        <v>40</v>
      </c>
      <c r="F12" s="145" t="s">
        <v>4</v>
      </c>
      <c r="G12" s="105">
        <f>'GESTOR '!K12</f>
        <v>81</v>
      </c>
      <c r="H12" s="106">
        <f t="shared" si="1"/>
        <v>40</v>
      </c>
      <c r="I12" s="107">
        <f t="shared" si="2"/>
        <v>0</v>
      </c>
      <c r="J12" s="107">
        <f t="shared" si="3"/>
        <v>40</v>
      </c>
      <c r="K12" s="108">
        <f t="shared" si="4"/>
        <v>40</v>
      </c>
      <c r="L12" s="109">
        <f t="shared" si="5"/>
        <v>0</v>
      </c>
      <c r="M12" s="109">
        <f t="shared" si="6"/>
        <v>40</v>
      </c>
      <c r="N12" s="110">
        <f t="shared" si="7"/>
        <v>40</v>
      </c>
      <c r="O12" s="111">
        <f t="shared" si="8"/>
        <v>0</v>
      </c>
      <c r="P12" s="111">
        <f t="shared" si="9"/>
        <v>40</v>
      </c>
      <c r="Q12" s="112">
        <f t="shared" si="10"/>
        <v>40</v>
      </c>
      <c r="R12" s="113">
        <f t="shared" si="11"/>
        <v>0</v>
      </c>
      <c r="S12" s="114">
        <f t="shared" si="12"/>
        <v>40</v>
      </c>
      <c r="T12" s="115">
        <f t="shared" si="13"/>
        <v>162</v>
      </c>
      <c r="U12" s="116">
        <v>0</v>
      </c>
      <c r="V12" s="119">
        <f t="shared" si="14"/>
        <v>0</v>
      </c>
      <c r="W12" s="117">
        <f t="shared" si="15"/>
        <v>162</v>
      </c>
      <c r="X12" s="118">
        <v>2456.9899999999998</v>
      </c>
      <c r="Y12" s="118">
        <f t="shared" si="0"/>
        <v>199016.18999999997</v>
      </c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</row>
    <row r="13" spans="1:36" ht="42.95" customHeight="1" x14ac:dyDescent="0.25">
      <c r="A13" s="372"/>
      <c r="B13" s="372"/>
      <c r="C13" s="145">
        <v>10</v>
      </c>
      <c r="D13" s="375"/>
      <c r="E13" s="204" t="s">
        <v>41</v>
      </c>
      <c r="F13" s="145" t="s">
        <v>4</v>
      </c>
      <c r="G13" s="105">
        <f>'GESTOR '!K13</f>
        <v>110</v>
      </c>
      <c r="H13" s="106">
        <f t="shared" si="1"/>
        <v>55</v>
      </c>
      <c r="I13" s="107">
        <f t="shared" si="2"/>
        <v>0</v>
      </c>
      <c r="J13" s="107">
        <f t="shared" si="3"/>
        <v>55</v>
      </c>
      <c r="K13" s="108">
        <f t="shared" si="4"/>
        <v>55</v>
      </c>
      <c r="L13" s="109">
        <f t="shared" si="5"/>
        <v>2</v>
      </c>
      <c r="M13" s="109">
        <f t="shared" si="6"/>
        <v>53</v>
      </c>
      <c r="N13" s="110">
        <f t="shared" si="7"/>
        <v>55</v>
      </c>
      <c r="O13" s="111">
        <f t="shared" si="8"/>
        <v>2</v>
      </c>
      <c r="P13" s="111">
        <f t="shared" si="9"/>
        <v>53</v>
      </c>
      <c r="Q13" s="112">
        <f t="shared" si="10"/>
        <v>55</v>
      </c>
      <c r="R13" s="113">
        <f t="shared" si="11"/>
        <v>0</v>
      </c>
      <c r="S13" s="114">
        <f t="shared" si="12"/>
        <v>55</v>
      </c>
      <c r="T13" s="115">
        <f t="shared" si="13"/>
        <v>220</v>
      </c>
      <c r="U13" s="116">
        <v>0</v>
      </c>
      <c r="V13" s="119">
        <f t="shared" si="14"/>
        <v>2</v>
      </c>
      <c r="W13" s="117">
        <f t="shared" si="15"/>
        <v>218</v>
      </c>
      <c r="X13" s="118">
        <v>3000</v>
      </c>
      <c r="Y13" s="118">
        <f t="shared" si="0"/>
        <v>330000</v>
      </c>
      <c r="Z13" s="199"/>
      <c r="AA13" s="199"/>
      <c r="AB13" s="199">
        <v>2</v>
      </c>
      <c r="AC13" s="199"/>
      <c r="AD13" s="199"/>
      <c r="AE13" s="199"/>
      <c r="AF13" s="199"/>
      <c r="AG13" s="199"/>
      <c r="AH13" s="199"/>
      <c r="AI13" s="199"/>
      <c r="AJ13" s="199"/>
    </row>
    <row r="14" spans="1:36" ht="22.5" customHeight="1" x14ac:dyDescent="0.25">
      <c r="A14" s="368">
        <v>4</v>
      </c>
      <c r="B14" s="368" t="s">
        <v>73</v>
      </c>
      <c r="C14" s="147">
        <v>11</v>
      </c>
      <c r="D14" s="364" t="s">
        <v>79</v>
      </c>
      <c r="E14" s="148" t="s">
        <v>42</v>
      </c>
      <c r="F14" s="147" t="s">
        <v>98</v>
      </c>
      <c r="G14" s="105">
        <f>'GESTOR '!K14</f>
        <v>1304</v>
      </c>
      <c r="H14" s="106">
        <f t="shared" si="1"/>
        <v>652</v>
      </c>
      <c r="I14" s="107">
        <f t="shared" si="2"/>
        <v>0</v>
      </c>
      <c r="J14" s="107">
        <f t="shared" si="3"/>
        <v>652</v>
      </c>
      <c r="K14" s="108">
        <f t="shared" si="4"/>
        <v>652</v>
      </c>
      <c r="L14" s="109">
        <f t="shared" si="5"/>
        <v>0</v>
      </c>
      <c r="M14" s="109">
        <f t="shared" si="6"/>
        <v>652</v>
      </c>
      <c r="N14" s="110">
        <f t="shared" si="7"/>
        <v>652</v>
      </c>
      <c r="O14" s="111">
        <f t="shared" si="8"/>
        <v>0</v>
      </c>
      <c r="P14" s="111">
        <f t="shared" si="9"/>
        <v>652</v>
      </c>
      <c r="Q14" s="112">
        <f t="shared" si="10"/>
        <v>652</v>
      </c>
      <c r="R14" s="113">
        <f t="shared" si="11"/>
        <v>0</v>
      </c>
      <c r="S14" s="114">
        <f t="shared" si="12"/>
        <v>652</v>
      </c>
      <c r="T14" s="115">
        <f t="shared" si="13"/>
        <v>2608</v>
      </c>
      <c r="U14" s="116">
        <v>0</v>
      </c>
      <c r="V14" s="119">
        <f t="shared" si="14"/>
        <v>0</v>
      </c>
      <c r="W14" s="117">
        <f t="shared" si="15"/>
        <v>2608</v>
      </c>
      <c r="X14" s="118">
        <v>29.86</v>
      </c>
      <c r="Y14" s="118">
        <f t="shared" si="0"/>
        <v>38937.440000000002</v>
      </c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</row>
    <row r="15" spans="1:36" ht="22.5" customHeight="1" x14ac:dyDescent="0.25">
      <c r="A15" s="369"/>
      <c r="B15" s="369"/>
      <c r="C15" s="147">
        <v>12</v>
      </c>
      <c r="D15" s="364"/>
      <c r="E15" s="148" t="s">
        <v>43</v>
      </c>
      <c r="F15" s="147" t="s">
        <v>4</v>
      </c>
      <c r="G15" s="105">
        <f>'GESTOR '!K15</f>
        <v>444</v>
      </c>
      <c r="H15" s="106">
        <f t="shared" si="1"/>
        <v>222</v>
      </c>
      <c r="I15" s="107">
        <f t="shared" si="2"/>
        <v>0</v>
      </c>
      <c r="J15" s="107">
        <f t="shared" si="3"/>
        <v>222</v>
      </c>
      <c r="K15" s="108">
        <f t="shared" si="4"/>
        <v>222</v>
      </c>
      <c r="L15" s="109">
        <f t="shared" si="5"/>
        <v>0</v>
      </c>
      <c r="M15" s="109">
        <f t="shared" si="6"/>
        <v>222</v>
      </c>
      <c r="N15" s="110">
        <f t="shared" si="7"/>
        <v>222</v>
      </c>
      <c r="O15" s="111">
        <f t="shared" si="8"/>
        <v>0</v>
      </c>
      <c r="P15" s="111">
        <f t="shared" si="9"/>
        <v>222</v>
      </c>
      <c r="Q15" s="112">
        <f t="shared" si="10"/>
        <v>222</v>
      </c>
      <c r="R15" s="113">
        <f t="shared" si="11"/>
        <v>0</v>
      </c>
      <c r="S15" s="114">
        <f t="shared" si="12"/>
        <v>222</v>
      </c>
      <c r="T15" s="115">
        <f t="shared" si="13"/>
        <v>888</v>
      </c>
      <c r="U15" s="116">
        <v>0</v>
      </c>
      <c r="V15" s="119">
        <f t="shared" si="14"/>
        <v>0</v>
      </c>
      <c r="W15" s="117">
        <f t="shared" si="15"/>
        <v>888</v>
      </c>
      <c r="X15" s="118">
        <v>17.93</v>
      </c>
      <c r="Y15" s="118">
        <f t="shared" si="0"/>
        <v>7960.92</v>
      </c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</row>
    <row r="16" spans="1:36" ht="22.5" customHeight="1" x14ac:dyDescent="0.25">
      <c r="A16" s="149">
        <v>5</v>
      </c>
      <c r="B16" s="149" t="s">
        <v>75</v>
      </c>
      <c r="C16" s="145">
        <v>13</v>
      </c>
      <c r="D16" s="150" t="s">
        <v>80</v>
      </c>
      <c r="E16" s="146" t="s">
        <v>44</v>
      </c>
      <c r="F16" s="151" t="s">
        <v>98</v>
      </c>
      <c r="G16" s="105">
        <f>'GESTOR '!K16</f>
        <v>1391</v>
      </c>
      <c r="H16" s="106">
        <f t="shared" si="1"/>
        <v>695</v>
      </c>
      <c r="I16" s="107">
        <f t="shared" si="2"/>
        <v>0</v>
      </c>
      <c r="J16" s="107">
        <f t="shared" si="3"/>
        <v>695</v>
      </c>
      <c r="K16" s="108">
        <f t="shared" si="4"/>
        <v>695</v>
      </c>
      <c r="L16" s="109">
        <f t="shared" si="5"/>
        <v>0</v>
      </c>
      <c r="M16" s="109">
        <f t="shared" si="6"/>
        <v>695</v>
      </c>
      <c r="N16" s="110">
        <f t="shared" si="7"/>
        <v>695</v>
      </c>
      <c r="O16" s="111">
        <f t="shared" si="8"/>
        <v>0</v>
      </c>
      <c r="P16" s="111">
        <f t="shared" si="9"/>
        <v>695</v>
      </c>
      <c r="Q16" s="112">
        <f t="shared" si="10"/>
        <v>695</v>
      </c>
      <c r="R16" s="113">
        <f t="shared" si="11"/>
        <v>0</v>
      </c>
      <c r="S16" s="114">
        <f t="shared" si="12"/>
        <v>695</v>
      </c>
      <c r="T16" s="115">
        <f t="shared" si="13"/>
        <v>2782</v>
      </c>
      <c r="U16" s="116">
        <v>0</v>
      </c>
      <c r="V16" s="119">
        <f t="shared" si="14"/>
        <v>0</v>
      </c>
      <c r="W16" s="117">
        <f t="shared" si="15"/>
        <v>2782</v>
      </c>
      <c r="X16" s="118">
        <v>43.49</v>
      </c>
      <c r="Y16" s="118">
        <f t="shared" si="0"/>
        <v>60494.590000000004</v>
      </c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</row>
    <row r="17" spans="1:36" ht="22.5" customHeight="1" x14ac:dyDescent="0.25">
      <c r="A17" s="152">
        <v>6</v>
      </c>
      <c r="B17" s="152" t="s">
        <v>81</v>
      </c>
      <c r="C17" s="147">
        <v>14</v>
      </c>
      <c r="D17" s="153" t="s">
        <v>82</v>
      </c>
      <c r="E17" s="148" t="s">
        <v>45</v>
      </c>
      <c r="F17" s="147" t="s">
        <v>4</v>
      </c>
      <c r="G17" s="105">
        <f>'GESTOR '!K17</f>
        <v>4610</v>
      </c>
      <c r="H17" s="106">
        <f t="shared" si="1"/>
        <v>2305</v>
      </c>
      <c r="I17" s="107">
        <f t="shared" si="2"/>
        <v>0</v>
      </c>
      <c r="J17" s="107">
        <f t="shared" si="3"/>
        <v>2305</v>
      </c>
      <c r="K17" s="108">
        <f t="shared" si="4"/>
        <v>2305</v>
      </c>
      <c r="L17" s="109">
        <f t="shared" si="5"/>
        <v>0</v>
      </c>
      <c r="M17" s="109">
        <f t="shared" si="6"/>
        <v>2305</v>
      </c>
      <c r="N17" s="110">
        <f t="shared" si="7"/>
        <v>2305</v>
      </c>
      <c r="O17" s="111">
        <f t="shared" si="8"/>
        <v>0</v>
      </c>
      <c r="P17" s="111">
        <f t="shared" si="9"/>
        <v>2305</v>
      </c>
      <c r="Q17" s="112">
        <f t="shared" si="10"/>
        <v>2305</v>
      </c>
      <c r="R17" s="113">
        <f t="shared" si="11"/>
        <v>0</v>
      </c>
      <c r="S17" s="114">
        <f t="shared" si="12"/>
        <v>2305</v>
      </c>
      <c r="T17" s="115">
        <f t="shared" si="13"/>
        <v>9220</v>
      </c>
      <c r="U17" s="116">
        <v>0</v>
      </c>
      <c r="V17" s="119">
        <f t="shared" si="14"/>
        <v>0</v>
      </c>
      <c r="W17" s="117">
        <f t="shared" si="15"/>
        <v>9220</v>
      </c>
      <c r="X17" s="118">
        <v>10.5</v>
      </c>
      <c r="Y17" s="118">
        <f t="shared" si="0"/>
        <v>48405</v>
      </c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</row>
    <row r="18" spans="1:36" ht="22.5" customHeight="1" x14ac:dyDescent="0.25">
      <c r="A18" s="149">
        <v>7</v>
      </c>
      <c r="B18" s="149" t="s">
        <v>83</v>
      </c>
      <c r="C18" s="145">
        <v>15</v>
      </c>
      <c r="D18" s="150" t="s">
        <v>46</v>
      </c>
      <c r="E18" s="146" t="s">
        <v>47</v>
      </c>
      <c r="F18" s="145" t="s">
        <v>4</v>
      </c>
      <c r="G18" s="105">
        <f>'GESTOR '!K18</f>
        <v>408</v>
      </c>
      <c r="H18" s="106">
        <f t="shared" si="1"/>
        <v>204</v>
      </c>
      <c r="I18" s="107">
        <f t="shared" si="2"/>
        <v>0</v>
      </c>
      <c r="J18" s="107">
        <f t="shared" si="3"/>
        <v>204</v>
      </c>
      <c r="K18" s="108">
        <f t="shared" si="4"/>
        <v>204</v>
      </c>
      <c r="L18" s="109">
        <f t="shared" si="5"/>
        <v>0</v>
      </c>
      <c r="M18" s="109">
        <f t="shared" si="6"/>
        <v>204</v>
      </c>
      <c r="N18" s="110">
        <f t="shared" si="7"/>
        <v>204</v>
      </c>
      <c r="O18" s="111">
        <f t="shared" si="8"/>
        <v>0</v>
      </c>
      <c r="P18" s="111">
        <f t="shared" si="9"/>
        <v>204</v>
      </c>
      <c r="Q18" s="112">
        <f t="shared" si="10"/>
        <v>204</v>
      </c>
      <c r="R18" s="113">
        <f t="shared" si="11"/>
        <v>0</v>
      </c>
      <c r="S18" s="114">
        <f t="shared" si="12"/>
        <v>204</v>
      </c>
      <c r="T18" s="115">
        <f t="shared" si="13"/>
        <v>816</v>
      </c>
      <c r="U18" s="116">
        <v>0</v>
      </c>
      <c r="V18" s="119">
        <f t="shared" si="14"/>
        <v>0</v>
      </c>
      <c r="W18" s="117">
        <f t="shared" si="15"/>
        <v>816</v>
      </c>
      <c r="X18" s="118">
        <v>151.96</v>
      </c>
      <c r="Y18" s="118">
        <f t="shared" si="0"/>
        <v>61999.68</v>
      </c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</row>
    <row r="19" spans="1:36" ht="22.5" customHeight="1" x14ac:dyDescent="0.25">
      <c r="A19" s="368">
        <v>8</v>
      </c>
      <c r="B19" s="368" t="s">
        <v>84</v>
      </c>
      <c r="C19" s="147">
        <v>16</v>
      </c>
      <c r="D19" s="364" t="s">
        <v>12</v>
      </c>
      <c r="E19" s="148" t="s">
        <v>48</v>
      </c>
      <c r="F19" s="147" t="s">
        <v>4</v>
      </c>
      <c r="G19" s="105">
        <f>'GESTOR '!K19</f>
        <v>758</v>
      </c>
      <c r="H19" s="106">
        <f t="shared" si="1"/>
        <v>379</v>
      </c>
      <c r="I19" s="107">
        <f t="shared" si="2"/>
        <v>0</v>
      </c>
      <c r="J19" s="107">
        <f t="shared" si="3"/>
        <v>379</v>
      </c>
      <c r="K19" s="108">
        <f t="shared" si="4"/>
        <v>379</v>
      </c>
      <c r="L19" s="109">
        <f t="shared" si="5"/>
        <v>0</v>
      </c>
      <c r="M19" s="109">
        <f t="shared" si="6"/>
        <v>379</v>
      </c>
      <c r="N19" s="110">
        <f t="shared" si="7"/>
        <v>379</v>
      </c>
      <c r="O19" s="111">
        <f t="shared" si="8"/>
        <v>0</v>
      </c>
      <c r="P19" s="111">
        <f t="shared" si="9"/>
        <v>379</v>
      </c>
      <c r="Q19" s="112">
        <f t="shared" si="10"/>
        <v>379</v>
      </c>
      <c r="R19" s="113">
        <f t="shared" si="11"/>
        <v>0</v>
      </c>
      <c r="S19" s="114">
        <f t="shared" si="12"/>
        <v>379</v>
      </c>
      <c r="T19" s="115">
        <f t="shared" si="13"/>
        <v>1516</v>
      </c>
      <c r="U19" s="116">
        <v>0</v>
      </c>
      <c r="V19" s="119">
        <f t="shared" si="14"/>
        <v>0</v>
      </c>
      <c r="W19" s="117">
        <f t="shared" si="15"/>
        <v>1516</v>
      </c>
      <c r="X19" s="118">
        <v>53.55</v>
      </c>
      <c r="Y19" s="118">
        <f t="shared" si="0"/>
        <v>40590.9</v>
      </c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</row>
    <row r="20" spans="1:36" ht="22.5" customHeight="1" x14ac:dyDescent="0.25">
      <c r="A20" s="369"/>
      <c r="B20" s="369"/>
      <c r="C20" s="147">
        <v>17</v>
      </c>
      <c r="D20" s="364"/>
      <c r="E20" s="148" t="s">
        <v>49</v>
      </c>
      <c r="F20" s="147" t="s">
        <v>4</v>
      </c>
      <c r="G20" s="105">
        <f>'GESTOR '!K20</f>
        <v>1416</v>
      </c>
      <c r="H20" s="106">
        <f t="shared" si="1"/>
        <v>708</v>
      </c>
      <c r="I20" s="107">
        <f t="shared" si="2"/>
        <v>0</v>
      </c>
      <c r="J20" s="107">
        <f t="shared" si="3"/>
        <v>708</v>
      </c>
      <c r="K20" s="108">
        <f t="shared" si="4"/>
        <v>708</v>
      </c>
      <c r="L20" s="109">
        <f t="shared" si="5"/>
        <v>0</v>
      </c>
      <c r="M20" s="109">
        <f t="shared" si="6"/>
        <v>708</v>
      </c>
      <c r="N20" s="110">
        <f t="shared" si="7"/>
        <v>708</v>
      </c>
      <c r="O20" s="111">
        <f t="shared" si="8"/>
        <v>0</v>
      </c>
      <c r="P20" s="111">
        <f t="shared" si="9"/>
        <v>708</v>
      </c>
      <c r="Q20" s="112">
        <f t="shared" si="10"/>
        <v>708</v>
      </c>
      <c r="R20" s="113">
        <f t="shared" si="11"/>
        <v>0</v>
      </c>
      <c r="S20" s="114">
        <f t="shared" si="12"/>
        <v>708</v>
      </c>
      <c r="T20" s="115">
        <f t="shared" si="13"/>
        <v>2832</v>
      </c>
      <c r="U20" s="116">
        <v>0</v>
      </c>
      <c r="V20" s="119">
        <f t="shared" si="14"/>
        <v>0</v>
      </c>
      <c r="W20" s="117">
        <f t="shared" si="15"/>
        <v>2832</v>
      </c>
      <c r="X20" s="118">
        <v>7.35</v>
      </c>
      <c r="Y20" s="118">
        <f t="shared" si="0"/>
        <v>10407.6</v>
      </c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</row>
    <row r="21" spans="1:36" ht="22.5" customHeight="1" x14ac:dyDescent="0.25">
      <c r="A21" s="154">
        <v>9</v>
      </c>
      <c r="B21" s="154" t="s">
        <v>85</v>
      </c>
      <c r="C21" s="155">
        <v>18</v>
      </c>
      <c r="D21" s="156" t="s">
        <v>50</v>
      </c>
      <c r="E21" s="157" t="s">
        <v>51</v>
      </c>
      <c r="F21" s="145" t="s">
        <v>24</v>
      </c>
      <c r="G21" s="105">
        <f>'GESTOR '!K21</f>
        <v>2580</v>
      </c>
      <c r="H21" s="106">
        <f t="shared" si="1"/>
        <v>1290</v>
      </c>
      <c r="I21" s="107">
        <f t="shared" si="2"/>
        <v>0</v>
      </c>
      <c r="J21" s="107">
        <f t="shared" si="3"/>
        <v>1290</v>
      </c>
      <c r="K21" s="108">
        <f t="shared" si="4"/>
        <v>1290</v>
      </c>
      <c r="L21" s="109">
        <f t="shared" si="5"/>
        <v>0</v>
      </c>
      <c r="M21" s="109">
        <f t="shared" si="6"/>
        <v>1290</v>
      </c>
      <c r="N21" s="110">
        <f t="shared" si="7"/>
        <v>1290</v>
      </c>
      <c r="O21" s="111">
        <f t="shared" si="8"/>
        <v>0</v>
      </c>
      <c r="P21" s="111">
        <f t="shared" si="9"/>
        <v>1290</v>
      </c>
      <c r="Q21" s="112">
        <f t="shared" si="10"/>
        <v>1290</v>
      </c>
      <c r="R21" s="113">
        <f t="shared" si="11"/>
        <v>0</v>
      </c>
      <c r="S21" s="114">
        <f t="shared" si="12"/>
        <v>1290</v>
      </c>
      <c r="T21" s="115">
        <f t="shared" si="13"/>
        <v>5160</v>
      </c>
      <c r="U21" s="116">
        <v>0</v>
      </c>
      <c r="V21" s="119">
        <f t="shared" si="14"/>
        <v>0</v>
      </c>
      <c r="W21" s="117">
        <f t="shared" si="15"/>
        <v>5160</v>
      </c>
      <c r="X21" s="118">
        <v>10.85</v>
      </c>
      <c r="Y21" s="118">
        <f t="shared" si="0"/>
        <v>27993</v>
      </c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</row>
    <row r="22" spans="1:36" ht="22.5" customHeight="1" x14ac:dyDescent="0.25">
      <c r="A22" s="152">
        <v>10</v>
      </c>
      <c r="B22" s="152" t="s">
        <v>85</v>
      </c>
      <c r="C22" s="147">
        <v>19</v>
      </c>
      <c r="D22" s="153" t="s">
        <v>27</v>
      </c>
      <c r="E22" s="148" t="s">
        <v>23</v>
      </c>
      <c r="F22" s="147" t="s">
        <v>99</v>
      </c>
      <c r="G22" s="105">
        <f>'GESTOR '!K22</f>
        <v>25075</v>
      </c>
      <c r="H22" s="106">
        <f t="shared" si="1"/>
        <v>12537</v>
      </c>
      <c r="I22" s="107">
        <f t="shared" si="2"/>
        <v>0</v>
      </c>
      <c r="J22" s="107">
        <f t="shared" si="3"/>
        <v>12537</v>
      </c>
      <c r="K22" s="108">
        <f t="shared" si="4"/>
        <v>12537</v>
      </c>
      <c r="L22" s="109">
        <f t="shared" si="5"/>
        <v>0</v>
      </c>
      <c r="M22" s="109">
        <f t="shared" si="6"/>
        <v>12537</v>
      </c>
      <c r="N22" s="110">
        <f t="shared" si="7"/>
        <v>12537</v>
      </c>
      <c r="O22" s="111">
        <f t="shared" si="8"/>
        <v>0</v>
      </c>
      <c r="P22" s="111">
        <f t="shared" si="9"/>
        <v>12537</v>
      </c>
      <c r="Q22" s="112">
        <f t="shared" si="10"/>
        <v>12537</v>
      </c>
      <c r="R22" s="113">
        <f t="shared" si="11"/>
        <v>0</v>
      </c>
      <c r="S22" s="114">
        <f t="shared" si="12"/>
        <v>12537</v>
      </c>
      <c r="T22" s="115">
        <f t="shared" si="13"/>
        <v>50150</v>
      </c>
      <c r="U22" s="116">
        <v>0</v>
      </c>
      <c r="V22" s="119">
        <f t="shared" si="14"/>
        <v>0</v>
      </c>
      <c r="W22" s="117">
        <f t="shared" si="15"/>
        <v>50150</v>
      </c>
      <c r="X22" s="118">
        <v>0.71</v>
      </c>
      <c r="Y22" s="118">
        <f t="shared" si="0"/>
        <v>17803.25</v>
      </c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</row>
    <row r="23" spans="1:36" ht="22.5" customHeight="1" x14ac:dyDescent="0.25">
      <c r="A23" s="355">
        <v>11</v>
      </c>
      <c r="B23" s="366" t="s">
        <v>85</v>
      </c>
      <c r="C23" s="155">
        <v>20</v>
      </c>
      <c r="D23" s="365" t="s">
        <v>25</v>
      </c>
      <c r="E23" s="146" t="s">
        <v>19</v>
      </c>
      <c r="F23" s="151" t="s">
        <v>100</v>
      </c>
      <c r="G23" s="105">
        <f>'GESTOR '!K23</f>
        <v>4192</v>
      </c>
      <c r="H23" s="106">
        <f t="shared" si="1"/>
        <v>2096</v>
      </c>
      <c r="I23" s="107">
        <f t="shared" si="2"/>
        <v>0</v>
      </c>
      <c r="J23" s="107">
        <f t="shared" si="3"/>
        <v>2096</v>
      </c>
      <c r="K23" s="108">
        <f t="shared" si="4"/>
        <v>2096</v>
      </c>
      <c r="L23" s="109">
        <f t="shared" si="5"/>
        <v>0</v>
      </c>
      <c r="M23" s="109">
        <f t="shared" si="6"/>
        <v>2096</v>
      </c>
      <c r="N23" s="110">
        <f t="shared" si="7"/>
        <v>2096</v>
      </c>
      <c r="O23" s="111">
        <f t="shared" si="8"/>
        <v>0</v>
      </c>
      <c r="P23" s="111">
        <f t="shared" si="9"/>
        <v>2096</v>
      </c>
      <c r="Q23" s="112">
        <f t="shared" si="10"/>
        <v>2096</v>
      </c>
      <c r="R23" s="113">
        <f t="shared" si="11"/>
        <v>0</v>
      </c>
      <c r="S23" s="114">
        <f t="shared" si="12"/>
        <v>2096</v>
      </c>
      <c r="T23" s="115">
        <f t="shared" si="13"/>
        <v>8384</v>
      </c>
      <c r="U23" s="116">
        <v>0</v>
      </c>
      <c r="V23" s="119">
        <f t="shared" si="14"/>
        <v>0</v>
      </c>
      <c r="W23" s="117">
        <f t="shared" si="15"/>
        <v>8384</v>
      </c>
      <c r="X23" s="118">
        <v>21.18</v>
      </c>
      <c r="Y23" s="118">
        <f t="shared" si="0"/>
        <v>88786.559999999998</v>
      </c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</row>
    <row r="24" spans="1:36" ht="22.5" customHeight="1" x14ac:dyDescent="0.25">
      <c r="A24" s="356"/>
      <c r="B24" s="367"/>
      <c r="C24" s="155">
        <v>21</v>
      </c>
      <c r="D24" s="365"/>
      <c r="E24" s="146" t="s">
        <v>20</v>
      </c>
      <c r="F24" s="151" t="s">
        <v>100</v>
      </c>
      <c r="G24" s="105">
        <f>'GESTOR '!K24</f>
        <v>25225</v>
      </c>
      <c r="H24" s="106">
        <f t="shared" si="1"/>
        <v>12612</v>
      </c>
      <c r="I24" s="107">
        <f t="shared" si="2"/>
        <v>0</v>
      </c>
      <c r="J24" s="107">
        <f t="shared" si="3"/>
        <v>12612</v>
      </c>
      <c r="K24" s="108">
        <f t="shared" si="4"/>
        <v>12612</v>
      </c>
      <c r="L24" s="109">
        <f t="shared" si="5"/>
        <v>0</v>
      </c>
      <c r="M24" s="109">
        <f t="shared" si="6"/>
        <v>12612</v>
      </c>
      <c r="N24" s="110">
        <f t="shared" si="7"/>
        <v>12612</v>
      </c>
      <c r="O24" s="111">
        <f t="shared" si="8"/>
        <v>0</v>
      </c>
      <c r="P24" s="111">
        <f t="shared" si="9"/>
        <v>12612</v>
      </c>
      <c r="Q24" s="112">
        <f t="shared" si="10"/>
        <v>12612</v>
      </c>
      <c r="R24" s="113">
        <f t="shared" si="11"/>
        <v>0</v>
      </c>
      <c r="S24" s="114">
        <f t="shared" si="12"/>
        <v>12612</v>
      </c>
      <c r="T24" s="115">
        <f t="shared" si="13"/>
        <v>50450</v>
      </c>
      <c r="U24" s="116">
        <v>0</v>
      </c>
      <c r="V24" s="119">
        <f t="shared" si="14"/>
        <v>0</v>
      </c>
      <c r="W24" s="117">
        <f t="shared" si="15"/>
        <v>50450</v>
      </c>
      <c r="X24" s="118">
        <v>5.59</v>
      </c>
      <c r="Y24" s="118">
        <f t="shared" si="0"/>
        <v>141007.75</v>
      </c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</row>
    <row r="25" spans="1:36" ht="22.5" customHeight="1" x14ac:dyDescent="0.25">
      <c r="A25" s="360">
        <v>12</v>
      </c>
      <c r="B25" s="362" t="s">
        <v>86</v>
      </c>
      <c r="C25" s="147">
        <v>22</v>
      </c>
      <c r="D25" s="364" t="s">
        <v>26</v>
      </c>
      <c r="E25" s="148" t="s">
        <v>19</v>
      </c>
      <c r="F25" s="158" t="s">
        <v>100</v>
      </c>
      <c r="G25" s="105">
        <f>'GESTOR '!K25</f>
        <v>6014</v>
      </c>
      <c r="H25" s="106">
        <f t="shared" si="1"/>
        <v>3007</v>
      </c>
      <c r="I25" s="107">
        <f t="shared" si="2"/>
        <v>0</v>
      </c>
      <c r="J25" s="107">
        <f t="shared" si="3"/>
        <v>3007</v>
      </c>
      <c r="K25" s="108">
        <f t="shared" si="4"/>
        <v>3007</v>
      </c>
      <c r="L25" s="109">
        <f t="shared" si="5"/>
        <v>0</v>
      </c>
      <c r="M25" s="109">
        <f t="shared" si="6"/>
        <v>3007</v>
      </c>
      <c r="N25" s="110">
        <f t="shared" si="7"/>
        <v>3007</v>
      </c>
      <c r="O25" s="111">
        <f t="shared" si="8"/>
        <v>0</v>
      </c>
      <c r="P25" s="111">
        <f t="shared" si="9"/>
        <v>3007</v>
      </c>
      <c r="Q25" s="112">
        <f t="shared" si="10"/>
        <v>3007</v>
      </c>
      <c r="R25" s="113">
        <f t="shared" si="11"/>
        <v>0</v>
      </c>
      <c r="S25" s="114">
        <f t="shared" si="12"/>
        <v>3007</v>
      </c>
      <c r="T25" s="115">
        <f t="shared" si="13"/>
        <v>12028</v>
      </c>
      <c r="U25" s="116">
        <v>0</v>
      </c>
      <c r="V25" s="119">
        <f t="shared" si="14"/>
        <v>0</v>
      </c>
      <c r="W25" s="117">
        <f t="shared" si="15"/>
        <v>12028</v>
      </c>
      <c r="X25" s="118">
        <v>3.4</v>
      </c>
      <c r="Y25" s="118">
        <f t="shared" si="0"/>
        <v>20447.599999999999</v>
      </c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</row>
    <row r="26" spans="1:36" ht="22.5" customHeight="1" x14ac:dyDescent="0.25">
      <c r="A26" s="361"/>
      <c r="B26" s="361"/>
      <c r="C26" s="147">
        <v>23</v>
      </c>
      <c r="D26" s="364"/>
      <c r="E26" s="148" t="s">
        <v>20</v>
      </c>
      <c r="F26" s="158" t="s">
        <v>100</v>
      </c>
      <c r="G26" s="105">
        <f>'GESTOR '!K26</f>
        <v>28520</v>
      </c>
      <c r="H26" s="106">
        <f t="shared" si="1"/>
        <v>14260</v>
      </c>
      <c r="I26" s="107">
        <f t="shared" si="2"/>
        <v>0</v>
      </c>
      <c r="J26" s="107">
        <f t="shared" si="3"/>
        <v>14260</v>
      </c>
      <c r="K26" s="108">
        <f t="shared" si="4"/>
        <v>14260</v>
      </c>
      <c r="L26" s="109">
        <f t="shared" si="5"/>
        <v>0</v>
      </c>
      <c r="M26" s="109">
        <f t="shared" si="6"/>
        <v>14260</v>
      </c>
      <c r="N26" s="110">
        <f t="shared" si="7"/>
        <v>14260</v>
      </c>
      <c r="O26" s="111">
        <f t="shared" si="8"/>
        <v>0</v>
      </c>
      <c r="P26" s="111">
        <f t="shared" si="9"/>
        <v>14260</v>
      </c>
      <c r="Q26" s="112">
        <f t="shared" si="10"/>
        <v>14260</v>
      </c>
      <c r="R26" s="113">
        <f t="shared" si="11"/>
        <v>0</v>
      </c>
      <c r="S26" s="114">
        <f t="shared" si="12"/>
        <v>14260</v>
      </c>
      <c r="T26" s="115">
        <f t="shared" si="13"/>
        <v>57040</v>
      </c>
      <c r="U26" s="116">
        <v>0</v>
      </c>
      <c r="V26" s="119">
        <f t="shared" si="14"/>
        <v>0</v>
      </c>
      <c r="W26" s="117">
        <f t="shared" si="15"/>
        <v>57040</v>
      </c>
      <c r="X26" s="118">
        <v>1.8</v>
      </c>
      <c r="Y26" s="118">
        <f t="shared" si="0"/>
        <v>51336</v>
      </c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</row>
    <row r="27" spans="1:36" ht="22.5" customHeight="1" x14ac:dyDescent="0.25">
      <c r="A27" s="350">
        <v>13</v>
      </c>
      <c r="B27" s="352" t="s">
        <v>135</v>
      </c>
      <c r="C27" s="145">
        <v>24</v>
      </c>
      <c r="D27" s="353" t="s">
        <v>52</v>
      </c>
      <c r="E27" s="181" t="s">
        <v>21</v>
      </c>
      <c r="F27" s="159" t="s">
        <v>101</v>
      </c>
      <c r="G27" s="105">
        <f>'GESTOR '!K27</f>
        <v>23500</v>
      </c>
      <c r="H27" s="106">
        <f t="shared" si="1"/>
        <v>11750</v>
      </c>
      <c r="I27" s="107">
        <f t="shared" si="2"/>
        <v>5000</v>
      </c>
      <c r="J27" s="107">
        <f t="shared" si="3"/>
        <v>6750</v>
      </c>
      <c r="K27" s="108">
        <f t="shared" si="4"/>
        <v>11750</v>
      </c>
      <c r="L27" s="109">
        <f t="shared" si="5"/>
        <v>0</v>
      </c>
      <c r="M27" s="109">
        <f t="shared" si="6"/>
        <v>11750</v>
      </c>
      <c r="N27" s="110">
        <f t="shared" si="7"/>
        <v>11750</v>
      </c>
      <c r="O27" s="111">
        <f t="shared" si="8"/>
        <v>0</v>
      </c>
      <c r="P27" s="111">
        <f t="shared" si="9"/>
        <v>11750</v>
      </c>
      <c r="Q27" s="112">
        <f t="shared" si="10"/>
        <v>11750</v>
      </c>
      <c r="R27" s="113">
        <f t="shared" si="11"/>
        <v>0</v>
      </c>
      <c r="S27" s="114">
        <f t="shared" si="12"/>
        <v>11750</v>
      </c>
      <c r="T27" s="115">
        <f t="shared" si="13"/>
        <v>47000</v>
      </c>
      <c r="U27" s="116">
        <v>0</v>
      </c>
      <c r="V27" s="119">
        <f t="shared" si="14"/>
        <v>5000</v>
      </c>
      <c r="W27" s="117">
        <f t="shared" si="15"/>
        <v>42000</v>
      </c>
      <c r="X27" s="118">
        <v>0.33</v>
      </c>
      <c r="Y27" s="118">
        <f t="shared" si="0"/>
        <v>7755</v>
      </c>
      <c r="Z27" s="199">
        <v>5000</v>
      </c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</row>
    <row r="28" spans="1:36" ht="22.5" customHeight="1" x14ac:dyDescent="0.25">
      <c r="A28" s="351"/>
      <c r="B28" s="351"/>
      <c r="C28" s="155">
        <v>25</v>
      </c>
      <c r="D28" s="354"/>
      <c r="E28" s="181" t="s">
        <v>22</v>
      </c>
      <c r="F28" s="159" t="s">
        <v>101</v>
      </c>
      <c r="G28" s="105">
        <f>'GESTOR '!K28</f>
        <v>199515</v>
      </c>
      <c r="H28" s="106">
        <f t="shared" si="1"/>
        <v>99757</v>
      </c>
      <c r="I28" s="107">
        <f t="shared" si="2"/>
        <v>50000</v>
      </c>
      <c r="J28" s="107">
        <f t="shared" si="3"/>
        <v>49757</v>
      </c>
      <c r="K28" s="108">
        <f t="shared" si="4"/>
        <v>99757</v>
      </c>
      <c r="L28" s="109">
        <f t="shared" si="5"/>
        <v>0</v>
      </c>
      <c r="M28" s="109">
        <f t="shared" si="6"/>
        <v>99757</v>
      </c>
      <c r="N28" s="110">
        <f t="shared" si="7"/>
        <v>99757</v>
      </c>
      <c r="O28" s="111">
        <f t="shared" si="8"/>
        <v>0</v>
      </c>
      <c r="P28" s="111">
        <f t="shared" si="9"/>
        <v>99757</v>
      </c>
      <c r="Q28" s="112">
        <f t="shared" si="10"/>
        <v>99757</v>
      </c>
      <c r="R28" s="113">
        <f t="shared" si="11"/>
        <v>0</v>
      </c>
      <c r="S28" s="114">
        <f t="shared" si="12"/>
        <v>99757</v>
      </c>
      <c r="T28" s="115">
        <f t="shared" si="13"/>
        <v>399030</v>
      </c>
      <c r="U28" s="116">
        <v>0</v>
      </c>
      <c r="V28" s="119">
        <f t="shared" si="14"/>
        <v>50000</v>
      </c>
      <c r="W28" s="117">
        <f t="shared" si="15"/>
        <v>349030</v>
      </c>
      <c r="X28" s="118">
        <v>0.19</v>
      </c>
      <c r="Y28" s="118">
        <f t="shared" si="0"/>
        <v>37907.85</v>
      </c>
      <c r="Z28" s="199">
        <v>50000</v>
      </c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</row>
    <row r="29" spans="1:36" ht="22.5" customHeight="1" x14ac:dyDescent="0.25">
      <c r="A29" s="360">
        <v>14</v>
      </c>
      <c r="B29" s="362" t="s">
        <v>86</v>
      </c>
      <c r="C29" s="147" t="s">
        <v>87</v>
      </c>
      <c r="D29" s="363" t="s">
        <v>88</v>
      </c>
      <c r="E29" s="182" t="s">
        <v>21</v>
      </c>
      <c r="F29" s="160" t="s">
        <v>24</v>
      </c>
      <c r="G29" s="105">
        <f>'GESTOR '!K29</f>
        <v>25550</v>
      </c>
      <c r="H29" s="106">
        <f t="shared" si="1"/>
        <v>12775</v>
      </c>
      <c r="I29" s="107">
        <f t="shared" si="2"/>
        <v>12775</v>
      </c>
      <c r="J29" s="107">
        <f t="shared" si="3"/>
        <v>0</v>
      </c>
      <c r="K29" s="108">
        <f t="shared" si="4"/>
        <v>12775</v>
      </c>
      <c r="L29" s="109">
        <f t="shared" si="5"/>
        <v>0</v>
      </c>
      <c r="M29" s="109">
        <f t="shared" si="6"/>
        <v>12775</v>
      </c>
      <c r="N29" s="110">
        <f t="shared" si="7"/>
        <v>12775</v>
      </c>
      <c r="O29" s="111">
        <f t="shared" si="8"/>
        <v>0</v>
      </c>
      <c r="P29" s="111">
        <f t="shared" si="9"/>
        <v>12775</v>
      </c>
      <c r="Q29" s="112">
        <f t="shared" si="10"/>
        <v>12775</v>
      </c>
      <c r="R29" s="113">
        <f t="shared" si="11"/>
        <v>0</v>
      </c>
      <c r="S29" s="114">
        <f t="shared" si="12"/>
        <v>12775</v>
      </c>
      <c r="T29" s="115">
        <f t="shared" si="13"/>
        <v>51100</v>
      </c>
      <c r="U29" s="116">
        <v>0</v>
      </c>
      <c r="V29" s="119">
        <f t="shared" si="14"/>
        <v>12775</v>
      </c>
      <c r="W29" s="117">
        <f t="shared" si="15"/>
        <v>38325</v>
      </c>
      <c r="X29" s="118">
        <v>0.3</v>
      </c>
      <c r="Y29" s="118">
        <f t="shared" si="0"/>
        <v>7665</v>
      </c>
      <c r="Z29" s="199">
        <v>12775</v>
      </c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</row>
    <row r="30" spans="1:36" ht="22.5" customHeight="1" x14ac:dyDescent="0.25">
      <c r="A30" s="361"/>
      <c r="B30" s="361"/>
      <c r="C30" s="147">
        <v>27</v>
      </c>
      <c r="D30" s="364"/>
      <c r="E30" s="182" t="s">
        <v>22</v>
      </c>
      <c r="F30" s="160" t="s">
        <v>24</v>
      </c>
      <c r="G30" s="105">
        <f>'GESTOR '!K30</f>
        <v>78515</v>
      </c>
      <c r="H30" s="106">
        <f t="shared" si="1"/>
        <v>39257</v>
      </c>
      <c r="I30" s="107">
        <f t="shared" si="2"/>
        <v>39257</v>
      </c>
      <c r="J30" s="107">
        <f t="shared" si="3"/>
        <v>0</v>
      </c>
      <c r="K30" s="108">
        <f t="shared" si="4"/>
        <v>39257</v>
      </c>
      <c r="L30" s="109">
        <f t="shared" si="5"/>
        <v>0</v>
      </c>
      <c r="M30" s="109">
        <f t="shared" si="6"/>
        <v>39257</v>
      </c>
      <c r="N30" s="110">
        <f t="shared" si="7"/>
        <v>39257</v>
      </c>
      <c r="O30" s="111">
        <f t="shared" si="8"/>
        <v>0</v>
      </c>
      <c r="P30" s="111">
        <f t="shared" si="9"/>
        <v>39257</v>
      </c>
      <c r="Q30" s="112">
        <f t="shared" si="10"/>
        <v>39257</v>
      </c>
      <c r="R30" s="113">
        <f t="shared" si="11"/>
        <v>0</v>
      </c>
      <c r="S30" s="114">
        <f t="shared" si="12"/>
        <v>39257</v>
      </c>
      <c r="T30" s="115">
        <f t="shared" si="13"/>
        <v>157030</v>
      </c>
      <c r="U30" s="116">
        <v>0</v>
      </c>
      <c r="V30" s="119">
        <f t="shared" si="14"/>
        <v>39257</v>
      </c>
      <c r="W30" s="117">
        <f t="shared" si="15"/>
        <v>117773</v>
      </c>
      <c r="X30" s="118">
        <v>0.25</v>
      </c>
      <c r="Y30" s="118">
        <f t="shared" si="0"/>
        <v>19628.75</v>
      </c>
      <c r="Z30" s="199">
        <v>39257</v>
      </c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</row>
    <row r="31" spans="1:36" ht="22.5" customHeight="1" x14ac:dyDescent="0.25">
      <c r="A31" s="355">
        <v>15</v>
      </c>
      <c r="B31" s="357" t="s">
        <v>85</v>
      </c>
      <c r="C31" s="155">
        <v>28</v>
      </c>
      <c r="D31" s="365" t="s">
        <v>89</v>
      </c>
      <c r="E31" s="146" t="s">
        <v>21</v>
      </c>
      <c r="F31" s="159" t="s">
        <v>24</v>
      </c>
      <c r="G31" s="105">
        <f>'GESTOR '!K31</f>
        <v>28700</v>
      </c>
      <c r="H31" s="106">
        <f t="shared" si="1"/>
        <v>14350</v>
      </c>
      <c r="I31" s="107">
        <f t="shared" si="2"/>
        <v>0</v>
      </c>
      <c r="J31" s="107">
        <f t="shared" si="3"/>
        <v>14350</v>
      </c>
      <c r="K31" s="108">
        <f t="shared" si="4"/>
        <v>14350</v>
      </c>
      <c r="L31" s="109">
        <f t="shared" si="5"/>
        <v>0</v>
      </c>
      <c r="M31" s="109">
        <f t="shared" si="6"/>
        <v>14350</v>
      </c>
      <c r="N31" s="110">
        <f t="shared" si="7"/>
        <v>14350</v>
      </c>
      <c r="O31" s="111">
        <f t="shared" si="8"/>
        <v>0</v>
      </c>
      <c r="P31" s="111">
        <f t="shared" si="9"/>
        <v>14350</v>
      </c>
      <c r="Q31" s="112">
        <f t="shared" si="10"/>
        <v>14350</v>
      </c>
      <c r="R31" s="113">
        <f t="shared" si="11"/>
        <v>0</v>
      </c>
      <c r="S31" s="114">
        <f t="shared" si="12"/>
        <v>14350</v>
      </c>
      <c r="T31" s="115">
        <f t="shared" si="13"/>
        <v>57400</v>
      </c>
      <c r="U31" s="116">
        <v>0</v>
      </c>
      <c r="V31" s="119">
        <f t="shared" si="14"/>
        <v>0</v>
      </c>
      <c r="W31" s="117">
        <f t="shared" si="15"/>
        <v>57400</v>
      </c>
      <c r="X31" s="118">
        <v>1.3</v>
      </c>
      <c r="Y31" s="118">
        <f t="shared" si="0"/>
        <v>37310</v>
      </c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</row>
    <row r="32" spans="1:36" ht="22.5" customHeight="1" x14ac:dyDescent="0.25">
      <c r="A32" s="356"/>
      <c r="B32" s="356"/>
      <c r="C32" s="155">
        <v>29</v>
      </c>
      <c r="D32" s="365"/>
      <c r="E32" s="146" t="s">
        <v>22</v>
      </c>
      <c r="F32" s="159" t="s">
        <v>24</v>
      </c>
      <c r="G32" s="105">
        <f>'GESTOR '!K32</f>
        <v>91915</v>
      </c>
      <c r="H32" s="106">
        <f t="shared" si="1"/>
        <v>45957</v>
      </c>
      <c r="I32" s="107">
        <f t="shared" si="2"/>
        <v>0</v>
      </c>
      <c r="J32" s="107">
        <f t="shared" si="3"/>
        <v>45957</v>
      </c>
      <c r="K32" s="108">
        <f t="shared" si="4"/>
        <v>45957</v>
      </c>
      <c r="L32" s="109">
        <f t="shared" si="5"/>
        <v>0</v>
      </c>
      <c r="M32" s="109">
        <f t="shared" si="6"/>
        <v>45957</v>
      </c>
      <c r="N32" s="110">
        <f t="shared" si="7"/>
        <v>45957</v>
      </c>
      <c r="O32" s="111">
        <f t="shared" si="8"/>
        <v>0</v>
      </c>
      <c r="P32" s="111">
        <f t="shared" si="9"/>
        <v>45957</v>
      </c>
      <c r="Q32" s="112">
        <f t="shared" si="10"/>
        <v>45957</v>
      </c>
      <c r="R32" s="113">
        <f t="shared" si="11"/>
        <v>0</v>
      </c>
      <c r="S32" s="114">
        <f t="shared" si="12"/>
        <v>45957</v>
      </c>
      <c r="T32" s="115">
        <f t="shared" si="13"/>
        <v>183830</v>
      </c>
      <c r="U32" s="116">
        <v>0</v>
      </c>
      <c r="V32" s="119">
        <f t="shared" si="14"/>
        <v>0</v>
      </c>
      <c r="W32" s="117">
        <f t="shared" si="15"/>
        <v>183830</v>
      </c>
      <c r="X32" s="118">
        <v>0.3</v>
      </c>
      <c r="Y32" s="118">
        <f t="shared" si="0"/>
        <v>27574.5</v>
      </c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</row>
    <row r="33" spans="1:36" ht="22.5" customHeight="1" x14ac:dyDescent="0.25">
      <c r="A33" s="161">
        <v>16</v>
      </c>
      <c r="B33" s="162" t="s">
        <v>162</v>
      </c>
      <c r="C33" s="200" t="s">
        <v>90</v>
      </c>
      <c r="D33" s="201" t="s">
        <v>91</v>
      </c>
      <c r="E33" s="202" t="s">
        <v>92</v>
      </c>
      <c r="F33" s="203" t="s">
        <v>24</v>
      </c>
      <c r="G33" s="105">
        <f>'GESTOR '!K33</f>
        <v>3000</v>
      </c>
      <c r="H33" s="106">
        <f t="shared" si="1"/>
        <v>1500</v>
      </c>
      <c r="I33" s="107">
        <f t="shared" si="2"/>
        <v>0</v>
      </c>
      <c r="J33" s="107">
        <f t="shared" si="3"/>
        <v>1500</v>
      </c>
      <c r="K33" s="108">
        <f t="shared" si="4"/>
        <v>1500</v>
      </c>
      <c r="L33" s="109">
        <f t="shared" si="5"/>
        <v>1300</v>
      </c>
      <c r="M33" s="109">
        <f t="shared" si="6"/>
        <v>200</v>
      </c>
      <c r="N33" s="110">
        <f t="shared" si="7"/>
        <v>1500</v>
      </c>
      <c r="O33" s="111">
        <f t="shared" si="8"/>
        <v>1300</v>
      </c>
      <c r="P33" s="111">
        <f t="shared" si="9"/>
        <v>200</v>
      </c>
      <c r="Q33" s="112">
        <f t="shared" si="10"/>
        <v>1500</v>
      </c>
      <c r="R33" s="113">
        <f t="shared" si="11"/>
        <v>0</v>
      </c>
      <c r="S33" s="114">
        <f t="shared" si="12"/>
        <v>1500</v>
      </c>
      <c r="T33" s="115">
        <f t="shared" si="13"/>
        <v>6000</v>
      </c>
      <c r="U33" s="116">
        <v>0</v>
      </c>
      <c r="V33" s="119">
        <f t="shared" si="14"/>
        <v>1300</v>
      </c>
      <c r="W33" s="117">
        <f t="shared" si="15"/>
        <v>4700</v>
      </c>
      <c r="X33" s="118">
        <v>7.8</v>
      </c>
      <c r="Y33" s="118">
        <f t="shared" si="0"/>
        <v>23400</v>
      </c>
      <c r="Z33" s="199"/>
      <c r="AA33" s="199">
        <f>600+700</f>
        <v>1300</v>
      </c>
      <c r="AB33" s="199"/>
      <c r="AC33" s="199"/>
      <c r="AD33" s="199"/>
      <c r="AE33" s="199"/>
      <c r="AF33" s="199"/>
      <c r="AG33" s="199"/>
      <c r="AH33" s="199"/>
      <c r="AI33" s="199"/>
      <c r="AJ33" s="199"/>
    </row>
    <row r="34" spans="1:36" ht="22.5" customHeight="1" x14ac:dyDescent="0.25">
      <c r="A34" s="355">
        <v>17</v>
      </c>
      <c r="B34" s="357" t="s">
        <v>86</v>
      </c>
      <c r="C34" s="155" t="s">
        <v>93</v>
      </c>
      <c r="D34" s="358" t="s">
        <v>94</v>
      </c>
      <c r="E34" s="183" t="s">
        <v>95</v>
      </c>
      <c r="F34" s="163" t="s">
        <v>24</v>
      </c>
      <c r="G34" s="105">
        <f>'GESTOR '!K34</f>
        <v>2000</v>
      </c>
      <c r="H34" s="106">
        <f t="shared" si="1"/>
        <v>1000</v>
      </c>
      <c r="I34" s="107">
        <f t="shared" si="2"/>
        <v>1000</v>
      </c>
      <c r="J34" s="107">
        <f t="shared" si="3"/>
        <v>0</v>
      </c>
      <c r="K34" s="108">
        <f t="shared" si="4"/>
        <v>1000</v>
      </c>
      <c r="L34" s="109">
        <f t="shared" si="5"/>
        <v>0</v>
      </c>
      <c r="M34" s="109">
        <f t="shared" si="6"/>
        <v>1000</v>
      </c>
      <c r="N34" s="110">
        <f t="shared" si="7"/>
        <v>1000</v>
      </c>
      <c r="O34" s="111">
        <f t="shared" si="8"/>
        <v>0</v>
      </c>
      <c r="P34" s="111">
        <f t="shared" si="9"/>
        <v>1000</v>
      </c>
      <c r="Q34" s="112">
        <f t="shared" si="10"/>
        <v>1000</v>
      </c>
      <c r="R34" s="113">
        <f t="shared" si="11"/>
        <v>0</v>
      </c>
      <c r="S34" s="114">
        <f t="shared" si="12"/>
        <v>1000</v>
      </c>
      <c r="T34" s="115">
        <f t="shared" si="13"/>
        <v>4000</v>
      </c>
      <c r="U34" s="116">
        <v>0</v>
      </c>
      <c r="V34" s="119">
        <f t="shared" si="14"/>
        <v>1000</v>
      </c>
      <c r="W34" s="117">
        <f t="shared" si="15"/>
        <v>3000</v>
      </c>
      <c r="X34" s="118">
        <v>1.5</v>
      </c>
      <c r="Y34" s="118">
        <f t="shared" si="0"/>
        <v>3000</v>
      </c>
      <c r="Z34" s="199">
        <v>1000</v>
      </c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</row>
    <row r="35" spans="1:36" ht="22.5" customHeight="1" x14ac:dyDescent="0.25">
      <c r="A35" s="356"/>
      <c r="B35" s="356"/>
      <c r="C35" s="155" t="s">
        <v>96</v>
      </c>
      <c r="D35" s="359"/>
      <c r="E35" s="183" t="s">
        <v>97</v>
      </c>
      <c r="F35" s="163" t="s">
        <v>24</v>
      </c>
      <c r="G35" s="105">
        <f>'GESTOR '!K35</f>
        <v>5000</v>
      </c>
      <c r="H35" s="106">
        <f t="shared" si="1"/>
        <v>2500</v>
      </c>
      <c r="I35" s="107">
        <f t="shared" si="2"/>
        <v>2500</v>
      </c>
      <c r="J35" s="107">
        <f t="shared" si="3"/>
        <v>0</v>
      </c>
      <c r="K35" s="108">
        <f t="shared" si="4"/>
        <v>2500</v>
      </c>
      <c r="L35" s="109">
        <f t="shared" si="5"/>
        <v>0</v>
      </c>
      <c r="M35" s="109">
        <f t="shared" si="6"/>
        <v>2500</v>
      </c>
      <c r="N35" s="110">
        <f t="shared" si="7"/>
        <v>2500</v>
      </c>
      <c r="O35" s="111">
        <f t="shared" si="8"/>
        <v>0</v>
      </c>
      <c r="P35" s="111">
        <f t="shared" si="9"/>
        <v>2500</v>
      </c>
      <c r="Q35" s="112">
        <f t="shared" si="10"/>
        <v>2500</v>
      </c>
      <c r="R35" s="113">
        <f t="shared" si="11"/>
        <v>0</v>
      </c>
      <c r="S35" s="114">
        <f t="shared" si="12"/>
        <v>2500</v>
      </c>
      <c r="T35" s="115">
        <f t="shared" si="13"/>
        <v>10000</v>
      </c>
      <c r="U35" s="116">
        <v>0</v>
      </c>
      <c r="V35" s="119">
        <f t="shared" si="14"/>
        <v>2500</v>
      </c>
      <c r="W35" s="117">
        <f t="shared" si="15"/>
        <v>7500</v>
      </c>
      <c r="X35" s="118">
        <v>0.9</v>
      </c>
      <c r="Y35" s="118">
        <f t="shared" si="0"/>
        <v>4500</v>
      </c>
      <c r="Z35" s="199">
        <v>2500</v>
      </c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</row>
    <row r="36" spans="1:36" ht="22.5" customHeight="1" x14ac:dyDescent="0.25">
      <c r="X36" s="184"/>
      <c r="Y36" s="261">
        <f>SUM(Y4:Y35)</f>
        <v>1492406.02</v>
      </c>
      <c r="Z36" s="178">
        <f>SUMPRODUCT($X$4:$X$35,Z4:Z35)</f>
        <v>28546.75</v>
      </c>
      <c r="AA36" s="178">
        <f t="shared" ref="AA36:AJ36" si="16">SUMPRODUCT($X$4:$X$35,AA4:AA35)</f>
        <v>10140</v>
      </c>
      <c r="AB36" s="178">
        <f t="shared" si="16"/>
        <v>6000</v>
      </c>
      <c r="AC36" s="178">
        <f t="shared" si="16"/>
        <v>0</v>
      </c>
      <c r="AD36" s="178">
        <f t="shared" si="16"/>
        <v>0</v>
      </c>
      <c r="AE36" s="178">
        <f t="shared" si="16"/>
        <v>0</v>
      </c>
      <c r="AF36" s="178">
        <f t="shared" si="16"/>
        <v>0</v>
      </c>
      <c r="AG36" s="178">
        <f t="shared" si="16"/>
        <v>0</v>
      </c>
      <c r="AH36" s="178">
        <f t="shared" si="16"/>
        <v>0</v>
      </c>
      <c r="AI36" s="178">
        <f t="shared" si="16"/>
        <v>0</v>
      </c>
      <c r="AJ36" s="178">
        <f t="shared" si="16"/>
        <v>0</v>
      </c>
    </row>
    <row r="38" spans="1:36" ht="22.5" customHeight="1" x14ac:dyDescent="0.25">
      <c r="B38" s="333"/>
      <c r="C38" s="333"/>
      <c r="D38" s="333"/>
      <c r="E38" s="333"/>
      <c r="F38" s="333"/>
    </row>
    <row r="39" spans="1:36" ht="22.5" customHeight="1" x14ac:dyDescent="0.25">
      <c r="B39" s="334" t="str">
        <f>A1</f>
        <v>PROCESSO: PE 630/2025 - SGPE UDESC 52651/2024</v>
      </c>
      <c r="C39" s="335"/>
      <c r="D39" s="335"/>
      <c r="E39" s="335"/>
      <c r="F39" s="336"/>
    </row>
    <row r="40" spans="1:36" ht="22.5" customHeight="1" x14ac:dyDescent="0.25">
      <c r="B40" s="334" t="str">
        <f>D1</f>
        <v>OBJETO: Contratação de empresa especializada em Serviços Gráficos (IMPRESSOS ADAPTADOS, BANNERS, ADESIVOS, ENTRE OUTROS) – TODA UDESC</v>
      </c>
      <c r="C40" s="335"/>
      <c r="D40" s="335"/>
      <c r="E40" s="335"/>
      <c r="F40" s="336"/>
    </row>
    <row r="41" spans="1:36" ht="20.25" customHeight="1" x14ac:dyDescent="0.25">
      <c r="B41" s="334" t="str">
        <f>G1</f>
        <v>VIGÊNCIA DA ATA: 29/05/2025 até 29/05/2026</v>
      </c>
      <c r="C41" s="335"/>
      <c r="D41" s="335"/>
      <c r="E41" s="335"/>
      <c r="F41" s="336"/>
    </row>
    <row r="42" spans="1:36" ht="15" x14ac:dyDescent="0.25">
      <c r="B42" s="340" t="s">
        <v>29</v>
      </c>
      <c r="C42" s="341"/>
      <c r="D42" s="260"/>
      <c r="E42" s="342">
        <f>Y36</f>
        <v>1492406.02</v>
      </c>
      <c r="F42" s="343"/>
    </row>
    <row r="43" spans="1:36" ht="15" x14ac:dyDescent="0.25">
      <c r="B43" s="340" t="s">
        <v>257</v>
      </c>
      <c r="C43" s="341"/>
      <c r="D43" s="260"/>
      <c r="E43" s="344">
        <f>SUM(Z36:AJ36)</f>
        <v>44686.75</v>
      </c>
      <c r="F43" s="345"/>
    </row>
    <row r="44" spans="1:36" ht="15" x14ac:dyDescent="0.25">
      <c r="B44" s="348" t="s">
        <v>258</v>
      </c>
      <c r="C44" s="349"/>
      <c r="D44" s="349"/>
      <c r="E44" s="346">
        <f>E43/E42</f>
        <v>2.9942756462480631E-2</v>
      </c>
      <c r="F44" s="347"/>
    </row>
    <row r="45" spans="1:36" ht="22.5" customHeight="1" x14ac:dyDescent="0.25">
      <c r="B45" s="337" t="s">
        <v>255</v>
      </c>
      <c r="C45" s="338"/>
      <c r="D45" s="338"/>
      <c r="E45" s="338"/>
      <c r="F45" s="339"/>
    </row>
  </sheetData>
  <autoFilter ref="A3:AJ36" xr:uid="{0940E957-0A11-4451-82F0-D047E9B72E1B}"/>
  <mergeCells count="54">
    <mergeCell ref="G1:Y1"/>
    <mergeCell ref="H2:J2"/>
    <mergeCell ref="K2:M2"/>
    <mergeCell ref="N2:P2"/>
    <mergeCell ref="Q2:S2"/>
    <mergeCell ref="T2:W2"/>
    <mergeCell ref="X2:Y2"/>
    <mergeCell ref="A1:C1"/>
    <mergeCell ref="D1:F1"/>
    <mergeCell ref="A4:A8"/>
    <mergeCell ref="B4:B8"/>
    <mergeCell ref="D4:D8"/>
    <mergeCell ref="A2:F2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B38:F38"/>
    <mergeCell ref="B39:F39"/>
    <mergeCell ref="B45:F45"/>
    <mergeCell ref="B40:F40"/>
    <mergeCell ref="B41:F41"/>
    <mergeCell ref="B42:C42"/>
    <mergeCell ref="B43:C43"/>
    <mergeCell ref="E42:F42"/>
    <mergeCell ref="E43:F43"/>
    <mergeCell ref="E44:F44"/>
    <mergeCell ref="B44:D44"/>
  </mergeCells>
  <conditionalFormatting sqref="W4:W35">
    <cfRule type="cellIs" dxfId="1" priority="2" operator="lessThan">
      <formula>0</formula>
    </cfRule>
  </conditionalFormatting>
  <conditionalFormatting sqref="Z4:AJ35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1BB6-5C85-424D-93AD-EF6E288308E0}">
  <dimension ref="A1:AJ40"/>
  <sheetViews>
    <sheetView topLeftCell="A21" zoomScale="80" zoomScaleNormal="80" workbookViewId="0">
      <selection activeCell="H33" sqref="H33"/>
    </sheetView>
  </sheetViews>
  <sheetFormatPr defaultColWidth="9" defaultRowHeight="23.1" customHeight="1" x14ac:dyDescent="0.2"/>
  <cols>
    <col min="1" max="1" width="3.5703125" style="24" customWidth="1"/>
    <col min="2" max="2" width="20.7109375" style="24" customWidth="1"/>
    <col min="3" max="3" width="7.42578125" style="24" customWidth="1"/>
    <col min="4" max="4" width="21.42578125" style="25" customWidth="1"/>
    <col min="5" max="5" width="9" style="24"/>
    <col min="6" max="6" width="11.85546875" style="24" hidden="1" customWidth="1"/>
    <col min="7" max="7" width="22.5703125" style="24" hidden="1" customWidth="1"/>
    <col min="8" max="8" width="15.28515625" style="24" customWidth="1"/>
    <col min="9" max="9" width="9" style="24"/>
    <col min="10" max="10" width="13.42578125" style="26" customWidth="1"/>
    <col min="11" max="18" width="6.42578125" style="27" customWidth="1"/>
    <col min="19" max="19" width="6.42578125" style="28" customWidth="1"/>
    <col min="20" max="20" width="6.42578125" style="29" customWidth="1"/>
    <col min="21" max="21" width="10.42578125" style="144" customWidth="1"/>
    <col min="22" max="22" width="10.7109375" style="142" customWidth="1"/>
    <col min="23" max="23" width="10" style="144" customWidth="1"/>
    <col min="24" max="24" width="10.5703125" style="142" customWidth="1"/>
    <col min="25" max="25" width="13.7109375" style="142" customWidth="1"/>
    <col min="26" max="36" width="9" style="142"/>
    <col min="37" max="16384" width="9" style="17"/>
  </cols>
  <sheetData>
    <row r="1" spans="1:36" ht="31.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76" t="s">
        <v>134</v>
      </c>
      <c r="V1" s="276" t="s">
        <v>167</v>
      </c>
      <c r="W1" s="276" t="s">
        <v>168</v>
      </c>
      <c r="X1" s="276" t="s">
        <v>169</v>
      </c>
      <c r="Y1" s="276" t="s">
        <v>170</v>
      </c>
      <c r="Z1" s="283" t="s">
        <v>125</v>
      </c>
      <c r="AA1" s="283" t="s">
        <v>125</v>
      </c>
      <c r="AB1" s="283" t="s">
        <v>125</v>
      </c>
      <c r="AC1" s="283" t="s">
        <v>125</v>
      </c>
      <c r="AD1" s="283" t="s">
        <v>125</v>
      </c>
      <c r="AE1" s="283" t="s">
        <v>125</v>
      </c>
      <c r="AF1" s="283" t="s">
        <v>125</v>
      </c>
      <c r="AG1" s="283" t="s">
        <v>125</v>
      </c>
      <c r="AH1" s="283" t="s">
        <v>125</v>
      </c>
      <c r="AI1" s="283" t="s">
        <v>125</v>
      </c>
    </row>
    <row r="2" spans="1:36" ht="20.100000000000001" customHeight="1" x14ac:dyDescent="0.2">
      <c r="A2" s="270" t="s">
        <v>136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76"/>
      <c r="V2" s="276"/>
      <c r="W2" s="276"/>
      <c r="X2" s="276"/>
      <c r="Y2" s="276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6" s="22" customFormat="1" ht="23.1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123">
        <v>45869</v>
      </c>
      <c r="V3" s="123">
        <v>45905</v>
      </c>
      <c r="W3" s="123">
        <v>45905</v>
      </c>
      <c r="X3" s="123">
        <v>45905</v>
      </c>
      <c r="Y3" s="123">
        <v>45912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4"/>
    </row>
    <row r="4" spans="1:36" ht="23.1" customHeight="1" x14ac:dyDescent="0.2">
      <c r="A4" s="263">
        <v>1</v>
      </c>
      <c r="B4" s="263" t="s">
        <v>73</v>
      </c>
      <c r="C4" s="58">
        <v>1</v>
      </c>
      <c r="D4" s="306" t="s">
        <v>74</v>
      </c>
      <c r="E4" s="59" t="s">
        <v>31</v>
      </c>
      <c r="F4" s="60" t="s">
        <v>16</v>
      </c>
      <c r="G4" s="60" t="s">
        <v>17</v>
      </c>
      <c r="H4" s="58" t="s">
        <v>123</v>
      </c>
      <c r="I4" s="58" t="s">
        <v>4</v>
      </c>
      <c r="J4" s="61">
        <v>11.07</v>
      </c>
      <c r="K4" s="90"/>
      <c r="L4" s="36">
        <f t="shared" ref="L4:L35" si="0">IF(SUM(U4:AL4)&gt;K4+N4,K4+N4,SUM(U4:AL4))</f>
        <v>0</v>
      </c>
      <c r="M4" s="36">
        <f t="shared" ref="M4:M35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5" si="3">IF(S4&lt;0,"ATENÇÃO","OK")</f>
        <v>OK</v>
      </c>
      <c r="U4" s="205"/>
      <c r="V4" s="206"/>
      <c r="W4" s="205"/>
      <c r="X4" s="206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</row>
    <row r="5" spans="1:36" ht="23.1" customHeight="1" x14ac:dyDescent="0.2">
      <c r="A5" s="264"/>
      <c r="B5" s="264"/>
      <c r="C5" s="209">
        <v>2</v>
      </c>
      <c r="D5" s="274"/>
      <c r="E5" s="211" t="s">
        <v>32</v>
      </c>
      <c r="F5" s="219" t="s">
        <v>16</v>
      </c>
      <c r="G5" s="219" t="s">
        <v>17</v>
      </c>
      <c r="H5" s="58" t="s">
        <v>123</v>
      </c>
      <c r="I5" s="209" t="s">
        <v>4</v>
      </c>
      <c r="J5" s="214">
        <v>35.35</v>
      </c>
      <c r="K5" s="90">
        <v>30</v>
      </c>
      <c r="L5" s="36">
        <f t="shared" si="0"/>
        <v>30</v>
      </c>
      <c r="M5" s="36">
        <f t="shared" si="1"/>
        <v>30</v>
      </c>
      <c r="N5" s="37"/>
      <c r="O5" s="38">
        <f t="shared" ref="O5:O35" si="4">ROUND(IF(K5*0.25-0.5&lt;0,0,K5*0.25-0.5),0)-R5-P5</f>
        <v>7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205"/>
      <c r="V5" s="206"/>
      <c r="W5" s="205"/>
      <c r="X5" s="206">
        <v>30</v>
      </c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</row>
    <row r="6" spans="1:36" ht="23.1" customHeight="1" x14ac:dyDescent="0.2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123</v>
      </c>
      <c r="I6" s="58" t="s">
        <v>4</v>
      </c>
      <c r="J6" s="61">
        <v>43</v>
      </c>
      <c r="K6" s="90"/>
      <c r="L6" s="36">
        <f t="shared" si="0"/>
        <v>0</v>
      </c>
      <c r="M6" s="36">
        <f t="shared" si="1"/>
        <v>0</v>
      </c>
      <c r="N6" s="37"/>
      <c r="O6" s="38">
        <f t="shared" si="4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05"/>
      <c r="V6" s="206"/>
      <c r="W6" s="205"/>
      <c r="X6" s="206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</row>
    <row r="7" spans="1:36" ht="23.1" customHeight="1" x14ac:dyDescent="0.2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123</v>
      </c>
      <c r="I7" s="58" t="s">
        <v>4</v>
      </c>
      <c r="J7" s="61">
        <v>61.01</v>
      </c>
      <c r="K7" s="90"/>
      <c r="L7" s="36">
        <f t="shared" si="0"/>
        <v>0</v>
      </c>
      <c r="M7" s="36">
        <f t="shared" si="1"/>
        <v>0</v>
      </c>
      <c r="N7" s="37"/>
      <c r="O7" s="38">
        <f t="shared" si="4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05"/>
      <c r="V7" s="206"/>
      <c r="W7" s="205"/>
      <c r="X7" s="206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</row>
    <row r="8" spans="1:36" ht="23.1" customHeight="1" x14ac:dyDescent="0.2">
      <c r="A8" s="265"/>
      <c r="B8" s="265"/>
      <c r="C8" s="209">
        <v>5</v>
      </c>
      <c r="D8" s="274"/>
      <c r="E8" s="211" t="s">
        <v>35</v>
      </c>
      <c r="F8" s="219" t="s">
        <v>16</v>
      </c>
      <c r="G8" s="219" t="s">
        <v>17</v>
      </c>
      <c r="H8" s="58" t="s">
        <v>123</v>
      </c>
      <c r="I8" s="209" t="s">
        <v>4</v>
      </c>
      <c r="J8" s="214">
        <v>26.25</v>
      </c>
      <c r="K8" s="90">
        <v>60</v>
      </c>
      <c r="L8" s="36">
        <f t="shared" si="0"/>
        <v>60</v>
      </c>
      <c r="M8" s="36">
        <f t="shared" si="1"/>
        <v>60</v>
      </c>
      <c r="N8" s="37"/>
      <c r="O8" s="38">
        <f t="shared" si="4"/>
        <v>15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205"/>
      <c r="V8" s="206"/>
      <c r="W8" s="205"/>
      <c r="X8" s="206">
        <v>60</v>
      </c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</row>
    <row r="9" spans="1:36" ht="23.1" customHeight="1" x14ac:dyDescent="0.2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0</v>
      </c>
      <c r="L9" s="36">
        <f t="shared" si="0"/>
        <v>0</v>
      </c>
      <c r="M9" s="36">
        <f t="shared" si="1"/>
        <v>0</v>
      </c>
      <c r="N9" s="37"/>
      <c r="O9" s="38">
        <f t="shared" si="4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05"/>
      <c r="V9" s="206"/>
      <c r="W9" s="205"/>
      <c r="X9" s="206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</row>
    <row r="10" spans="1:36" ht="23.1" customHeight="1" x14ac:dyDescent="0.2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0</v>
      </c>
      <c r="L10" s="36">
        <f t="shared" si="0"/>
        <v>0</v>
      </c>
      <c r="M10" s="36">
        <f t="shared" si="1"/>
        <v>0</v>
      </c>
      <c r="N10" s="37"/>
      <c r="O10" s="38">
        <f t="shared" si="4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05"/>
      <c r="V10" s="206"/>
      <c r="W10" s="205"/>
      <c r="X10" s="206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</row>
    <row r="11" spans="1:36" ht="23.1" customHeight="1" x14ac:dyDescent="0.2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126</v>
      </c>
      <c r="I11" s="58" t="s">
        <v>4</v>
      </c>
      <c r="J11" s="61">
        <v>199.83</v>
      </c>
      <c r="K11" s="90">
        <v>0</v>
      </c>
      <c r="L11" s="36">
        <f t="shared" si="0"/>
        <v>0</v>
      </c>
      <c r="M11" s="36">
        <f t="shared" si="1"/>
        <v>0</v>
      </c>
      <c r="N11" s="37"/>
      <c r="O11" s="38">
        <f t="shared" si="4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205"/>
      <c r="V11" s="206"/>
      <c r="W11" s="205"/>
      <c r="X11" s="206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</row>
    <row r="12" spans="1:36" ht="23.1" customHeight="1" x14ac:dyDescent="0.2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126</v>
      </c>
      <c r="I12" s="58" t="s">
        <v>4</v>
      </c>
      <c r="J12" s="61">
        <v>2456.9899999999998</v>
      </c>
      <c r="K12" s="90">
        <v>0</v>
      </c>
      <c r="L12" s="36">
        <f t="shared" si="0"/>
        <v>0</v>
      </c>
      <c r="M12" s="36">
        <f t="shared" si="1"/>
        <v>0</v>
      </c>
      <c r="N12" s="37"/>
      <c r="O12" s="38">
        <f t="shared" si="4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05"/>
      <c r="V12" s="206"/>
      <c r="W12" s="205"/>
      <c r="X12" s="206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</row>
    <row r="13" spans="1:36" ht="23.1" customHeight="1" x14ac:dyDescent="0.2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126</v>
      </c>
      <c r="I13" s="58" t="s">
        <v>4</v>
      </c>
      <c r="J13" s="61">
        <v>3000</v>
      </c>
      <c r="K13" s="90">
        <v>0</v>
      </c>
      <c r="L13" s="36">
        <f t="shared" si="0"/>
        <v>0</v>
      </c>
      <c r="M13" s="36">
        <f t="shared" si="1"/>
        <v>0</v>
      </c>
      <c r="N13" s="37"/>
      <c r="O13" s="38">
        <f t="shared" si="4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05"/>
      <c r="V13" s="206"/>
      <c r="W13" s="205"/>
      <c r="X13" s="206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</row>
    <row r="14" spans="1:36" ht="23.1" customHeight="1" x14ac:dyDescent="0.2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0</v>
      </c>
      <c r="L14" s="36">
        <f t="shared" si="0"/>
        <v>0</v>
      </c>
      <c r="M14" s="36">
        <f t="shared" si="1"/>
        <v>0</v>
      </c>
      <c r="N14" s="37"/>
      <c r="O14" s="38">
        <f t="shared" si="4"/>
        <v>0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205"/>
      <c r="V14" s="206"/>
      <c r="W14" s="205"/>
      <c r="X14" s="20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</row>
    <row r="15" spans="1:36" ht="23.1" customHeight="1" x14ac:dyDescent="0.2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0</v>
      </c>
      <c r="L15" s="36">
        <f t="shared" si="0"/>
        <v>0</v>
      </c>
      <c r="M15" s="36">
        <f t="shared" si="1"/>
        <v>0</v>
      </c>
      <c r="N15" s="37"/>
      <c r="O15" s="38">
        <f t="shared" si="4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05"/>
      <c r="V15" s="206"/>
      <c r="W15" s="205"/>
      <c r="X15" s="20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</row>
    <row r="16" spans="1:36" ht="32.1" customHeight="1" x14ac:dyDescent="0.2">
      <c r="A16" s="67">
        <v>5</v>
      </c>
      <c r="B16" s="67" t="s">
        <v>75</v>
      </c>
      <c r="C16" s="209">
        <v>13</v>
      </c>
      <c r="D16" s="210" t="s">
        <v>80</v>
      </c>
      <c r="E16" s="211" t="s">
        <v>44</v>
      </c>
      <c r="F16" s="212" t="s">
        <v>16</v>
      </c>
      <c r="G16" s="212" t="s">
        <v>17</v>
      </c>
      <c r="H16" s="58" t="s">
        <v>126</v>
      </c>
      <c r="I16" s="213" t="s">
        <v>98</v>
      </c>
      <c r="J16" s="214">
        <v>43.49</v>
      </c>
      <c r="K16" s="90">
        <v>10</v>
      </c>
      <c r="L16" s="36">
        <f t="shared" si="0"/>
        <v>10</v>
      </c>
      <c r="M16" s="36">
        <f t="shared" si="1"/>
        <v>10</v>
      </c>
      <c r="N16" s="37"/>
      <c r="O16" s="38">
        <f t="shared" si="4"/>
        <v>2</v>
      </c>
      <c r="P16" s="37"/>
      <c r="Q16" s="37"/>
      <c r="R16" s="37"/>
      <c r="S16" s="39">
        <f t="shared" si="2"/>
        <v>0</v>
      </c>
      <c r="T16" s="91" t="str">
        <f t="shared" si="3"/>
        <v>OK</v>
      </c>
      <c r="U16" s="205"/>
      <c r="V16" s="206"/>
      <c r="W16" s="205">
        <v>10</v>
      </c>
      <c r="X16" s="206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</row>
    <row r="17" spans="1:35" ht="23.1" customHeight="1" x14ac:dyDescent="0.2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</v>
      </c>
      <c r="L17" s="36">
        <f t="shared" si="0"/>
        <v>0</v>
      </c>
      <c r="M17" s="36">
        <f t="shared" si="1"/>
        <v>0</v>
      </c>
      <c r="N17" s="37"/>
      <c r="O17" s="38">
        <f t="shared" si="4"/>
        <v>25</v>
      </c>
      <c r="P17" s="37"/>
      <c r="Q17" s="37"/>
      <c r="R17" s="37"/>
      <c r="S17" s="39">
        <f t="shared" si="2"/>
        <v>100</v>
      </c>
      <c r="T17" s="91" t="str">
        <f t="shared" si="3"/>
        <v>OK</v>
      </c>
      <c r="U17" s="205"/>
      <c r="V17" s="206"/>
      <c r="W17" s="205"/>
      <c r="X17" s="206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</row>
    <row r="18" spans="1:35" ht="23.1" customHeight="1" x14ac:dyDescent="0.2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0</v>
      </c>
      <c r="L18" s="36">
        <f t="shared" si="0"/>
        <v>0</v>
      </c>
      <c r="M18" s="36">
        <f t="shared" si="1"/>
        <v>0</v>
      </c>
      <c r="N18" s="37"/>
      <c r="O18" s="38">
        <f t="shared" si="4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205"/>
      <c r="V18" s="206"/>
      <c r="W18" s="205"/>
      <c r="X18" s="206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</row>
    <row r="19" spans="1:35" ht="23.1" customHeight="1" x14ac:dyDescent="0.2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0</v>
      </c>
      <c r="L19" s="36">
        <f t="shared" si="0"/>
        <v>0</v>
      </c>
      <c r="M19" s="36">
        <f t="shared" si="1"/>
        <v>0</v>
      </c>
      <c r="N19" s="37"/>
      <c r="O19" s="38">
        <f t="shared" si="4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205"/>
      <c r="V19" s="206"/>
      <c r="W19" s="205"/>
      <c r="X19" s="206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</row>
    <row r="20" spans="1:35" ht="23.1" customHeight="1" x14ac:dyDescent="0.2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0</v>
      </c>
      <c r="L20" s="36">
        <f t="shared" si="0"/>
        <v>0</v>
      </c>
      <c r="M20" s="36">
        <f t="shared" si="1"/>
        <v>0</v>
      </c>
      <c r="N20" s="37"/>
      <c r="O20" s="38">
        <f t="shared" si="4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05"/>
      <c r="V20" s="206"/>
      <c r="W20" s="205"/>
      <c r="X20" s="206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</row>
    <row r="21" spans="1:35" ht="33.6" customHeight="1" x14ac:dyDescent="0.2">
      <c r="A21" s="74">
        <v>9</v>
      </c>
      <c r="B21" s="74" t="s">
        <v>85</v>
      </c>
      <c r="C21" s="215">
        <v>18</v>
      </c>
      <c r="D21" s="216" t="s">
        <v>50</v>
      </c>
      <c r="E21" s="217" t="s">
        <v>51</v>
      </c>
      <c r="F21" s="212" t="s">
        <v>16</v>
      </c>
      <c r="G21" s="212" t="s">
        <v>17</v>
      </c>
      <c r="H21" s="58" t="s">
        <v>123</v>
      </c>
      <c r="I21" s="209" t="s">
        <v>24</v>
      </c>
      <c r="J21" s="214">
        <v>10.85</v>
      </c>
      <c r="K21" s="90">
        <v>100</v>
      </c>
      <c r="L21" s="36">
        <f t="shared" si="0"/>
        <v>100</v>
      </c>
      <c r="M21" s="36">
        <f t="shared" si="1"/>
        <v>100</v>
      </c>
      <c r="N21" s="37"/>
      <c r="O21" s="38">
        <f t="shared" si="4"/>
        <v>25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05"/>
      <c r="V21" s="206">
        <v>100</v>
      </c>
      <c r="W21" s="205"/>
      <c r="X21" s="206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</row>
    <row r="22" spans="1:35" ht="23.1" customHeight="1" x14ac:dyDescent="0.2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0</v>
      </c>
      <c r="L22" s="36">
        <f t="shared" si="0"/>
        <v>0</v>
      </c>
      <c r="M22" s="36">
        <f t="shared" si="1"/>
        <v>0</v>
      </c>
      <c r="N22" s="37"/>
      <c r="O22" s="38">
        <f t="shared" si="4"/>
        <v>0</v>
      </c>
      <c r="P22" s="37"/>
      <c r="Q22" s="37"/>
      <c r="R22" s="37"/>
      <c r="S22" s="39">
        <f t="shared" si="2"/>
        <v>0</v>
      </c>
      <c r="T22" s="91" t="str">
        <f t="shared" si="3"/>
        <v>OK</v>
      </c>
      <c r="U22" s="205"/>
      <c r="V22" s="206"/>
      <c r="W22" s="205"/>
      <c r="X22" s="206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</row>
    <row r="23" spans="1:35" ht="23.1" customHeight="1" x14ac:dyDescent="0.2">
      <c r="A23" s="285">
        <v>11</v>
      </c>
      <c r="B23" s="30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0</v>
      </c>
      <c r="L23" s="36">
        <f t="shared" si="0"/>
        <v>0</v>
      </c>
      <c r="M23" s="36">
        <f t="shared" si="1"/>
        <v>0</v>
      </c>
      <c r="N23" s="37"/>
      <c r="O23" s="38">
        <f t="shared" si="4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05"/>
      <c r="V23" s="206"/>
      <c r="W23" s="205"/>
      <c r="X23" s="206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</row>
    <row r="24" spans="1:35" ht="23.1" customHeight="1" x14ac:dyDescent="0.2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0</v>
      </c>
      <c r="L24" s="36">
        <f t="shared" si="0"/>
        <v>0</v>
      </c>
      <c r="M24" s="36">
        <f t="shared" si="1"/>
        <v>0</v>
      </c>
      <c r="N24" s="37"/>
      <c r="O24" s="38">
        <f t="shared" si="4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05"/>
      <c r="V24" s="206"/>
      <c r="W24" s="205"/>
      <c r="X24" s="206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</row>
    <row r="25" spans="1:35" ht="23.1" customHeight="1" x14ac:dyDescent="0.2">
      <c r="A25" s="289">
        <v>12</v>
      </c>
      <c r="B25" s="291" t="s">
        <v>135</v>
      </c>
      <c r="C25" s="62">
        <v>22</v>
      </c>
      <c r="D25" s="308" t="s">
        <v>26</v>
      </c>
      <c r="E25" s="222" t="s">
        <v>19</v>
      </c>
      <c r="F25" s="73" t="s">
        <v>16</v>
      </c>
      <c r="G25" s="73" t="s">
        <v>17</v>
      </c>
      <c r="H25" s="62" t="s">
        <v>123</v>
      </c>
      <c r="I25" s="78" t="s">
        <v>100</v>
      </c>
      <c r="J25" s="65">
        <v>3.4</v>
      </c>
      <c r="K25" s="90">
        <v>300</v>
      </c>
      <c r="L25" s="36">
        <f t="shared" si="0"/>
        <v>300</v>
      </c>
      <c r="M25" s="36">
        <f t="shared" si="1"/>
        <v>300</v>
      </c>
      <c r="N25" s="37"/>
      <c r="O25" s="38">
        <f t="shared" si="4"/>
        <v>75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205"/>
      <c r="V25" s="206"/>
      <c r="W25" s="205"/>
      <c r="X25" s="206"/>
      <c r="Y25" s="207">
        <v>300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</row>
    <row r="26" spans="1:35" ht="23.1" customHeight="1" x14ac:dyDescent="0.2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0</v>
      </c>
      <c r="L26" s="36">
        <f t="shared" si="0"/>
        <v>0</v>
      </c>
      <c r="M26" s="36">
        <f t="shared" si="1"/>
        <v>0</v>
      </c>
      <c r="N26" s="37"/>
      <c r="O26" s="38">
        <f t="shared" si="4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05"/>
      <c r="V26" s="206"/>
      <c r="W26" s="205"/>
      <c r="X26" s="206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</row>
    <row r="27" spans="1:35" ht="26.1" customHeight="1" x14ac:dyDescent="0.25">
      <c r="A27" s="295">
        <v>13</v>
      </c>
      <c r="B27" s="297" t="s">
        <v>86</v>
      </c>
      <c r="C27" s="58">
        <v>24</v>
      </c>
      <c r="D27" s="309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1000</v>
      </c>
      <c r="L27" s="36">
        <f t="shared" si="0"/>
        <v>1000</v>
      </c>
      <c r="M27" s="36">
        <f t="shared" si="1"/>
        <v>1000</v>
      </c>
      <c r="N27" s="37"/>
      <c r="O27" s="38">
        <f t="shared" si="4"/>
        <v>250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05">
        <v>1000</v>
      </c>
      <c r="V27" s="206"/>
      <c r="W27" s="205"/>
      <c r="X27" s="206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</row>
    <row r="28" spans="1:35" ht="23.1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0</v>
      </c>
      <c r="L28" s="36">
        <f t="shared" si="0"/>
        <v>0</v>
      </c>
      <c r="M28" s="36">
        <f t="shared" si="1"/>
        <v>0</v>
      </c>
      <c r="N28" s="37"/>
      <c r="O28" s="38">
        <f t="shared" si="4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205"/>
      <c r="V28" s="206"/>
      <c r="W28" s="205"/>
      <c r="X28" s="206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</row>
    <row r="29" spans="1:35" ht="23.1" customHeight="1" x14ac:dyDescent="0.25">
      <c r="A29" s="289">
        <v>14</v>
      </c>
      <c r="B29" s="291" t="s">
        <v>86</v>
      </c>
      <c r="C29" s="62" t="s">
        <v>87</v>
      </c>
      <c r="D29" s="308" t="s">
        <v>88</v>
      </c>
      <c r="E29" s="222" t="s">
        <v>21</v>
      </c>
      <c r="F29" s="73" t="s">
        <v>16</v>
      </c>
      <c r="G29" s="73" t="s">
        <v>17</v>
      </c>
      <c r="H29" s="62" t="s">
        <v>123</v>
      </c>
      <c r="I29" s="82" t="s">
        <v>24</v>
      </c>
      <c r="J29" s="65">
        <v>0.3</v>
      </c>
      <c r="K29" s="90">
        <v>500</v>
      </c>
      <c r="L29" s="36">
        <f t="shared" si="0"/>
        <v>500</v>
      </c>
      <c r="M29" s="36">
        <f t="shared" si="1"/>
        <v>500</v>
      </c>
      <c r="N29" s="37"/>
      <c r="O29" s="38">
        <f t="shared" si="4"/>
        <v>125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05"/>
      <c r="V29" s="206"/>
      <c r="W29" s="205"/>
      <c r="X29" s="206"/>
      <c r="Y29" s="207">
        <v>500</v>
      </c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</row>
    <row r="30" spans="1:35" ht="23.1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0</v>
      </c>
      <c r="L30" s="36">
        <f t="shared" si="0"/>
        <v>0</v>
      </c>
      <c r="M30" s="36">
        <f t="shared" si="1"/>
        <v>0</v>
      </c>
      <c r="N30" s="37"/>
      <c r="O30" s="38">
        <f t="shared" si="4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05"/>
      <c r="V30" s="206"/>
      <c r="W30" s="205"/>
      <c r="X30" s="206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</row>
    <row r="31" spans="1:35" ht="23.1" customHeight="1" x14ac:dyDescent="0.25">
      <c r="A31" s="285">
        <v>15</v>
      </c>
      <c r="B31" s="299" t="s">
        <v>85</v>
      </c>
      <c r="C31" s="215">
        <v>28</v>
      </c>
      <c r="D31" s="310" t="s">
        <v>89</v>
      </c>
      <c r="E31" s="211" t="s">
        <v>21</v>
      </c>
      <c r="F31" s="212" t="s">
        <v>16</v>
      </c>
      <c r="G31" s="212" t="s">
        <v>17</v>
      </c>
      <c r="H31" s="58" t="s">
        <v>123</v>
      </c>
      <c r="I31" s="218" t="s">
        <v>24</v>
      </c>
      <c r="J31" s="214">
        <v>1.3</v>
      </c>
      <c r="K31" s="90">
        <v>1000</v>
      </c>
      <c r="L31" s="36">
        <f t="shared" si="0"/>
        <v>1000</v>
      </c>
      <c r="M31" s="36">
        <f t="shared" si="1"/>
        <v>1000</v>
      </c>
      <c r="N31" s="37"/>
      <c r="O31" s="38">
        <f t="shared" si="4"/>
        <v>250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05"/>
      <c r="V31" s="206">
        <v>1000</v>
      </c>
      <c r="W31" s="205"/>
      <c r="X31" s="206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</row>
    <row r="32" spans="1:35" ht="23.1" customHeight="1" x14ac:dyDescent="0.25">
      <c r="A32" s="286"/>
      <c r="B32" s="286"/>
      <c r="C32" s="215">
        <v>29</v>
      </c>
      <c r="D32" s="310"/>
      <c r="E32" s="211" t="s">
        <v>22</v>
      </c>
      <c r="F32" s="212"/>
      <c r="G32" s="212"/>
      <c r="H32" s="58" t="s">
        <v>123</v>
      </c>
      <c r="I32" s="218" t="s">
        <v>24</v>
      </c>
      <c r="J32" s="214">
        <v>0.3</v>
      </c>
      <c r="K32" s="90">
        <v>4000</v>
      </c>
      <c r="L32" s="36">
        <f t="shared" si="0"/>
        <v>4000</v>
      </c>
      <c r="M32" s="36">
        <f t="shared" si="1"/>
        <v>4000</v>
      </c>
      <c r="N32" s="37"/>
      <c r="O32" s="38">
        <f t="shared" ref="O32" si="5">ROUND(IF(K32*0.25-0.5&lt;0,0,K32*0.25-0.5),0)-R32-P32</f>
        <v>1000</v>
      </c>
      <c r="P32" s="37"/>
      <c r="Q32" s="37"/>
      <c r="R32" s="37"/>
      <c r="S32" s="39">
        <f t="shared" ref="S32" si="6">K32+N32+P32+Q32-M32</f>
        <v>0</v>
      </c>
      <c r="T32" s="91" t="str">
        <f t="shared" ref="T32" si="7">IF(S32&lt;0,"ATENÇÃO","OK")</f>
        <v>OK</v>
      </c>
      <c r="U32" s="205"/>
      <c r="V32" s="206">
        <v>4000</v>
      </c>
      <c r="W32" s="205"/>
      <c r="X32" s="206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</row>
    <row r="33" spans="1:35" ht="23.1" customHeight="1" x14ac:dyDescent="0.2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0"/>
        <v>0</v>
      </c>
      <c r="M33" s="36">
        <f t="shared" si="1"/>
        <v>0</v>
      </c>
      <c r="N33" s="37"/>
      <c r="O33" s="38">
        <f t="shared" si="4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05"/>
      <c r="V33" s="206"/>
      <c r="W33" s="205"/>
      <c r="X33" s="206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</row>
    <row r="34" spans="1:35" ht="23.1" customHeight="1" x14ac:dyDescent="0.2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0"/>
        <v>0</v>
      </c>
      <c r="M34" s="36">
        <f t="shared" si="1"/>
        <v>0</v>
      </c>
      <c r="N34" s="37"/>
      <c r="O34" s="38">
        <f t="shared" si="4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05"/>
      <c r="V34" s="206"/>
      <c r="W34" s="205"/>
      <c r="X34" s="206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</row>
    <row r="35" spans="1:35" ht="23.1" customHeight="1" x14ac:dyDescent="0.2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0"/>
        <v>0</v>
      </c>
      <c r="M35" s="36">
        <f t="shared" si="1"/>
        <v>0</v>
      </c>
      <c r="N35" s="37"/>
      <c r="O35" s="38">
        <f t="shared" si="4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05"/>
      <c r="V35" s="206"/>
      <c r="W35" s="205"/>
      <c r="X35" s="206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</row>
    <row r="36" spans="1:35" ht="23.1" customHeight="1" x14ac:dyDescent="0.2">
      <c r="K36" s="27">
        <f>SUM(K4:K35)</f>
        <v>7100</v>
      </c>
      <c r="U36" s="143">
        <f>SUMPRODUCT($J$4:$J$35,U4:U35)</f>
        <v>330</v>
      </c>
      <c r="V36" s="208">
        <f>SUMPRODUCT($J$4:$J$35,V4:V35)</f>
        <v>3585</v>
      </c>
      <c r="W36" s="208">
        <f>SUMPRODUCT($J$4:$J$35,W4:W35)</f>
        <v>434.90000000000003</v>
      </c>
      <c r="X36" s="208">
        <f t="shared" ref="X36:AI36" si="8">SUMPRODUCT($J$4:$J$35,X4:X35)</f>
        <v>2635.5</v>
      </c>
      <c r="Y36" s="208">
        <f t="shared" si="8"/>
        <v>1170</v>
      </c>
      <c r="Z36" s="143">
        <f t="shared" si="8"/>
        <v>0</v>
      </c>
      <c r="AA36" s="143">
        <f t="shared" si="8"/>
        <v>0</v>
      </c>
      <c r="AB36" s="143">
        <f t="shared" si="8"/>
        <v>0</v>
      </c>
      <c r="AC36" s="143">
        <f t="shared" si="8"/>
        <v>0</v>
      </c>
      <c r="AD36" s="143">
        <f t="shared" si="8"/>
        <v>0</v>
      </c>
      <c r="AE36" s="143">
        <f t="shared" si="8"/>
        <v>0</v>
      </c>
      <c r="AF36" s="143">
        <f t="shared" si="8"/>
        <v>0</v>
      </c>
      <c r="AG36" s="143">
        <f t="shared" si="8"/>
        <v>0</v>
      </c>
      <c r="AH36" s="143">
        <f t="shared" si="8"/>
        <v>0</v>
      </c>
      <c r="AI36" s="143">
        <f t="shared" si="8"/>
        <v>0</v>
      </c>
    </row>
    <row r="38" spans="1:35" ht="23.1" customHeight="1" x14ac:dyDescent="0.2">
      <c r="V38" s="220"/>
      <c r="Y38" s="223">
        <f>J25*Y25</f>
        <v>1020</v>
      </c>
    </row>
    <row r="39" spans="1:35" ht="23.1" customHeight="1" x14ac:dyDescent="0.2">
      <c r="V39" s="220"/>
      <c r="Y39" s="223">
        <f>J29*Y29</f>
        <v>150</v>
      </c>
    </row>
    <row r="40" spans="1:35" ht="23.1" customHeight="1" x14ac:dyDescent="0.2">
      <c r="V40" s="220"/>
    </row>
  </sheetData>
  <autoFilter ref="A3:AI36" xr:uid="{72711BB6-5C85-424D-93AD-EF6E288308E0}"/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K2:T2"/>
    <mergeCell ref="A2:J2"/>
    <mergeCell ref="V1:V2"/>
    <mergeCell ref="A1:C1"/>
    <mergeCell ref="D1:J1"/>
    <mergeCell ref="K1:T1"/>
    <mergeCell ref="U1:U2"/>
  </mergeCells>
  <conditionalFormatting sqref="X4:AL32">
    <cfRule type="cellIs" dxfId="32" priority="2" operator="greaterThan">
      <formula>0</formula>
    </cfRule>
  </conditionalFormatting>
  <conditionalFormatting sqref="U4:AI35">
    <cfRule type="cellIs" dxfId="3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4F79-591D-4EE5-83B8-4FB0F16CB343}">
  <dimension ref="A1:AI41"/>
  <sheetViews>
    <sheetView zoomScale="60" zoomScaleNormal="60" zoomScaleSheetLayoutView="7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R7" sqref="R7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8.85546875" style="24" bestFit="1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1" width="10.28515625" style="27" customWidth="1"/>
    <col min="12" max="13" width="14" style="27" bestFit="1" customWidth="1"/>
    <col min="14" max="14" width="8.85546875" style="27" customWidth="1"/>
    <col min="15" max="15" width="14" style="27" bestFit="1" customWidth="1"/>
    <col min="16" max="18" width="10.140625" style="27" customWidth="1"/>
    <col min="19" max="19" width="10.28515625" style="28" customWidth="1"/>
    <col min="20" max="20" width="10.42578125" style="29" customWidth="1"/>
    <col min="21" max="22" width="13.7109375" style="131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76" t="s">
        <v>124</v>
      </c>
      <c r="V1" s="276" t="s">
        <v>128</v>
      </c>
      <c r="W1" s="276" t="s">
        <v>175</v>
      </c>
      <c r="X1" s="283" t="s">
        <v>125</v>
      </c>
      <c r="Y1" s="283" t="s">
        <v>125</v>
      </c>
      <c r="Z1" s="283" t="s">
        <v>125</v>
      </c>
      <c r="AA1" s="283" t="s">
        <v>125</v>
      </c>
      <c r="AB1" s="283" t="s">
        <v>125</v>
      </c>
      <c r="AC1" s="283" t="s">
        <v>125</v>
      </c>
      <c r="AD1" s="283" t="s">
        <v>125</v>
      </c>
      <c r="AE1" s="283" t="s">
        <v>125</v>
      </c>
      <c r="AF1" s="283" t="s">
        <v>125</v>
      </c>
      <c r="AG1" s="283" t="s">
        <v>125</v>
      </c>
      <c r="AH1" s="283" t="s">
        <v>125</v>
      </c>
      <c r="AI1" s="283" t="s">
        <v>125</v>
      </c>
    </row>
    <row r="2" spans="1:35" ht="20.25" customHeight="1" x14ac:dyDescent="0.2">
      <c r="A2" s="270" t="s">
        <v>137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76"/>
      <c r="V2" s="276"/>
      <c r="W2" s="276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5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123">
        <v>45853</v>
      </c>
      <c r="V3" s="123">
        <v>45855</v>
      </c>
      <c r="W3" s="123">
        <v>45944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121</v>
      </c>
      <c r="C4" s="58">
        <v>1</v>
      </c>
      <c r="D4" s="274" t="s">
        <v>74</v>
      </c>
      <c r="E4" s="137" t="s">
        <v>31</v>
      </c>
      <c r="F4" s="60" t="s">
        <v>16</v>
      </c>
      <c r="G4" s="60" t="s">
        <v>17</v>
      </c>
      <c r="H4" s="58" t="s">
        <v>123</v>
      </c>
      <c r="I4" s="58" t="s">
        <v>4</v>
      </c>
      <c r="J4" s="61">
        <v>11.07</v>
      </c>
      <c r="K4" s="90">
        <v>5</v>
      </c>
      <c r="L4" s="36">
        <f>IF(SUM(U4:AL4)&gt;K4+N4,K4+N4,SUM(U4:AL4))</f>
        <v>5</v>
      </c>
      <c r="M4" s="36">
        <f t="shared" ref="M4" si="0">(SUM(U4:AL4))</f>
        <v>5</v>
      </c>
      <c r="N4" s="37"/>
      <c r="O4" s="38">
        <f>ROUND(IF(K4*0.25-0.5&lt;0,0,K4*0.25-0.5),0)-R4-P4</f>
        <v>1</v>
      </c>
      <c r="P4" s="37"/>
      <c r="Q4" s="37"/>
      <c r="R4" s="37"/>
      <c r="S4" s="39">
        <f t="shared" ref="S4:S35" si="1">K4+N4+P4+Q4-M4</f>
        <v>0</v>
      </c>
      <c r="T4" s="91" t="str">
        <f t="shared" ref="T4:T35" si="2">IF(S4&lt;0,"ATENÇÃO","OK")</f>
        <v>OK</v>
      </c>
      <c r="U4" s="96"/>
      <c r="V4" s="96">
        <v>5</v>
      </c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/>
      <c r="L5" s="36">
        <f t="shared" ref="L5:L35" si="3">IF(SUM(U5:AL5)&gt;K5+N5,K5+N5,SUM(U5:AL5))</f>
        <v>0</v>
      </c>
      <c r="M5" s="36">
        <f t="shared" ref="M5:M35" si="4">(SUM(U5:AL5))</f>
        <v>0</v>
      </c>
      <c r="N5" s="37"/>
      <c r="O5" s="38">
        <f t="shared" ref="O5:O35" si="5">ROUND(IF(K5*0.25-0.5&lt;0,0,K5*0.25-0.5),0)-R5-P5</f>
        <v>0</v>
      </c>
      <c r="P5" s="37"/>
      <c r="Q5" s="37"/>
      <c r="R5" s="37"/>
      <c r="S5" s="39">
        <f t="shared" si="1"/>
        <v>0</v>
      </c>
      <c r="T5" s="91" t="str">
        <f t="shared" si="2"/>
        <v>OK</v>
      </c>
      <c r="U5" s="96"/>
      <c r="V5" s="96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3"/>
        <v>0</v>
      </c>
      <c r="M6" s="36">
        <f t="shared" si="4"/>
        <v>0</v>
      </c>
      <c r="N6" s="37"/>
      <c r="O6" s="38">
        <f t="shared" si="5"/>
        <v>0</v>
      </c>
      <c r="P6" s="37"/>
      <c r="Q6" s="37"/>
      <c r="R6" s="37"/>
      <c r="S6" s="39">
        <f t="shared" si="1"/>
        <v>0</v>
      </c>
      <c r="T6" s="91" t="str">
        <f t="shared" si="2"/>
        <v>OK</v>
      </c>
      <c r="U6" s="96"/>
      <c r="V6" s="9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8.5" customHeight="1" x14ac:dyDescent="0.25">
      <c r="A7" s="264"/>
      <c r="B7" s="264"/>
      <c r="C7" s="58" t="s">
        <v>127</v>
      </c>
      <c r="D7" s="274"/>
      <c r="E7" s="137" t="s">
        <v>34</v>
      </c>
      <c r="F7" s="60" t="s">
        <v>16</v>
      </c>
      <c r="G7" s="60" t="s">
        <v>17</v>
      </c>
      <c r="H7" s="58" t="s">
        <v>123</v>
      </c>
      <c r="I7" s="58" t="s">
        <v>4</v>
      </c>
      <c r="J7" s="61">
        <v>61.01</v>
      </c>
      <c r="K7" s="90">
        <v>2</v>
      </c>
      <c r="L7" s="36">
        <f t="shared" si="3"/>
        <v>7</v>
      </c>
      <c r="M7" s="36">
        <f t="shared" si="4"/>
        <v>7</v>
      </c>
      <c r="N7" s="37">
        <f>4+5</f>
        <v>9</v>
      </c>
      <c r="O7" s="38">
        <f t="shared" si="5"/>
        <v>0</v>
      </c>
      <c r="P7" s="37"/>
      <c r="Q7" s="37"/>
      <c r="R7" s="37"/>
      <c r="S7" s="39">
        <f t="shared" si="1"/>
        <v>4</v>
      </c>
      <c r="T7" s="91" t="str">
        <f t="shared" si="2"/>
        <v>OK</v>
      </c>
      <c r="U7" s="126"/>
      <c r="V7" s="126">
        <v>2</v>
      </c>
      <c r="W7" s="94">
        <v>5</v>
      </c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135" t="s">
        <v>35</v>
      </c>
      <c r="F8" s="60" t="s">
        <v>16</v>
      </c>
      <c r="G8" s="60" t="s">
        <v>17</v>
      </c>
      <c r="H8" s="58" t="s">
        <v>123</v>
      </c>
      <c r="I8" s="58" t="s">
        <v>4</v>
      </c>
      <c r="J8" s="61">
        <v>26.25</v>
      </c>
      <c r="K8" s="90">
        <v>5</v>
      </c>
      <c r="L8" s="36">
        <f t="shared" si="3"/>
        <v>5</v>
      </c>
      <c r="M8" s="36">
        <f t="shared" si="4"/>
        <v>5</v>
      </c>
      <c r="N8" s="37"/>
      <c r="O8" s="38">
        <f t="shared" si="5"/>
        <v>1</v>
      </c>
      <c r="P8" s="37"/>
      <c r="Q8" s="37"/>
      <c r="R8" s="37"/>
      <c r="S8" s="39">
        <f t="shared" si="1"/>
        <v>0</v>
      </c>
      <c r="T8" s="91" t="str">
        <f t="shared" si="2"/>
        <v>OK</v>
      </c>
      <c r="U8" s="126"/>
      <c r="V8" s="126">
        <v>5</v>
      </c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3"/>
        <v>0</v>
      </c>
      <c r="M9" s="36">
        <f t="shared" si="4"/>
        <v>0</v>
      </c>
      <c r="N9" s="37"/>
      <c r="O9" s="38">
        <f t="shared" si="5"/>
        <v>0</v>
      </c>
      <c r="P9" s="37"/>
      <c r="Q9" s="37"/>
      <c r="R9" s="37"/>
      <c r="S9" s="39">
        <f t="shared" si="1"/>
        <v>0</v>
      </c>
      <c r="T9" s="91" t="str">
        <f t="shared" si="2"/>
        <v>OK</v>
      </c>
      <c r="U9" s="126"/>
      <c r="V9" s="126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3"/>
        <v>0</v>
      </c>
      <c r="M10" s="36">
        <f t="shared" si="4"/>
        <v>0</v>
      </c>
      <c r="N10" s="37"/>
      <c r="O10" s="38">
        <f t="shared" si="5"/>
        <v>0</v>
      </c>
      <c r="P10" s="37"/>
      <c r="Q10" s="37"/>
      <c r="R10" s="37"/>
      <c r="S10" s="39">
        <f t="shared" si="1"/>
        <v>0</v>
      </c>
      <c r="T10" s="91" t="str">
        <f t="shared" si="2"/>
        <v>OK</v>
      </c>
      <c r="U10" s="126"/>
      <c r="V10" s="126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/>
      <c r="L11" s="36">
        <f t="shared" si="3"/>
        <v>0</v>
      </c>
      <c r="M11" s="36">
        <f t="shared" si="4"/>
        <v>0</v>
      </c>
      <c r="N11" s="37"/>
      <c r="O11" s="38">
        <f t="shared" si="5"/>
        <v>0</v>
      </c>
      <c r="P11" s="37"/>
      <c r="Q11" s="37"/>
      <c r="R11" s="37"/>
      <c r="S11" s="39">
        <f t="shared" si="1"/>
        <v>0</v>
      </c>
      <c r="T11" s="91" t="str">
        <f t="shared" si="2"/>
        <v>OK</v>
      </c>
      <c r="U11" s="125"/>
      <c r="V11" s="126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3"/>
        <v>0</v>
      </c>
      <c r="M12" s="36">
        <f t="shared" si="4"/>
        <v>0</v>
      </c>
      <c r="N12" s="37"/>
      <c r="O12" s="38">
        <f t="shared" si="5"/>
        <v>0</v>
      </c>
      <c r="P12" s="37"/>
      <c r="Q12" s="37"/>
      <c r="R12" s="37"/>
      <c r="S12" s="39">
        <f t="shared" si="1"/>
        <v>0</v>
      </c>
      <c r="T12" s="91" t="str">
        <f t="shared" si="2"/>
        <v>OK</v>
      </c>
      <c r="U12" s="126"/>
      <c r="V12" s="126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57.7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126</v>
      </c>
      <c r="I13" s="58" t="s">
        <v>4</v>
      </c>
      <c r="J13" s="61">
        <v>3000</v>
      </c>
      <c r="K13" s="90"/>
      <c r="L13" s="36">
        <f t="shared" si="3"/>
        <v>1</v>
      </c>
      <c r="M13" s="36">
        <f t="shared" si="4"/>
        <v>1</v>
      </c>
      <c r="N13" s="37">
        <v>1</v>
      </c>
      <c r="O13" s="38">
        <f t="shared" si="5"/>
        <v>0</v>
      </c>
      <c r="P13" s="37"/>
      <c r="Q13" s="37"/>
      <c r="R13" s="37"/>
      <c r="S13" s="39">
        <f t="shared" si="1"/>
        <v>0</v>
      </c>
      <c r="T13" s="91" t="str">
        <f t="shared" si="2"/>
        <v>OK</v>
      </c>
      <c r="U13" s="126">
        <v>1</v>
      </c>
      <c r="V13" s="126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/>
      <c r="L14" s="36">
        <f t="shared" si="3"/>
        <v>0</v>
      </c>
      <c r="M14" s="36">
        <f t="shared" si="4"/>
        <v>0</v>
      </c>
      <c r="N14" s="37"/>
      <c r="O14" s="38">
        <f t="shared" si="5"/>
        <v>0</v>
      </c>
      <c r="P14" s="37"/>
      <c r="Q14" s="37"/>
      <c r="R14" s="37"/>
      <c r="S14" s="39">
        <f t="shared" si="1"/>
        <v>0</v>
      </c>
      <c r="T14" s="91" t="str">
        <f t="shared" si="2"/>
        <v>OK</v>
      </c>
      <c r="U14" s="126"/>
      <c r="V14" s="126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3"/>
        <v>0</v>
      </c>
      <c r="M15" s="36">
        <f t="shared" si="4"/>
        <v>0</v>
      </c>
      <c r="N15" s="37"/>
      <c r="O15" s="38">
        <f t="shared" si="5"/>
        <v>0</v>
      </c>
      <c r="P15" s="37"/>
      <c r="Q15" s="37"/>
      <c r="R15" s="37"/>
      <c r="S15" s="39">
        <f t="shared" si="1"/>
        <v>0</v>
      </c>
      <c r="T15" s="91" t="str">
        <f t="shared" si="2"/>
        <v>OK</v>
      </c>
      <c r="U15" s="96"/>
      <c r="V15" s="96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3</v>
      </c>
      <c r="L16" s="36">
        <f t="shared" si="3"/>
        <v>0</v>
      </c>
      <c r="M16" s="36">
        <f t="shared" si="4"/>
        <v>0</v>
      </c>
      <c r="N16" s="37"/>
      <c r="O16" s="38">
        <f t="shared" si="5"/>
        <v>0</v>
      </c>
      <c r="P16" s="37"/>
      <c r="Q16" s="37"/>
      <c r="R16" s="37"/>
      <c r="S16" s="39">
        <f t="shared" si="1"/>
        <v>3</v>
      </c>
      <c r="T16" s="91" t="str">
        <f t="shared" si="2"/>
        <v>OK</v>
      </c>
      <c r="U16" s="96"/>
      <c r="V16" s="96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20</v>
      </c>
      <c r="L17" s="36">
        <f t="shared" si="3"/>
        <v>0</v>
      </c>
      <c r="M17" s="36">
        <f t="shared" si="4"/>
        <v>0</v>
      </c>
      <c r="N17" s="37"/>
      <c r="O17" s="38">
        <f t="shared" si="5"/>
        <v>5</v>
      </c>
      <c r="P17" s="37"/>
      <c r="Q17" s="37"/>
      <c r="R17" s="37"/>
      <c r="S17" s="39">
        <f t="shared" si="1"/>
        <v>20</v>
      </c>
      <c r="T17" s="91" t="str">
        <f t="shared" si="2"/>
        <v>OK</v>
      </c>
      <c r="U17" s="96"/>
      <c r="V17" s="9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3"/>
        <v>0</v>
      </c>
      <c r="M18" s="36">
        <f t="shared" si="4"/>
        <v>0</v>
      </c>
      <c r="N18" s="37"/>
      <c r="O18" s="38">
        <f t="shared" si="5"/>
        <v>0</v>
      </c>
      <c r="P18" s="37"/>
      <c r="Q18" s="37"/>
      <c r="R18" s="37"/>
      <c r="S18" s="39">
        <f t="shared" si="1"/>
        <v>0</v>
      </c>
      <c r="T18" s="91" t="str">
        <f t="shared" si="2"/>
        <v>OK</v>
      </c>
      <c r="U18" s="96"/>
      <c r="V18" s="9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3"/>
        <v>0</v>
      </c>
      <c r="M19" s="36">
        <f t="shared" si="4"/>
        <v>0</v>
      </c>
      <c r="N19" s="37"/>
      <c r="O19" s="38">
        <f t="shared" si="5"/>
        <v>0</v>
      </c>
      <c r="P19" s="37"/>
      <c r="Q19" s="37"/>
      <c r="R19" s="37"/>
      <c r="S19" s="39">
        <f t="shared" si="1"/>
        <v>0</v>
      </c>
      <c r="T19" s="91" t="str">
        <f t="shared" si="2"/>
        <v>OK</v>
      </c>
      <c r="U19" s="96"/>
      <c r="V19" s="9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3"/>
        <v>0</v>
      </c>
      <c r="M20" s="36">
        <f t="shared" si="4"/>
        <v>0</v>
      </c>
      <c r="N20" s="37"/>
      <c r="O20" s="38">
        <f t="shared" si="5"/>
        <v>0</v>
      </c>
      <c r="P20" s="37"/>
      <c r="Q20" s="37"/>
      <c r="R20" s="37"/>
      <c r="S20" s="39">
        <f t="shared" si="1"/>
        <v>0</v>
      </c>
      <c r="T20" s="91" t="str">
        <f t="shared" si="2"/>
        <v>OK</v>
      </c>
      <c r="U20" s="96"/>
      <c r="V20" s="9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3"/>
        <v>0</v>
      </c>
      <c r="M21" s="36">
        <f t="shared" si="4"/>
        <v>0</v>
      </c>
      <c r="N21" s="37"/>
      <c r="O21" s="38">
        <f t="shared" si="5"/>
        <v>0</v>
      </c>
      <c r="P21" s="37"/>
      <c r="Q21" s="37"/>
      <c r="R21" s="37"/>
      <c r="S21" s="39">
        <f t="shared" si="1"/>
        <v>0</v>
      </c>
      <c r="T21" s="91" t="str">
        <f t="shared" si="2"/>
        <v>OK</v>
      </c>
      <c r="U21" s="96"/>
      <c r="V21" s="96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300</v>
      </c>
      <c r="L22" s="36">
        <f t="shared" si="3"/>
        <v>0</v>
      </c>
      <c r="M22" s="36">
        <f t="shared" si="4"/>
        <v>0</v>
      </c>
      <c r="N22" s="37"/>
      <c r="O22" s="38">
        <f t="shared" si="5"/>
        <v>75</v>
      </c>
      <c r="P22" s="37"/>
      <c r="Q22" s="37"/>
      <c r="R22" s="37"/>
      <c r="S22" s="39">
        <f t="shared" si="1"/>
        <v>300</v>
      </c>
      <c r="T22" s="91" t="str">
        <f t="shared" si="2"/>
        <v>OK</v>
      </c>
      <c r="U22" s="96"/>
      <c r="V22" s="96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3"/>
        <v>0</v>
      </c>
      <c r="M23" s="36">
        <f t="shared" si="4"/>
        <v>0</v>
      </c>
      <c r="N23" s="37"/>
      <c r="O23" s="38">
        <f t="shared" si="5"/>
        <v>0</v>
      </c>
      <c r="P23" s="37"/>
      <c r="Q23" s="37"/>
      <c r="R23" s="37"/>
      <c r="S23" s="39">
        <f t="shared" si="1"/>
        <v>0</v>
      </c>
      <c r="T23" s="91" t="str">
        <f t="shared" si="2"/>
        <v>OK</v>
      </c>
      <c r="U23" s="96"/>
      <c r="V23" s="96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3"/>
        <v>0</v>
      </c>
      <c r="M24" s="36">
        <f t="shared" si="4"/>
        <v>0</v>
      </c>
      <c r="N24" s="37"/>
      <c r="O24" s="38">
        <f t="shared" si="5"/>
        <v>0</v>
      </c>
      <c r="P24" s="37"/>
      <c r="Q24" s="37"/>
      <c r="R24" s="37"/>
      <c r="S24" s="39">
        <f t="shared" si="1"/>
        <v>0</v>
      </c>
      <c r="T24" s="91" t="str">
        <f t="shared" si="2"/>
        <v>OK</v>
      </c>
      <c r="U24" s="96"/>
      <c r="V24" s="96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3"/>
        <v>0</v>
      </c>
      <c r="M25" s="36">
        <f t="shared" si="4"/>
        <v>0</v>
      </c>
      <c r="N25" s="37"/>
      <c r="O25" s="38">
        <f t="shared" si="5"/>
        <v>0</v>
      </c>
      <c r="P25" s="37"/>
      <c r="Q25" s="37"/>
      <c r="R25" s="37"/>
      <c r="S25" s="39">
        <f t="shared" si="1"/>
        <v>0</v>
      </c>
      <c r="T25" s="91" t="str">
        <f t="shared" si="2"/>
        <v>OK</v>
      </c>
      <c r="U25" s="96"/>
      <c r="V25" s="96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3"/>
        <v>0</v>
      </c>
      <c r="M26" s="36">
        <f t="shared" si="4"/>
        <v>0</v>
      </c>
      <c r="N26" s="37"/>
      <c r="O26" s="38">
        <f t="shared" si="5"/>
        <v>0</v>
      </c>
      <c r="P26" s="37"/>
      <c r="Q26" s="37"/>
      <c r="R26" s="37"/>
      <c r="S26" s="39">
        <f t="shared" si="1"/>
        <v>0</v>
      </c>
      <c r="T26" s="91" t="str">
        <f t="shared" si="2"/>
        <v>OK</v>
      </c>
      <c r="U26" s="96"/>
      <c r="V26" s="96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500</v>
      </c>
      <c r="L27" s="36">
        <f t="shared" si="3"/>
        <v>0</v>
      </c>
      <c r="M27" s="36">
        <f t="shared" si="4"/>
        <v>0</v>
      </c>
      <c r="N27" s="37"/>
      <c r="O27" s="38">
        <f t="shared" si="5"/>
        <v>125</v>
      </c>
      <c r="P27" s="37"/>
      <c r="Q27" s="37"/>
      <c r="R27" s="37"/>
      <c r="S27" s="39">
        <f t="shared" si="1"/>
        <v>500</v>
      </c>
      <c r="T27" s="91" t="str">
        <f t="shared" si="2"/>
        <v>OK</v>
      </c>
      <c r="U27" s="96"/>
      <c r="V27" s="96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/>
      <c r="L28" s="36">
        <f t="shared" si="3"/>
        <v>0</v>
      </c>
      <c r="M28" s="36">
        <f t="shared" si="4"/>
        <v>0</v>
      </c>
      <c r="N28" s="37"/>
      <c r="O28" s="38">
        <f t="shared" si="5"/>
        <v>0</v>
      </c>
      <c r="P28" s="37"/>
      <c r="Q28" s="37"/>
      <c r="R28" s="37"/>
      <c r="S28" s="39">
        <f t="shared" si="1"/>
        <v>0</v>
      </c>
      <c r="T28" s="91" t="str">
        <f t="shared" si="2"/>
        <v>OK</v>
      </c>
      <c r="U28" s="96"/>
      <c r="V28" s="96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3"/>
        <v>0</v>
      </c>
      <c r="M29" s="36">
        <f t="shared" si="4"/>
        <v>0</v>
      </c>
      <c r="N29" s="37"/>
      <c r="O29" s="38">
        <f t="shared" si="5"/>
        <v>0</v>
      </c>
      <c r="P29" s="37"/>
      <c r="Q29" s="37"/>
      <c r="R29" s="37"/>
      <c r="S29" s="39">
        <f t="shared" si="1"/>
        <v>0</v>
      </c>
      <c r="T29" s="91" t="str">
        <f t="shared" si="2"/>
        <v>OK</v>
      </c>
      <c r="U29" s="96"/>
      <c r="V29" s="96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3"/>
        <v>0</v>
      </c>
      <c r="M30" s="36">
        <f t="shared" si="4"/>
        <v>0</v>
      </c>
      <c r="N30" s="37"/>
      <c r="O30" s="38">
        <f t="shared" si="5"/>
        <v>0</v>
      </c>
      <c r="P30" s="37"/>
      <c r="Q30" s="37"/>
      <c r="R30" s="37"/>
      <c r="S30" s="39">
        <f t="shared" si="1"/>
        <v>0</v>
      </c>
      <c r="T30" s="91" t="str">
        <f t="shared" si="2"/>
        <v>OK</v>
      </c>
      <c r="U30" s="96"/>
      <c r="V30" s="96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500</v>
      </c>
      <c r="L31" s="36">
        <f t="shared" si="3"/>
        <v>0</v>
      </c>
      <c r="M31" s="36">
        <f t="shared" si="4"/>
        <v>0</v>
      </c>
      <c r="N31" s="37"/>
      <c r="O31" s="38">
        <f t="shared" si="5"/>
        <v>125</v>
      </c>
      <c r="P31" s="37"/>
      <c r="Q31" s="37"/>
      <c r="R31" s="37"/>
      <c r="S31" s="39">
        <f t="shared" si="1"/>
        <v>500</v>
      </c>
      <c r="T31" s="91" t="str">
        <f t="shared" si="2"/>
        <v>OK</v>
      </c>
      <c r="U31" s="96"/>
      <c r="V31" s="9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6">IF(SUM(U32:AL32)&gt;K32+N32,K32+N32,SUM(U32:AL32))</f>
        <v>0</v>
      </c>
      <c r="M32" s="36">
        <f t="shared" ref="M32" si="7">(SUM(U32:AL32))</f>
        <v>0</v>
      </c>
      <c r="N32" s="37"/>
      <c r="O32" s="38">
        <f t="shared" ref="O32" si="8">ROUND(IF(K32*0.25-0.5&lt;0,0,K32*0.25-0.5),0)-R32-P32</f>
        <v>0</v>
      </c>
      <c r="P32" s="37"/>
      <c r="Q32" s="37"/>
      <c r="R32" s="37"/>
      <c r="S32" s="39">
        <f t="shared" ref="S32" si="9">K32+N32+P32+Q32-M32</f>
        <v>0</v>
      </c>
      <c r="T32" s="91" t="str">
        <f t="shared" ref="T32" si="10">IF(S32&lt;0,"ATENÇÃO","OK")</f>
        <v>OK</v>
      </c>
      <c r="U32" s="96"/>
      <c r="V32" s="9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3"/>
        <v>0</v>
      </c>
      <c r="M33" s="36">
        <f t="shared" si="4"/>
        <v>0</v>
      </c>
      <c r="N33" s="37"/>
      <c r="O33" s="38">
        <f t="shared" si="5"/>
        <v>0</v>
      </c>
      <c r="P33" s="37"/>
      <c r="Q33" s="37"/>
      <c r="R33" s="37"/>
      <c r="S33" s="39">
        <f t="shared" si="1"/>
        <v>0</v>
      </c>
      <c r="T33" s="91" t="str">
        <f t="shared" si="2"/>
        <v>OK</v>
      </c>
      <c r="U33" s="96"/>
      <c r="V33" s="96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3"/>
        <v>0</v>
      </c>
      <c r="M34" s="36">
        <f t="shared" si="4"/>
        <v>0</v>
      </c>
      <c r="N34" s="37"/>
      <c r="O34" s="38">
        <f t="shared" si="5"/>
        <v>0</v>
      </c>
      <c r="P34" s="37"/>
      <c r="Q34" s="37"/>
      <c r="R34" s="37"/>
      <c r="S34" s="39">
        <f t="shared" si="1"/>
        <v>0</v>
      </c>
      <c r="T34" s="91" t="str">
        <f t="shared" si="2"/>
        <v>OK</v>
      </c>
      <c r="U34" s="96"/>
      <c r="V34" s="96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3"/>
        <v>0</v>
      </c>
      <c r="M35" s="36">
        <f t="shared" si="4"/>
        <v>0</v>
      </c>
      <c r="N35" s="37"/>
      <c r="O35" s="38">
        <f t="shared" si="5"/>
        <v>0</v>
      </c>
      <c r="P35" s="37"/>
      <c r="Q35" s="37"/>
      <c r="R35" s="37"/>
      <c r="S35" s="39">
        <f t="shared" si="1"/>
        <v>0</v>
      </c>
      <c r="T35" s="91" t="str">
        <f t="shared" si="2"/>
        <v>OK</v>
      </c>
      <c r="U35" s="96"/>
      <c r="V35" s="96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s="134" customFormat="1" x14ac:dyDescent="0.2">
      <c r="A36" s="26"/>
      <c r="B36" s="26"/>
      <c r="C36" s="26"/>
      <c r="D36" s="26"/>
      <c r="E36" s="26"/>
      <c r="F36" s="24"/>
      <c r="G36" s="24"/>
      <c r="H36" s="26"/>
      <c r="I36" s="26"/>
      <c r="J36" s="26"/>
      <c r="K36" s="132">
        <f>SUM(K4:K35)</f>
        <v>1335</v>
      </c>
      <c r="L36" s="132"/>
      <c r="M36" s="132"/>
      <c r="N36" s="132"/>
      <c r="O36" s="132"/>
      <c r="P36" s="132"/>
      <c r="Q36" s="132"/>
      <c r="R36" s="132"/>
      <c r="S36" s="26"/>
      <c r="T36" s="124"/>
      <c r="U36" s="133">
        <f>SUMPRODUCT($J$4:$J$35,U4:U35)</f>
        <v>3000</v>
      </c>
      <c r="V36" s="133">
        <f>SUMPRODUCT($J$4:$J$35,V4:V35)</f>
        <v>308.62</v>
      </c>
      <c r="W36" s="124">
        <f>SUMPRODUCT($J$4:$J$35,W4:W35)</f>
        <v>305.05</v>
      </c>
      <c r="X36" s="124">
        <f t="shared" ref="X36:AI36" si="11">SUMPRODUCT($J$4:$J$35,X4:X35)</f>
        <v>0</v>
      </c>
      <c r="Y36" s="124">
        <f t="shared" si="11"/>
        <v>0</v>
      </c>
      <c r="Z36" s="124">
        <f t="shared" si="11"/>
        <v>0</v>
      </c>
      <c r="AA36" s="124">
        <f t="shared" si="11"/>
        <v>0</v>
      </c>
      <c r="AB36" s="124">
        <f t="shared" si="11"/>
        <v>0</v>
      </c>
      <c r="AC36" s="124">
        <f t="shared" si="11"/>
        <v>0</v>
      </c>
      <c r="AD36" s="124">
        <f t="shared" si="11"/>
        <v>0</v>
      </c>
      <c r="AE36" s="124">
        <f t="shared" si="11"/>
        <v>0</v>
      </c>
      <c r="AF36" s="124">
        <f t="shared" si="11"/>
        <v>0</v>
      </c>
      <c r="AG36" s="124">
        <f t="shared" si="11"/>
        <v>0</v>
      </c>
      <c r="AH36" s="124">
        <f t="shared" si="11"/>
        <v>0</v>
      </c>
      <c r="AI36" s="124">
        <f t="shared" si="11"/>
        <v>0</v>
      </c>
    </row>
    <row r="39" spans="1:35" x14ac:dyDescent="0.2">
      <c r="V39" s="138"/>
    </row>
    <row r="40" spans="1:35" x14ac:dyDescent="0.2">
      <c r="V40" s="138"/>
    </row>
    <row r="41" spans="1:35" x14ac:dyDescent="0.2">
      <c r="V41" s="138"/>
    </row>
  </sheetData>
  <autoFilter ref="A3:AI36" xr:uid="{39494F79-591D-4EE5-83B8-4FB0F16CB343}"/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30" priority="7" operator="greaterThan">
      <formula>0</formula>
    </cfRule>
  </conditionalFormatting>
  <conditionalFormatting sqref="U4:AI35">
    <cfRule type="cellIs" dxfId="29" priority="6" operator="greaterThan">
      <formula>0</formula>
    </cfRule>
  </conditionalFormatting>
  <conditionalFormatting sqref="U36:AI36">
    <cfRule type="cellIs" dxfId="28" priority="1" operator="between">
      <formula>0.01</formula>
      <formula>299.99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3EB5-5E7B-43F4-8619-A7BD5F08A593}">
  <dimension ref="A1:AI36"/>
  <sheetViews>
    <sheetView topLeftCell="A24" zoomScale="80" zoomScaleNormal="80" zoomScaleSheetLayoutView="70" workbookViewId="0">
      <selection activeCell="H33" sqref="H33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39.28515625" style="25" customWidth="1"/>
    <col min="5" max="5" width="18.85546875" style="24" bestFit="1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3" width="14" style="27" bestFit="1" customWidth="1"/>
    <col min="14" max="14" width="14.7109375" style="27" bestFit="1" customWidth="1"/>
    <col min="15" max="15" width="14" style="27" bestFit="1" customWidth="1"/>
    <col min="16" max="18" width="10.140625" style="27" customWidth="1"/>
    <col min="19" max="19" width="10.28515625" style="28" customWidth="1"/>
    <col min="20" max="20" width="10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83" t="s">
        <v>55</v>
      </c>
      <c r="V1" s="283" t="s">
        <v>55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138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8.2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5" si="3">IF(S4&lt;0,"ATENÇÃO","OK")</f>
        <v>OK</v>
      </c>
      <c r="U4" s="92"/>
      <c r="V4" s="92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/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0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92"/>
      <c r="V5" s="92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92"/>
      <c r="V6" s="9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/>
      <c r="L7" s="36">
        <f t="shared" si="4"/>
        <v>0</v>
      </c>
      <c r="M7" s="36">
        <f t="shared" si="5"/>
        <v>0</v>
      </c>
      <c r="N7" s="37"/>
      <c r="O7" s="38">
        <f t="shared" si="6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92"/>
      <c r="V7" s="9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/>
      <c r="L8" s="36">
        <f t="shared" si="4"/>
        <v>0</v>
      </c>
      <c r="M8" s="36">
        <f t="shared" si="5"/>
        <v>0</v>
      </c>
      <c r="N8" s="37"/>
      <c r="O8" s="38">
        <f t="shared" si="6"/>
        <v>0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92"/>
      <c r="V8" s="9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92"/>
      <c r="V9" s="92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4"/>
        <v>0</v>
      </c>
      <c r="M10" s="36">
        <f t="shared" si="5"/>
        <v>0</v>
      </c>
      <c r="N10" s="37"/>
      <c r="O10" s="38">
        <f t="shared" si="6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96"/>
      <c r="V10" s="92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/>
      <c r="L11" s="36">
        <f t="shared" si="4"/>
        <v>0</v>
      </c>
      <c r="M11" s="36">
        <f t="shared" si="5"/>
        <v>0</v>
      </c>
      <c r="N11" s="37"/>
      <c r="O11" s="38">
        <f t="shared" si="6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97"/>
      <c r="V11" s="92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92"/>
      <c r="V12" s="92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92"/>
      <c r="V13" s="92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/>
      <c r="L14" s="36">
        <f t="shared" si="4"/>
        <v>0</v>
      </c>
      <c r="M14" s="36">
        <f t="shared" si="5"/>
        <v>0</v>
      </c>
      <c r="N14" s="37"/>
      <c r="O14" s="38">
        <f t="shared" si="6"/>
        <v>0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92"/>
      <c r="V14" s="92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92"/>
      <c r="V15" s="92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/>
      <c r="L16" s="36">
        <f t="shared" si="4"/>
        <v>0</v>
      </c>
      <c r="M16" s="36">
        <f t="shared" si="5"/>
        <v>0</v>
      </c>
      <c r="N16" s="37"/>
      <c r="O16" s="38">
        <f t="shared" si="6"/>
        <v>0</v>
      </c>
      <c r="P16" s="37"/>
      <c r="Q16" s="37"/>
      <c r="R16" s="37"/>
      <c r="S16" s="39">
        <f t="shared" si="2"/>
        <v>0</v>
      </c>
      <c r="T16" s="91" t="str">
        <f t="shared" si="3"/>
        <v>OK</v>
      </c>
      <c r="U16" s="92"/>
      <c r="V16" s="92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/>
      <c r="L17" s="36">
        <f t="shared" si="4"/>
        <v>0</v>
      </c>
      <c r="M17" s="36">
        <f t="shared" si="5"/>
        <v>0</v>
      </c>
      <c r="N17" s="37"/>
      <c r="O17" s="38">
        <f t="shared" si="6"/>
        <v>0</v>
      </c>
      <c r="P17" s="37"/>
      <c r="Q17" s="37"/>
      <c r="R17" s="37"/>
      <c r="S17" s="39">
        <f t="shared" si="2"/>
        <v>0</v>
      </c>
      <c r="T17" s="91" t="str">
        <f t="shared" si="3"/>
        <v>OK</v>
      </c>
      <c r="U17" s="92"/>
      <c r="V17" s="9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4"/>
        <v>0</v>
      </c>
      <c r="M18" s="36">
        <f t="shared" si="5"/>
        <v>0</v>
      </c>
      <c r="N18" s="37"/>
      <c r="O18" s="38">
        <f t="shared" si="6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92"/>
      <c r="V18" s="9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4"/>
        <v>0</v>
      </c>
      <c r="M19" s="36">
        <f t="shared" si="5"/>
        <v>0</v>
      </c>
      <c r="N19" s="37"/>
      <c r="O19" s="38">
        <f t="shared" si="6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92"/>
      <c r="V19" s="9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92"/>
      <c r="V20" s="9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96"/>
      <c r="V21" s="92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/>
      <c r="L22" s="36">
        <f t="shared" si="4"/>
        <v>0</v>
      </c>
      <c r="M22" s="36">
        <f t="shared" si="5"/>
        <v>0</v>
      </c>
      <c r="N22" s="37"/>
      <c r="O22" s="38">
        <f t="shared" si="6"/>
        <v>0</v>
      </c>
      <c r="P22" s="37"/>
      <c r="Q22" s="37"/>
      <c r="R22" s="37"/>
      <c r="S22" s="39">
        <f t="shared" si="2"/>
        <v>0</v>
      </c>
      <c r="T22" s="91" t="str">
        <f t="shared" si="3"/>
        <v>OK</v>
      </c>
      <c r="U22" s="96"/>
      <c r="V22" s="92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96"/>
      <c r="V23" s="92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10000</v>
      </c>
      <c r="L24" s="36">
        <f t="shared" si="4"/>
        <v>0</v>
      </c>
      <c r="M24" s="36">
        <f t="shared" si="5"/>
        <v>0</v>
      </c>
      <c r="N24" s="37"/>
      <c r="O24" s="38">
        <f t="shared" si="6"/>
        <v>2500</v>
      </c>
      <c r="P24" s="37"/>
      <c r="Q24" s="37"/>
      <c r="R24" s="37"/>
      <c r="S24" s="39">
        <f t="shared" si="2"/>
        <v>10000</v>
      </c>
      <c r="T24" s="91" t="str">
        <f t="shared" si="3"/>
        <v>OK</v>
      </c>
      <c r="U24" s="92"/>
      <c r="V24" s="92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92"/>
      <c r="V25" s="92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10000</v>
      </c>
      <c r="L26" s="36">
        <f t="shared" si="4"/>
        <v>0</v>
      </c>
      <c r="M26" s="36">
        <f t="shared" si="5"/>
        <v>0</v>
      </c>
      <c r="N26" s="37"/>
      <c r="O26" s="38">
        <f t="shared" si="6"/>
        <v>2500</v>
      </c>
      <c r="P26" s="37"/>
      <c r="Q26" s="37"/>
      <c r="R26" s="37"/>
      <c r="S26" s="39">
        <f t="shared" si="2"/>
        <v>10000</v>
      </c>
      <c r="T26" s="91" t="str">
        <f t="shared" si="3"/>
        <v>OK</v>
      </c>
      <c r="U26" s="92"/>
      <c r="V26" s="92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311" t="s">
        <v>157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/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92"/>
      <c r="V27" s="92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196">
        <v>25</v>
      </c>
      <c r="D28" s="312"/>
      <c r="E28" s="191" t="s">
        <v>22</v>
      </c>
      <c r="F28" s="192" t="s">
        <v>16</v>
      </c>
      <c r="G28" s="192" t="s">
        <v>17</v>
      </c>
      <c r="H28" s="193" t="s">
        <v>38</v>
      </c>
      <c r="I28" s="194" t="s">
        <v>101</v>
      </c>
      <c r="J28" s="195">
        <v>0.19</v>
      </c>
      <c r="K28" s="90">
        <v>100000</v>
      </c>
      <c r="L28" s="36">
        <f t="shared" si="4"/>
        <v>0</v>
      </c>
      <c r="M28" s="36">
        <f t="shared" si="5"/>
        <v>0</v>
      </c>
      <c r="N28" s="37">
        <v>-55000</v>
      </c>
      <c r="O28" s="38">
        <f t="shared" si="6"/>
        <v>25000</v>
      </c>
      <c r="P28" s="37"/>
      <c r="Q28" s="37"/>
      <c r="R28" s="37"/>
      <c r="S28" s="39">
        <f t="shared" si="2"/>
        <v>45000</v>
      </c>
      <c r="T28" s="91" t="str">
        <f t="shared" si="3"/>
        <v>OK</v>
      </c>
      <c r="U28" s="92"/>
      <c r="V28" s="92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4"/>
        <v>0</v>
      </c>
      <c r="M29" s="36">
        <f t="shared" si="5"/>
        <v>0</v>
      </c>
      <c r="N29" s="37"/>
      <c r="O29" s="38">
        <f t="shared" si="6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92"/>
      <c r="V29" s="92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4"/>
        <v>0</v>
      </c>
      <c r="M30" s="36">
        <f t="shared" si="5"/>
        <v>0</v>
      </c>
      <c r="N30" s="37"/>
      <c r="O30" s="38">
        <f t="shared" si="6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92"/>
      <c r="V30" s="92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/>
      <c r="L31" s="36">
        <f t="shared" si="4"/>
        <v>0</v>
      </c>
      <c r="M31" s="36">
        <f t="shared" si="5"/>
        <v>0</v>
      </c>
      <c r="N31" s="37"/>
      <c r="O31" s="38">
        <f t="shared" si="6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92"/>
      <c r="V31" s="9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0</v>
      </c>
      <c r="P32" s="37"/>
      <c r="Q32" s="37"/>
      <c r="R32" s="37"/>
      <c r="S32" s="39">
        <f t="shared" ref="S32" si="10">K32+N32+P32+Q32-M32</f>
        <v>0</v>
      </c>
      <c r="T32" s="91" t="str">
        <f t="shared" ref="T32" si="11">IF(S32&lt;0,"ATENÇÃO","OK")</f>
        <v>OK</v>
      </c>
      <c r="U32" s="92"/>
      <c r="V32" s="9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92"/>
      <c r="V33" s="92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92"/>
      <c r="V34" s="92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92"/>
      <c r="V35" s="92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120000</v>
      </c>
      <c r="U36" s="30">
        <f>SUMPRODUCT($J$4:$J$35,U4:U35)</f>
        <v>0</v>
      </c>
      <c r="V36" s="30">
        <f>SUMPRODUCT($J$4:$J$35,V4:V35)</f>
        <v>0</v>
      </c>
      <c r="W36" s="30">
        <f>SUMPRODUCT($J$4:$J$35,W4:W35)</f>
        <v>0</v>
      </c>
      <c r="X36" s="30">
        <f t="shared" ref="X36:AI36" si="12">SUMPRODUCT($J$4:$J$35,X4:X35)</f>
        <v>0</v>
      </c>
      <c r="Y36" s="30">
        <f t="shared" si="12"/>
        <v>0</v>
      </c>
      <c r="Z36" s="30">
        <f t="shared" si="12"/>
        <v>0</v>
      </c>
      <c r="AA36" s="30">
        <f t="shared" si="12"/>
        <v>0</v>
      </c>
      <c r="AB36" s="30">
        <f t="shared" si="12"/>
        <v>0</v>
      </c>
      <c r="AC36" s="30">
        <f t="shared" si="12"/>
        <v>0</v>
      </c>
      <c r="AD36" s="30">
        <f t="shared" si="12"/>
        <v>0</v>
      </c>
      <c r="AE36" s="30">
        <f t="shared" si="12"/>
        <v>0</v>
      </c>
      <c r="AF36" s="30">
        <f t="shared" si="12"/>
        <v>0</v>
      </c>
      <c r="AG36" s="30">
        <f t="shared" si="12"/>
        <v>0</v>
      </c>
      <c r="AH36" s="30">
        <f t="shared" si="12"/>
        <v>0</v>
      </c>
      <c r="AI36" s="30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X4:AL32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6998-353D-4E78-A5C2-47530402A741}">
  <dimension ref="A1:AI36"/>
  <sheetViews>
    <sheetView topLeftCell="A31" zoomScale="90" zoomScaleNormal="90" workbookViewId="0">
      <selection activeCell="A3" sqref="A3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8.85546875" style="24" bestFit="1" customWidth="1"/>
    <col min="6" max="6" width="6.42578125" style="24" hidden="1" customWidth="1"/>
    <col min="7" max="7" width="10.5703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3" width="14" style="27" bestFit="1" customWidth="1"/>
    <col min="14" max="14" width="14.7109375" style="27" bestFit="1" customWidth="1"/>
    <col min="15" max="15" width="14" style="27" bestFit="1" customWidth="1"/>
    <col min="16" max="18" width="10.140625" style="27" customWidth="1"/>
    <col min="19" max="19" width="10.28515625" style="28" customWidth="1"/>
    <col min="20" max="20" width="10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283" t="s">
        <v>55</v>
      </c>
      <c r="V1" s="283" t="s">
        <v>55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140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8.25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5" si="3">IF(S4&lt;0,"ATENÇÃO","OK")</f>
        <v>OK</v>
      </c>
      <c r="U4" s="92"/>
      <c r="V4" s="92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/>
      <c r="L5" s="36">
        <f t="shared" ref="L5:L35" si="4">IF(SUM(U5:AL5)&gt;K5+N5,K5+N5,SUM(U5:AL5))</f>
        <v>0</v>
      </c>
      <c r="M5" s="36">
        <f t="shared" ref="M5:M35" si="5">(SUM(U5:AL5))</f>
        <v>0</v>
      </c>
      <c r="N5" s="37"/>
      <c r="O5" s="38">
        <f t="shared" ref="O5:O35" si="6">ROUND(IF(K5*0.25-0.5&lt;0,0,K5*0.25-0.5),0)-R5-P5</f>
        <v>0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92"/>
      <c r="V5" s="92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92"/>
      <c r="V6" s="9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/>
      <c r="L7" s="36">
        <f t="shared" si="4"/>
        <v>0</v>
      </c>
      <c r="M7" s="36">
        <f t="shared" si="5"/>
        <v>0</v>
      </c>
      <c r="N7" s="37"/>
      <c r="O7" s="38">
        <f t="shared" si="6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92"/>
      <c r="V7" s="9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/>
      <c r="L8" s="36">
        <f t="shared" si="4"/>
        <v>0</v>
      </c>
      <c r="M8" s="36">
        <f t="shared" si="5"/>
        <v>0</v>
      </c>
      <c r="N8" s="37"/>
      <c r="O8" s="38">
        <f t="shared" si="6"/>
        <v>0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92"/>
      <c r="V8" s="9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92"/>
      <c r="V9" s="92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4"/>
        <v>0</v>
      </c>
      <c r="M10" s="36">
        <f t="shared" si="5"/>
        <v>0</v>
      </c>
      <c r="N10" s="37"/>
      <c r="O10" s="38">
        <f t="shared" si="6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96"/>
      <c r="V10" s="92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/>
      <c r="L11" s="36">
        <f t="shared" si="4"/>
        <v>0</v>
      </c>
      <c r="M11" s="36">
        <f t="shared" si="5"/>
        <v>0</v>
      </c>
      <c r="N11" s="37"/>
      <c r="O11" s="38">
        <f t="shared" si="6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97"/>
      <c r="V11" s="92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92"/>
      <c r="V12" s="92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92"/>
      <c r="V13" s="92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/>
      <c r="L14" s="36">
        <f t="shared" si="4"/>
        <v>0</v>
      </c>
      <c r="M14" s="36">
        <f t="shared" si="5"/>
        <v>0</v>
      </c>
      <c r="N14" s="37"/>
      <c r="O14" s="38">
        <f t="shared" si="6"/>
        <v>0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92"/>
      <c r="V14" s="92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92"/>
      <c r="V15" s="92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/>
      <c r="L16" s="36">
        <f t="shared" si="4"/>
        <v>0</v>
      </c>
      <c r="M16" s="36">
        <f t="shared" si="5"/>
        <v>0</v>
      </c>
      <c r="N16" s="37"/>
      <c r="O16" s="38">
        <f t="shared" si="6"/>
        <v>0</v>
      </c>
      <c r="P16" s="37"/>
      <c r="Q16" s="37"/>
      <c r="R16" s="37"/>
      <c r="S16" s="39">
        <f t="shared" si="2"/>
        <v>0</v>
      </c>
      <c r="T16" s="91" t="str">
        <f t="shared" si="3"/>
        <v>OK</v>
      </c>
      <c r="U16" s="92"/>
      <c r="V16" s="92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/>
      <c r="L17" s="36">
        <f t="shared" si="4"/>
        <v>0</v>
      </c>
      <c r="M17" s="36">
        <f t="shared" si="5"/>
        <v>0</v>
      </c>
      <c r="N17" s="37"/>
      <c r="O17" s="38">
        <f t="shared" si="6"/>
        <v>0</v>
      </c>
      <c r="P17" s="37"/>
      <c r="Q17" s="37"/>
      <c r="R17" s="37"/>
      <c r="S17" s="39">
        <f t="shared" si="2"/>
        <v>0</v>
      </c>
      <c r="T17" s="91" t="str">
        <f t="shared" si="3"/>
        <v>OK</v>
      </c>
      <c r="U17" s="92"/>
      <c r="V17" s="9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/>
      <c r="L18" s="36">
        <f t="shared" si="4"/>
        <v>0</v>
      </c>
      <c r="M18" s="36">
        <f t="shared" si="5"/>
        <v>0</v>
      </c>
      <c r="N18" s="37"/>
      <c r="O18" s="38">
        <f t="shared" si="6"/>
        <v>0</v>
      </c>
      <c r="P18" s="37"/>
      <c r="Q18" s="37"/>
      <c r="R18" s="37"/>
      <c r="S18" s="39">
        <f t="shared" si="2"/>
        <v>0</v>
      </c>
      <c r="T18" s="91" t="str">
        <f t="shared" si="3"/>
        <v>OK</v>
      </c>
      <c r="U18" s="92"/>
      <c r="V18" s="9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4"/>
        <v>0</v>
      </c>
      <c r="M19" s="36">
        <f t="shared" si="5"/>
        <v>0</v>
      </c>
      <c r="N19" s="37"/>
      <c r="O19" s="38">
        <f t="shared" si="6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92"/>
      <c r="V19" s="9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92"/>
      <c r="V20" s="9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96"/>
      <c r="V21" s="92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/>
      <c r="L22" s="36">
        <f t="shared" si="4"/>
        <v>0</v>
      </c>
      <c r="M22" s="36">
        <f t="shared" si="5"/>
        <v>0</v>
      </c>
      <c r="N22" s="37"/>
      <c r="O22" s="38">
        <f t="shared" si="6"/>
        <v>0</v>
      </c>
      <c r="P22" s="37"/>
      <c r="Q22" s="37"/>
      <c r="R22" s="37"/>
      <c r="S22" s="39">
        <f t="shared" si="2"/>
        <v>0</v>
      </c>
      <c r="T22" s="91" t="str">
        <f t="shared" si="3"/>
        <v>OK</v>
      </c>
      <c r="U22" s="96"/>
      <c r="V22" s="92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96"/>
      <c r="V23" s="92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92"/>
      <c r="V24" s="92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92"/>
      <c r="V25" s="92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92"/>
      <c r="V26" s="92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300</v>
      </c>
      <c r="L27" s="36">
        <f t="shared" si="4"/>
        <v>0</v>
      </c>
      <c r="M27" s="36">
        <f t="shared" si="5"/>
        <v>0</v>
      </c>
      <c r="N27" s="37"/>
      <c r="O27" s="38">
        <f t="shared" si="6"/>
        <v>75</v>
      </c>
      <c r="P27" s="37"/>
      <c r="Q27" s="37"/>
      <c r="R27" s="37"/>
      <c r="S27" s="39">
        <f t="shared" si="2"/>
        <v>300</v>
      </c>
      <c r="T27" s="91" t="str">
        <f t="shared" si="3"/>
        <v>OK</v>
      </c>
      <c r="U27" s="92"/>
      <c r="V27" s="92"/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/>
      <c r="L28" s="36">
        <f t="shared" si="4"/>
        <v>0</v>
      </c>
      <c r="M28" s="36">
        <f t="shared" si="5"/>
        <v>0</v>
      </c>
      <c r="N28" s="37"/>
      <c r="O28" s="38">
        <f t="shared" si="6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92"/>
      <c r="V28" s="92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700</v>
      </c>
      <c r="L29" s="36">
        <f t="shared" si="4"/>
        <v>0</v>
      </c>
      <c r="M29" s="36">
        <f t="shared" si="5"/>
        <v>0</v>
      </c>
      <c r="N29" s="37"/>
      <c r="O29" s="38">
        <f t="shared" si="6"/>
        <v>175</v>
      </c>
      <c r="P29" s="37"/>
      <c r="Q29" s="37"/>
      <c r="R29" s="37"/>
      <c r="S29" s="39">
        <f t="shared" si="2"/>
        <v>700</v>
      </c>
      <c r="T29" s="91" t="str">
        <f t="shared" si="3"/>
        <v>OK</v>
      </c>
      <c r="U29" s="92"/>
      <c r="V29" s="92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4"/>
        <v>0</v>
      </c>
      <c r="M30" s="36">
        <f t="shared" si="5"/>
        <v>0</v>
      </c>
      <c r="N30" s="37"/>
      <c r="O30" s="38">
        <f t="shared" si="6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92"/>
      <c r="V30" s="92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700</v>
      </c>
      <c r="L31" s="36">
        <f t="shared" si="4"/>
        <v>0</v>
      </c>
      <c r="M31" s="36">
        <f t="shared" si="5"/>
        <v>0</v>
      </c>
      <c r="N31" s="37"/>
      <c r="O31" s="38">
        <f t="shared" si="6"/>
        <v>175</v>
      </c>
      <c r="P31" s="37"/>
      <c r="Q31" s="37"/>
      <c r="R31" s="37"/>
      <c r="S31" s="39">
        <f t="shared" si="2"/>
        <v>700</v>
      </c>
      <c r="T31" s="91" t="str">
        <f t="shared" si="3"/>
        <v>OK</v>
      </c>
      <c r="U31" s="92"/>
      <c r="V31" s="9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/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0</v>
      </c>
      <c r="P32" s="37"/>
      <c r="Q32" s="37"/>
      <c r="R32" s="37"/>
      <c r="S32" s="39">
        <f t="shared" ref="S32" si="10">K32+N32+P32+Q32-M32</f>
        <v>0</v>
      </c>
      <c r="T32" s="91" t="str">
        <f t="shared" ref="T32" si="11">IF(S32&lt;0,"ATENÇÃO","OK")</f>
        <v>OK</v>
      </c>
      <c r="U32" s="92"/>
      <c r="V32" s="9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92"/>
      <c r="V33" s="92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92"/>
      <c r="V34" s="92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92"/>
      <c r="V35" s="92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1700</v>
      </c>
      <c r="U36" s="30">
        <f>SUMPRODUCT($J$4:$J$35,U4:U35)</f>
        <v>0</v>
      </c>
      <c r="V36" s="30">
        <f>SUMPRODUCT($J$4:$J$35,V4:V35)</f>
        <v>0</v>
      </c>
      <c r="W36" s="30">
        <f>SUMPRODUCT($J$4:$J$35,W4:W35)</f>
        <v>0</v>
      </c>
      <c r="X36" s="30">
        <f t="shared" ref="X36:AI36" si="12">SUMPRODUCT($J$4:$J$35,X4:X35)</f>
        <v>0</v>
      </c>
      <c r="Y36" s="30">
        <f t="shared" si="12"/>
        <v>0</v>
      </c>
      <c r="Z36" s="30">
        <f t="shared" si="12"/>
        <v>0</v>
      </c>
      <c r="AA36" s="30">
        <f t="shared" si="12"/>
        <v>0</v>
      </c>
      <c r="AB36" s="30">
        <f t="shared" si="12"/>
        <v>0</v>
      </c>
      <c r="AC36" s="30">
        <f t="shared" si="12"/>
        <v>0</v>
      </c>
      <c r="AD36" s="30">
        <f t="shared" si="12"/>
        <v>0</v>
      </c>
      <c r="AE36" s="30">
        <f t="shared" si="12"/>
        <v>0</v>
      </c>
      <c r="AF36" s="30">
        <f t="shared" si="12"/>
        <v>0</v>
      </c>
      <c r="AG36" s="30">
        <f t="shared" si="12"/>
        <v>0</v>
      </c>
      <c r="AH36" s="30">
        <f t="shared" si="12"/>
        <v>0</v>
      </c>
      <c r="AI36" s="30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26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4DF2-74DE-4531-A2F2-ADA5A4353F83}">
  <dimension ref="A1:AF38"/>
  <sheetViews>
    <sheetView topLeftCell="A13" zoomScale="70" zoomScaleNormal="70" workbookViewId="0">
      <selection activeCell="P17" sqref="P17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4.28515625" style="26" customWidth="1"/>
    <col min="11" max="18" width="10.5703125" style="27" customWidth="1"/>
    <col min="19" max="19" width="10.5703125" style="28" customWidth="1"/>
    <col min="20" max="20" width="10.5703125" style="29" customWidth="1"/>
    <col min="21" max="22" width="13.7109375" style="30" customWidth="1"/>
    <col min="23" max="32" width="13.7109375" style="17" customWidth="1"/>
    <col min="33" max="16384" width="9.7109375" style="17"/>
  </cols>
  <sheetData>
    <row r="1" spans="1:32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3" t="s">
        <v>243</v>
      </c>
      <c r="V1" s="313" t="s">
        <v>244</v>
      </c>
      <c r="W1" s="313" t="s">
        <v>245</v>
      </c>
      <c r="X1" s="313" t="s">
        <v>246</v>
      </c>
      <c r="Y1" s="313" t="s">
        <v>247</v>
      </c>
      <c r="Z1" s="313" t="s">
        <v>248</v>
      </c>
      <c r="AA1" s="313" t="s">
        <v>249</v>
      </c>
      <c r="AB1" s="313" t="s">
        <v>250</v>
      </c>
      <c r="AC1" s="313" t="s">
        <v>251</v>
      </c>
      <c r="AD1" s="313" t="s">
        <v>252</v>
      </c>
      <c r="AE1" s="313" t="s">
        <v>253</v>
      </c>
      <c r="AF1" s="283" t="s">
        <v>55</v>
      </c>
    </row>
    <row r="2" spans="1:32" ht="30.75" customHeight="1" x14ac:dyDescent="0.2">
      <c r="A2" s="270" t="s">
        <v>153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283"/>
    </row>
    <row r="3" spans="1:32" s="22" customFormat="1" ht="51.95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45840</v>
      </c>
      <c r="V3" s="234">
        <v>45840</v>
      </c>
      <c r="W3" s="234">
        <v>45922</v>
      </c>
      <c r="X3" s="250" t="s">
        <v>254</v>
      </c>
      <c r="Y3" s="234">
        <v>45939</v>
      </c>
      <c r="Z3" s="234">
        <v>45964</v>
      </c>
      <c r="AA3" s="257">
        <v>45965</v>
      </c>
      <c r="AB3" s="258">
        <v>45966</v>
      </c>
      <c r="AC3" s="259">
        <v>45968</v>
      </c>
      <c r="AD3" s="258">
        <v>45973</v>
      </c>
      <c r="AE3" s="259">
        <v>45972</v>
      </c>
      <c r="AF3" s="21" t="s">
        <v>1</v>
      </c>
    </row>
    <row r="4" spans="1:32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>
        <v>0</v>
      </c>
      <c r="L4" s="36">
        <f t="shared" ref="L4:L35" si="0">IF(SUM(U4:AI4)&gt;K4+N4,K4+N4,SUM(U4:AI4))</f>
        <v>0</v>
      </c>
      <c r="M4" s="36">
        <f t="shared" ref="M4:M35" si="1">(SUM(U4:AI4))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98"/>
    </row>
    <row r="5" spans="1:32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300</v>
      </c>
      <c r="L5" s="36">
        <f t="shared" si="0"/>
        <v>0</v>
      </c>
      <c r="M5" s="36">
        <f t="shared" si="1"/>
        <v>0</v>
      </c>
      <c r="N5" s="37"/>
      <c r="O5" s="38">
        <f t="shared" ref="O5:O35" si="4">ROUND(IF(K5*0.25-0.5&lt;0,0,K5*0.25-0.5),0)-R5-P5</f>
        <v>75</v>
      </c>
      <c r="P5" s="37"/>
      <c r="Q5" s="37"/>
      <c r="R5" s="37"/>
      <c r="S5" s="39">
        <f t="shared" si="2"/>
        <v>300</v>
      </c>
      <c r="T5" s="91" t="str">
        <f t="shared" si="3"/>
        <v>OK</v>
      </c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98"/>
    </row>
    <row r="6" spans="1:32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0</v>
      </c>
      <c r="L6" s="36">
        <f t="shared" si="0"/>
        <v>0</v>
      </c>
      <c r="M6" s="36">
        <f t="shared" si="1"/>
        <v>0</v>
      </c>
      <c r="N6" s="37">
        <v>1</v>
      </c>
      <c r="O6" s="38">
        <f t="shared" si="4"/>
        <v>0</v>
      </c>
      <c r="P6" s="37"/>
      <c r="Q6" s="37"/>
      <c r="R6" s="37"/>
      <c r="S6" s="39">
        <f t="shared" si="2"/>
        <v>1</v>
      </c>
      <c r="T6" s="91" t="str">
        <f t="shared" si="3"/>
        <v>OK</v>
      </c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98"/>
    </row>
    <row r="7" spans="1:32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0</v>
      </c>
      <c r="L7" s="36">
        <f t="shared" si="0"/>
        <v>0</v>
      </c>
      <c r="M7" s="36">
        <f t="shared" si="1"/>
        <v>0</v>
      </c>
      <c r="N7" s="37"/>
      <c r="O7" s="38">
        <f t="shared" si="4"/>
        <v>0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98"/>
    </row>
    <row r="8" spans="1:32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200</v>
      </c>
      <c r="L8" s="36">
        <f t="shared" si="0"/>
        <v>0</v>
      </c>
      <c r="M8" s="36">
        <f t="shared" si="1"/>
        <v>0</v>
      </c>
      <c r="N8" s="37"/>
      <c r="O8" s="38">
        <f t="shared" si="4"/>
        <v>50</v>
      </c>
      <c r="P8" s="37"/>
      <c r="Q8" s="37"/>
      <c r="R8" s="37"/>
      <c r="S8" s="39">
        <f t="shared" si="2"/>
        <v>200</v>
      </c>
      <c r="T8" s="91" t="str">
        <f t="shared" si="3"/>
        <v>OK</v>
      </c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98"/>
    </row>
    <row r="9" spans="1:32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>
        <v>10</v>
      </c>
      <c r="L9" s="36">
        <f t="shared" si="0"/>
        <v>10</v>
      </c>
      <c r="M9" s="36">
        <f t="shared" si="1"/>
        <v>10</v>
      </c>
      <c r="N9" s="37"/>
      <c r="O9" s="38">
        <f t="shared" si="4"/>
        <v>2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44"/>
      <c r="V9" s="244"/>
      <c r="W9" s="244"/>
      <c r="X9" s="242">
        <v>10</v>
      </c>
      <c r="Y9" s="244"/>
      <c r="Z9" s="244"/>
      <c r="AA9" s="244"/>
      <c r="AB9" s="244"/>
      <c r="AC9" s="244"/>
      <c r="AD9" s="244"/>
      <c r="AE9" s="244"/>
      <c r="AF9" s="98"/>
    </row>
    <row r="10" spans="1:32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0</v>
      </c>
      <c r="L10" s="36">
        <f t="shared" si="0"/>
        <v>0</v>
      </c>
      <c r="M10" s="36">
        <f t="shared" si="1"/>
        <v>0</v>
      </c>
      <c r="N10" s="37"/>
      <c r="O10" s="38">
        <f t="shared" si="4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98"/>
    </row>
    <row r="11" spans="1:32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>
        <v>20</v>
      </c>
      <c r="L11" s="36">
        <f t="shared" si="0"/>
        <v>2</v>
      </c>
      <c r="M11" s="36">
        <f t="shared" si="1"/>
        <v>2</v>
      </c>
      <c r="N11" s="37">
        <v>-2</v>
      </c>
      <c r="O11" s="38">
        <f t="shared" si="4"/>
        <v>5</v>
      </c>
      <c r="P11" s="37"/>
      <c r="Q11" s="37"/>
      <c r="R11" s="37"/>
      <c r="S11" s="39">
        <f t="shared" si="2"/>
        <v>16</v>
      </c>
      <c r="T11" s="91" t="str">
        <f t="shared" si="3"/>
        <v>OK</v>
      </c>
      <c r="U11" s="253"/>
      <c r="V11" s="244"/>
      <c r="W11" s="244"/>
      <c r="X11" s="242">
        <v>2</v>
      </c>
      <c r="Y11" s="244"/>
      <c r="Z11" s="244"/>
      <c r="AA11" s="244"/>
      <c r="AB11" s="244"/>
      <c r="AC11" s="244"/>
      <c r="AD11" s="244"/>
      <c r="AE11" s="244"/>
      <c r="AF11" s="98"/>
    </row>
    <row r="12" spans="1:32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>
        <v>0</v>
      </c>
      <c r="L12" s="36">
        <f t="shared" si="0"/>
        <v>0</v>
      </c>
      <c r="M12" s="36">
        <f t="shared" si="1"/>
        <v>0</v>
      </c>
      <c r="N12" s="37"/>
      <c r="O12" s="38">
        <f t="shared" si="4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98"/>
    </row>
    <row r="13" spans="1:32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10</v>
      </c>
      <c r="L13" s="36">
        <f t="shared" si="0"/>
        <v>0</v>
      </c>
      <c r="M13" s="36">
        <f t="shared" si="1"/>
        <v>0</v>
      </c>
      <c r="N13" s="37"/>
      <c r="O13" s="38">
        <f t="shared" si="4"/>
        <v>2</v>
      </c>
      <c r="P13" s="37"/>
      <c r="Q13" s="37"/>
      <c r="R13" s="37"/>
      <c r="S13" s="39">
        <f t="shared" si="2"/>
        <v>10</v>
      </c>
      <c r="T13" s="91" t="str">
        <f t="shared" si="3"/>
        <v>OK</v>
      </c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98"/>
    </row>
    <row r="14" spans="1:32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305</v>
      </c>
      <c r="L14" s="36">
        <f t="shared" si="0"/>
        <v>245</v>
      </c>
      <c r="M14" s="36">
        <f t="shared" si="1"/>
        <v>245</v>
      </c>
      <c r="N14" s="37"/>
      <c r="O14" s="38">
        <f t="shared" si="4"/>
        <v>76</v>
      </c>
      <c r="P14" s="37"/>
      <c r="Q14" s="37"/>
      <c r="R14" s="37"/>
      <c r="S14" s="39">
        <f t="shared" si="2"/>
        <v>60</v>
      </c>
      <c r="T14" s="91" t="str">
        <f t="shared" si="3"/>
        <v>OK</v>
      </c>
      <c r="U14" s="244"/>
      <c r="V14" s="244"/>
      <c r="W14" s="242">
        <v>150</v>
      </c>
      <c r="X14" s="244"/>
      <c r="Y14" s="244"/>
      <c r="Z14" s="244"/>
      <c r="AA14" s="244"/>
      <c r="AB14" s="244"/>
      <c r="AC14" s="245">
        <f>28</f>
        <v>28</v>
      </c>
      <c r="AD14" s="244"/>
      <c r="AE14" s="242">
        <v>67</v>
      </c>
      <c r="AF14" s="98"/>
    </row>
    <row r="15" spans="1:32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>
        <v>0</v>
      </c>
      <c r="L15" s="36">
        <f t="shared" si="0"/>
        <v>1</v>
      </c>
      <c r="M15" s="36">
        <f t="shared" si="1"/>
        <v>1</v>
      </c>
      <c r="N15" s="37">
        <v>1</v>
      </c>
      <c r="O15" s="38">
        <f t="shared" si="4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44"/>
      <c r="V15" s="244"/>
      <c r="W15" s="242">
        <v>1</v>
      </c>
      <c r="X15" s="244"/>
      <c r="Y15" s="244"/>
      <c r="Z15" s="244"/>
      <c r="AA15" s="244"/>
      <c r="AB15" s="244"/>
      <c r="AC15" s="244"/>
      <c r="AD15" s="244"/>
      <c r="AE15" s="244"/>
      <c r="AF15" s="98"/>
    </row>
    <row r="16" spans="1:32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500</v>
      </c>
      <c r="L16" s="36">
        <f t="shared" si="0"/>
        <v>7</v>
      </c>
      <c r="M16" s="36">
        <f t="shared" si="1"/>
        <v>7</v>
      </c>
      <c r="N16" s="37"/>
      <c r="O16" s="38">
        <f t="shared" si="4"/>
        <v>125</v>
      </c>
      <c r="P16" s="37"/>
      <c r="Q16" s="37"/>
      <c r="R16" s="37"/>
      <c r="S16" s="39">
        <f t="shared" si="2"/>
        <v>493</v>
      </c>
      <c r="T16" s="91" t="str">
        <f t="shared" si="3"/>
        <v>OK</v>
      </c>
      <c r="U16" s="244"/>
      <c r="V16" s="244">
        <v>7</v>
      </c>
      <c r="W16" s="244"/>
      <c r="X16" s="244"/>
      <c r="Y16" s="244"/>
      <c r="Z16" s="244"/>
      <c r="AA16" s="244"/>
      <c r="AB16" s="244"/>
      <c r="AC16" s="244"/>
      <c r="AD16" s="244"/>
      <c r="AE16" s="244"/>
      <c r="AF16" s="98"/>
    </row>
    <row r="17" spans="1:32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1000</v>
      </c>
      <c r="L17" s="36">
        <f t="shared" si="0"/>
        <v>0</v>
      </c>
      <c r="M17" s="36">
        <f t="shared" si="1"/>
        <v>0</v>
      </c>
      <c r="N17" s="37">
        <v>-100</v>
      </c>
      <c r="O17" s="38">
        <f t="shared" si="4"/>
        <v>250</v>
      </c>
      <c r="P17" s="37"/>
      <c r="Q17" s="37"/>
      <c r="R17" s="37"/>
      <c r="S17" s="39">
        <f t="shared" si="2"/>
        <v>900</v>
      </c>
      <c r="T17" s="91" t="str">
        <f t="shared" si="3"/>
        <v>OK</v>
      </c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98"/>
    </row>
    <row r="18" spans="1:32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110</v>
      </c>
      <c r="L18" s="36">
        <f t="shared" si="0"/>
        <v>10</v>
      </c>
      <c r="M18" s="36">
        <f t="shared" si="1"/>
        <v>10</v>
      </c>
      <c r="N18" s="37"/>
      <c r="O18" s="38">
        <f t="shared" si="4"/>
        <v>27</v>
      </c>
      <c r="P18" s="37"/>
      <c r="Q18" s="37"/>
      <c r="R18" s="37"/>
      <c r="S18" s="39">
        <f t="shared" si="2"/>
        <v>100</v>
      </c>
      <c r="T18" s="91" t="str">
        <f t="shared" si="3"/>
        <v>OK</v>
      </c>
      <c r="U18" s="244"/>
      <c r="V18" s="244"/>
      <c r="W18" s="244"/>
      <c r="X18" s="244"/>
      <c r="Y18" s="244"/>
      <c r="Z18" s="244"/>
      <c r="AA18" s="242">
        <v>10</v>
      </c>
      <c r="AB18" s="244"/>
      <c r="AC18" s="244"/>
      <c r="AD18" s="244"/>
      <c r="AE18" s="244"/>
      <c r="AF18" s="98"/>
    </row>
    <row r="19" spans="1:32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150</v>
      </c>
      <c r="L19" s="36">
        <f t="shared" si="0"/>
        <v>0</v>
      </c>
      <c r="M19" s="36">
        <f t="shared" si="1"/>
        <v>0</v>
      </c>
      <c r="N19" s="37"/>
      <c r="O19" s="38">
        <f t="shared" si="4"/>
        <v>37</v>
      </c>
      <c r="P19" s="37"/>
      <c r="Q19" s="37"/>
      <c r="R19" s="37"/>
      <c r="S19" s="39">
        <f t="shared" si="2"/>
        <v>150</v>
      </c>
      <c r="T19" s="91" t="str">
        <f t="shared" si="3"/>
        <v>OK</v>
      </c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98"/>
    </row>
    <row r="20" spans="1:32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>
        <v>50</v>
      </c>
      <c r="L20" s="36">
        <f t="shared" si="0"/>
        <v>0</v>
      </c>
      <c r="M20" s="36">
        <f t="shared" si="1"/>
        <v>0</v>
      </c>
      <c r="N20" s="37"/>
      <c r="O20" s="38">
        <f t="shared" si="4"/>
        <v>12</v>
      </c>
      <c r="P20" s="37"/>
      <c r="Q20" s="37"/>
      <c r="R20" s="37"/>
      <c r="S20" s="39">
        <f t="shared" si="2"/>
        <v>50</v>
      </c>
      <c r="T20" s="91" t="str">
        <f t="shared" si="3"/>
        <v>OK</v>
      </c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98"/>
    </row>
    <row r="21" spans="1:32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1000</v>
      </c>
      <c r="L21" s="36">
        <f t="shared" si="0"/>
        <v>0</v>
      </c>
      <c r="M21" s="36">
        <f t="shared" si="1"/>
        <v>0</v>
      </c>
      <c r="N21" s="37"/>
      <c r="O21" s="38">
        <f t="shared" si="4"/>
        <v>250</v>
      </c>
      <c r="P21" s="37"/>
      <c r="Q21" s="37"/>
      <c r="R21" s="37"/>
      <c r="S21" s="39">
        <f t="shared" si="2"/>
        <v>1000</v>
      </c>
      <c r="T21" s="91" t="str">
        <f t="shared" si="3"/>
        <v>OK</v>
      </c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98"/>
    </row>
    <row r="22" spans="1:32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1000</v>
      </c>
      <c r="L22" s="36">
        <f t="shared" si="0"/>
        <v>0</v>
      </c>
      <c r="M22" s="36">
        <f t="shared" si="1"/>
        <v>0</v>
      </c>
      <c r="N22" s="37"/>
      <c r="O22" s="38">
        <f t="shared" si="4"/>
        <v>250</v>
      </c>
      <c r="P22" s="37"/>
      <c r="Q22" s="37"/>
      <c r="R22" s="37"/>
      <c r="S22" s="39">
        <f t="shared" si="2"/>
        <v>1000</v>
      </c>
      <c r="T22" s="91" t="str">
        <f t="shared" si="3"/>
        <v>OK</v>
      </c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98"/>
    </row>
    <row r="23" spans="1:32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0</v>
      </c>
      <c r="L23" s="36">
        <f t="shared" si="0"/>
        <v>0</v>
      </c>
      <c r="M23" s="36">
        <f t="shared" si="1"/>
        <v>0</v>
      </c>
      <c r="N23" s="37"/>
      <c r="O23" s="38">
        <f t="shared" si="4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98"/>
    </row>
    <row r="24" spans="1:32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>
        <v>500</v>
      </c>
      <c r="L24" s="36">
        <f t="shared" si="0"/>
        <v>0</v>
      </c>
      <c r="M24" s="36">
        <f t="shared" si="1"/>
        <v>0</v>
      </c>
      <c r="N24" s="37"/>
      <c r="O24" s="38">
        <f t="shared" si="4"/>
        <v>125</v>
      </c>
      <c r="P24" s="37"/>
      <c r="Q24" s="37"/>
      <c r="R24" s="37"/>
      <c r="S24" s="39">
        <f t="shared" si="2"/>
        <v>500</v>
      </c>
      <c r="T24" s="91" t="str">
        <f t="shared" si="3"/>
        <v>OK</v>
      </c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98"/>
    </row>
    <row r="25" spans="1:32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>
        <v>0</v>
      </c>
      <c r="L25" s="36">
        <f t="shared" si="0"/>
        <v>0</v>
      </c>
      <c r="M25" s="36">
        <f t="shared" si="1"/>
        <v>0</v>
      </c>
      <c r="N25" s="37"/>
      <c r="O25" s="38">
        <f t="shared" si="4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98"/>
    </row>
    <row r="26" spans="1:32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>
        <v>1000</v>
      </c>
      <c r="L26" s="36">
        <f t="shared" si="0"/>
        <v>401</v>
      </c>
      <c r="M26" s="36">
        <f t="shared" si="1"/>
        <v>401</v>
      </c>
      <c r="N26" s="37"/>
      <c r="O26" s="38">
        <f t="shared" si="4"/>
        <v>250</v>
      </c>
      <c r="P26" s="37"/>
      <c r="Q26" s="37"/>
      <c r="R26" s="37"/>
      <c r="S26" s="39">
        <f t="shared" si="2"/>
        <v>599</v>
      </c>
      <c r="T26" s="91" t="str">
        <f t="shared" si="3"/>
        <v>OK</v>
      </c>
      <c r="U26" s="244"/>
      <c r="V26" s="244"/>
      <c r="W26" s="244"/>
      <c r="X26" s="244"/>
      <c r="Y26" s="242">
        <v>101</v>
      </c>
      <c r="Z26" s="244"/>
      <c r="AA26" s="244"/>
      <c r="AB26" s="242">
        <v>150</v>
      </c>
      <c r="AC26" s="244"/>
      <c r="AD26" s="242">
        <v>150</v>
      </c>
      <c r="AE26" s="244"/>
      <c r="AF26" s="98"/>
    </row>
    <row r="27" spans="1:32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0</v>
      </c>
      <c r="L27" s="36">
        <f t="shared" si="0"/>
        <v>0</v>
      </c>
      <c r="M27" s="36">
        <f t="shared" si="1"/>
        <v>0</v>
      </c>
      <c r="N27" s="37"/>
      <c r="O27" s="38">
        <f t="shared" si="4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98"/>
    </row>
    <row r="28" spans="1:32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10000</v>
      </c>
      <c r="L28" s="36">
        <f t="shared" si="0"/>
        <v>1002</v>
      </c>
      <c r="M28" s="36">
        <f t="shared" si="1"/>
        <v>1002</v>
      </c>
      <c r="N28" s="37"/>
      <c r="O28" s="38">
        <f t="shared" si="4"/>
        <v>2500</v>
      </c>
      <c r="P28" s="37"/>
      <c r="Q28" s="37"/>
      <c r="R28" s="37"/>
      <c r="S28" s="39">
        <f t="shared" si="2"/>
        <v>8998</v>
      </c>
      <c r="T28" s="91" t="str">
        <f t="shared" si="3"/>
        <v>OK</v>
      </c>
      <c r="U28" s="244"/>
      <c r="V28" s="244"/>
      <c r="W28" s="244"/>
      <c r="X28" s="244"/>
      <c r="Y28" s="242">
        <v>1002</v>
      </c>
      <c r="Z28" s="244"/>
      <c r="AA28" s="244"/>
      <c r="AB28" s="244"/>
      <c r="AC28" s="244"/>
      <c r="AD28" s="244"/>
      <c r="AE28" s="244"/>
      <c r="AF28" s="98"/>
    </row>
    <row r="29" spans="1:32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>
        <v>700</v>
      </c>
      <c r="L29" s="36">
        <f t="shared" si="0"/>
        <v>700</v>
      </c>
      <c r="M29" s="36">
        <f t="shared" si="1"/>
        <v>700</v>
      </c>
      <c r="N29" s="37"/>
      <c r="O29" s="38">
        <f t="shared" si="4"/>
        <v>175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44"/>
      <c r="V29" s="244"/>
      <c r="W29" s="244"/>
      <c r="X29" s="244"/>
      <c r="Y29" s="242">
        <v>700</v>
      </c>
      <c r="Z29" s="244"/>
      <c r="AA29" s="244"/>
      <c r="AB29" s="244"/>
      <c r="AC29" s="244"/>
      <c r="AD29" s="244"/>
      <c r="AE29" s="244"/>
      <c r="AF29" s="98"/>
    </row>
    <row r="30" spans="1:32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10000</v>
      </c>
      <c r="L30" s="36">
        <f t="shared" si="0"/>
        <v>4504</v>
      </c>
      <c r="M30" s="36">
        <f t="shared" si="1"/>
        <v>4504</v>
      </c>
      <c r="N30" s="37"/>
      <c r="O30" s="38">
        <f t="shared" si="4"/>
        <v>2500</v>
      </c>
      <c r="P30" s="37"/>
      <c r="Q30" s="37"/>
      <c r="R30" s="37"/>
      <c r="S30" s="39">
        <f t="shared" si="2"/>
        <v>5496</v>
      </c>
      <c r="T30" s="91" t="str">
        <f t="shared" si="3"/>
        <v>OK</v>
      </c>
      <c r="U30" s="244"/>
      <c r="V30" s="244"/>
      <c r="W30" s="244"/>
      <c r="X30" s="244"/>
      <c r="Y30" s="242">
        <v>2500</v>
      </c>
      <c r="Z30" s="244"/>
      <c r="AA30" s="244"/>
      <c r="AB30" s="242">
        <v>1002</v>
      </c>
      <c r="AC30" s="244"/>
      <c r="AD30" s="242">
        <v>1002</v>
      </c>
      <c r="AE30" s="244"/>
      <c r="AF30" s="98"/>
    </row>
    <row r="31" spans="1:32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1000</v>
      </c>
      <c r="L31" s="36">
        <f t="shared" si="0"/>
        <v>1000</v>
      </c>
      <c r="M31" s="36">
        <f t="shared" si="1"/>
        <v>1000</v>
      </c>
      <c r="N31" s="37"/>
      <c r="O31" s="38">
        <f t="shared" si="4"/>
        <v>250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44">
        <v>250</v>
      </c>
      <c r="V31" s="244"/>
      <c r="W31" s="244"/>
      <c r="X31" s="244"/>
      <c r="Y31" s="244"/>
      <c r="Z31" s="242">
        <v>750</v>
      </c>
      <c r="AA31" s="244"/>
      <c r="AB31" s="244"/>
      <c r="AC31" s="244"/>
      <c r="AD31" s="244"/>
      <c r="AE31" s="244"/>
      <c r="AF31" s="98"/>
    </row>
    <row r="32" spans="1:32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10000</v>
      </c>
      <c r="L32" s="36">
        <f t="shared" si="0"/>
        <v>0</v>
      </c>
      <c r="M32" s="36">
        <f t="shared" si="1"/>
        <v>0</v>
      </c>
      <c r="N32" s="37"/>
      <c r="O32" s="38">
        <f t="shared" ref="O32" si="5">ROUND(IF(K32*0.25-0.5&lt;0,0,K32*0.25-0.5),0)-R32-P32</f>
        <v>2500</v>
      </c>
      <c r="P32" s="37"/>
      <c r="Q32" s="37"/>
      <c r="R32" s="37"/>
      <c r="S32" s="39">
        <f t="shared" ref="S32" si="6">K32+N32+P32+Q32-M32</f>
        <v>10000</v>
      </c>
      <c r="T32" s="91" t="str">
        <f t="shared" ref="T32" si="7">IF(S32&lt;0,"ATENÇÃO","OK")</f>
        <v>OK</v>
      </c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98"/>
    </row>
    <row r="33" spans="1:32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0"/>
        <v>0</v>
      </c>
      <c r="M33" s="36">
        <f t="shared" si="1"/>
        <v>0</v>
      </c>
      <c r="N33" s="37"/>
      <c r="O33" s="38">
        <f t="shared" si="4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98"/>
    </row>
    <row r="34" spans="1:32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0"/>
        <v>0</v>
      </c>
      <c r="M34" s="36">
        <f t="shared" si="1"/>
        <v>0</v>
      </c>
      <c r="N34" s="37"/>
      <c r="O34" s="38">
        <f t="shared" si="4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98"/>
    </row>
    <row r="35" spans="1:32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0"/>
        <v>0</v>
      </c>
      <c r="M35" s="36">
        <f t="shared" si="1"/>
        <v>0</v>
      </c>
      <c r="N35" s="37"/>
      <c r="O35" s="38">
        <f t="shared" si="4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98"/>
    </row>
    <row r="36" spans="1:32" x14ac:dyDescent="0.2">
      <c r="K36" s="27">
        <f>SUM(K4:K35)</f>
        <v>37855</v>
      </c>
      <c r="S36" s="28">
        <f>SUM(S4:S35)</f>
        <v>29873</v>
      </c>
      <c r="T36" s="29" t="str">
        <f t="shared" si="3"/>
        <v>OK</v>
      </c>
      <c r="U36" s="256">
        <f>SUMPRODUCT($J$4:$J$35,U4:U35)</f>
        <v>325</v>
      </c>
      <c r="V36" s="256">
        <f t="shared" ref="V36:AF36" si="8">SUMPRODUCT($J$4:$J$35,V4:V35)</f>
        <v>304.43</v>
      </c>
      <c r="W36" s="256">
        <f t="shared" si="8"/>
        <v>4496.93</v>
      </c>
      <c r="X36" s="256">
        <f t="shared" si="8"/>
        <v>499.76</v>
      </c>
      <c r="Y36" s="256">
        <f t="shared" si="8"/>
        <v>1207.18</v>
      </c>
      <c r="Z36" s="256">
        <f t="shared" si="8"/>
        <v>975</v>
      </c>
      <c r="AA36" s="256">
        <f t="shared" si="8"/>
        <v>1519.6000000000001</v>
      </c>
      <c r="AB36" s="256">
        <f t="shared" si="8"/>
        <v>520.5</v>
      </c>
      <c r="AC36" s="256">
        <f t="shared" si="8"/>
        <v>836.07999999999993</v>
      </c>
      <c r="AD36" s="256">
        <f t="shared" si="8"/>
        <v>520.5</v>
      </c>
      <c r="AE36" s="256">
        <f t="shared" si="8"/>
        <v>2000.62</v>
      </c>
      <c r="AF36" s="256">
        <f t="shared" si="8"/>
        <v>0</v>
      </c>
    </row>
    <row r="37" spans="1:32" x14ac:dyDescent="0.2">
      <c r="U37" s="254"/>
      <c r="V37" s="254"/>
      <c r="W37" s="254"/>
      <c r="X37" s="254"/>
      <c r="Y37" s="254"/>
      <c r="Z37" s="254"/>
      <c r="AA37" s="254"/>
      <c r="AB37" s="255"/>
      <c r="AC37" s="254"/>
      <c r="AD37" s="254"/>
      <c r="AE37" s="254"/>
    </row>
    <row r="38" spans="1:32" x14ac:dyDescent="0.2">
      <c r="U38" s="254"/>
      <c r="V38" s="254"/>
      <c r="W38" s="254"/>
      <c r="X38" s="254"/>
      <c r="Y38" s="254"/>
      <c r="Z38" s="254"/>
      <c r="AA38" s="254"/>
      <c r="AB38" s="255"/>
      <c r="AC38" s="254"/>
      <c r="AD38" s="254"/>
      <c r="AE38" s="254"/>
    </row>
  </sheetData>
  <autoFilter ref="A3:AJ34" xr:uid="{770E4DF2-74DE-4531-A2F2-ADA5A4353F83}"/>
  <mergeCells count="50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Z1:Z2"/>
    <mergeCell ref="A4:A8"/>
    <mergeCell ref="B4:B8"/>
    <mergeCell ref="D4:D8"/>
    <mergeCell ref="A9:A10"/>
    <mergeCell ref="B9:B10"/>
    <mergeCell ref="D9:D10"/>
    <mergeCell ref="AF1:AF2"/>
    <mergeCell ref="A1:C1"/>
    <mergeCell ref="D1:J1"/>
    <mergeCell ref="K1:T1"/>
    <mergeCell ref="U1:U2"/>
    <mergeCell ref="V1:V2"/>
    <mergeCell ref="K2:T2"/>
    <mergeCell ref="A2:J2"/>
    <mergeCell ref="AA1:AA2"/>
    <mergeCell ref="AB1:AB2"/>
    <mergeCell ref="AC1:AC2"/>
    <mergeCell ref="AD1:AD2"/>
    <mergeCell ref="AE1:AE2"/>
    <mergeCell ref="W1:W2"/>
    <mergeCell ref="X1:X2"/>
    <mergeCell ref="Y1:Y2"/>
  </mergeCells>
  <conditionalFormatting sqref="AF4:AI32">
    <cfRule type="cellIs" dxfId="25" priority="2" operator="greaterThan">
      <formula>0</formula>
    </cfRule>
  </conditionalFormatting>
  <conditionalFormatting sqref="U4:AF35">
    <cfRule type="cellIs" dxfId="2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A03C-E723-4BA6-BD0E-65C287509629}">
  <dimension ref="A1:AI37"/>
  <sheetViews>
    <sheetView topLeftCell="A19" zoomScale="50" zoomScaleNormal="50" workbookViewId="0">
      <selection activeCell="W42" sqref="W42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3.140625" style="26" customWidth="1"/>
    <col min="11" max="18" width="11.42578125" style="27" customWidth="1"/>
    <col min="19" max="19" width="11.42578125" style="28" customWidth="1"/>
    <col min="20" max="20" width="11.42578125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236</v>
      </c>
      <c r="V1" s="315" t="s">
        <v>237</v>
      </c>
      <c r="W1" s="315" t="s">
        <v>238</v>
      </c>
      <c r="X1" s="315" t="s">
        <v>239</v>
      </c>
      <c r="Y1" s="315" t="s">
        <v>240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152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316"/>
      <c r="X2" s="316"/>
      <c r="Y2" s="316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45832</v>
      </c>
      <c r="V3" s="234">
        <v>45894</v>
      </c>
      <c r="W3" s="234">
        <v>45901</v>
      </c>
      <c r="X3" s="234">
        <v>45929</v>
      </c>
      <c r="Y3" s="234">
        <v>45932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35"/>
      <c r="V4" s="235"/>
      <c r="W4" s="235"/>
      <c r="X4" s="236"/>
      <c r="Y4" s="241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25</v>
      </c>
      <c r="L5" s="36">
        <f t="shared" ref="L5:L35" si="4">IF(SUM(U5:AL5)&gt;K5+N5,K5+N5,SUM(U5:AL5))</f>
        <v>2</v>
      </c>
      <c r="M5" s="36">
        <f t="shared" ref="M5:M35" si="5">(SUM(U5:AL5))</f>
        <v>2</v>
      </c>
      <c r="N5" s="37"/>
      <c r="O5" s="38">
        <f t="shared" ref="O5:O35" si="6">ROUND(IF(K5*0.25-0.5&lt;0,0,K5*0.25-0.5),0)-R5-P5</f>
        <v>6</v>
      </c>
      <c r="P5" s="37"/>
      <c r="Q5" s="37"/>
      <c r="R5" s="37"/>
      <c r="S5" s="39">
        <f t="shared" si="2"/>
        <v>23</v>
      </c>
      <c r="T5" s="91" t="str">
        <f t="shared" si="3"/>
        <v>OK</v>
      </c>
      <c r="U5" s="235"/>
      <c r="V5" s="235"/>
      <c r="W5" s="235"/>
      <c r="X5" s="242">
        <v>2</v>
      </c>
      <c r="Y5" s="253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>
        <v>20</v>
      </c>
      <c r="L6" s="36">
        <f t="shared" si="4"/>
        <v>0</v>
      </c>
      <c r="M6" s="36">
        <f t="shared" si="5"/>
        <v>0</v>
      </c>
      <c r="N6" s="37"/>
      <c r="O6" s="38">
        <f t="shared" si="6"/>
        <v>5</v>
      </c>
      <c r="P6" s="37"/>
      <c r="Q6" s="37"/>
      <c r="R6" s="37"/>
      <c r="S6" s="39">
        <f t="shared" si="2"/>
        <v>20</v>
      </c>
      <c r="T6" s="91" t="str">
        <f t="shared" si="3"/>
        <v>OK</v>
      </c>
      <c r="U6" s="235"/>
      <c r="V6" s="236"/>
      <c r="W6" s="236"/>
      <c r="X6" s="236"/>
      <c r="Y6" s="241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5</v>
      </c>
      <c r="L7" s="36">
        <f t="shared" si="4"/>
        <v>1</v>
      </c>
      <c r="M7" s="36">
        <f t="shared" si="5"/>
        <v>1</v>
      </c>
      <c r="N7" s="37"/>
      <c r="O7" s="38">
        <f t="shared" si="6"/>
        <v>1</v>
      </c>
      <c r="P7" s="37"/>
      <c r="Q7" s="37"/>
      <c r="R7" s="37"/>
      <c r="S7" s="39">
        <f t="shared" si="2"/>
        <v>4</v>
      </c>
      <c r="T7" s="91" t="str">
        <f t="shared" si="3"/>
        <v>OK</v>
      </c>
      <c r="U7" s="235"/>
      <c r="V7" s="236"/>
      <c r="W7" s="245">
        <v>1</v>
      </c>
      <c r="X7" s="236"/>
      <c r="Y7" s="241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100</v>
      </c>
      <c r="L8" s="36">
        <f t="shared" si="4"/>
        <v>62</v>
      </c>
      <c r="M8" s="36">
        <f t="shared" si="5"/>
        <v>62</v>
      </c>
      <c r="N8" s="37"/>
      <c r="O8" s="38">
        <f t="shared" si="6"/>
        <v>25</v>
      </c>
      <c r="P8" s="37"/>
      <c r="Q8" s="37"/>
      <c r="R8" s="37"/>
      <c r="S8" s="39">
        <f t="shared" si="2"/>
        <v>38</v>
      </c>
      <c r="T8" s="91" t="str">
        <f t="shared" si="3"/>
        <v>OK</v>
      </c>
      <c r="U8" s="245">
        <v>12</v>
      </c>
      <c r="V8" s="236"/>
      <c r="W8" s="245">
        <v>10</v>
      </c>
      <c r="X8" s="242">
        <v>40</v>
      </c>
      <c r="Y8" s="241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5"/>
      <c r="V9" s="235"/>
      <c r="W9" s="235"/>
      <c r="X9" s="236"/>
      <c r="Y9" s="241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>
        <v>20</v>
      </c>
      <c r="L10" s="36">
        <f t="shared" si="4"/>
        <v>0</v>
      </c>
      <c r="M10" s="36">
        <f t="shared" si="5"/>
        <v>0</v>
      </c>
      <c r="N10" s="37"/>
      <c r="O10" s="38">
        <f t="shared" si="6"/>
        <v>5</v>
      </c>
      <c r="P10" s="37"/>
      <c r="Q10" s="37"/>
      <c r="R10" s="37"/>
      <c r="S10" s="39">
        <f t="shared" si="2"/>
        <v>20</v>
      </c>
      <c r="T10" s="91" t="str">
        <f t="shared" si="3"/>
        <v>OK</v>
      </c>
      <c r="U10" s="236"/>
      <c r="V10" s="235"/>
      <c r="W10" s="235"/>
      <c r="X10" s="236"/>
      <c r="Y10" s="241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/>
      <c r="L11" s="36">
        <f t="shared" si="4"/>
        <v>0</v>
      </c>
      <c r="M11" s="36">
        <f t="shared" si="5"/>
        <v>0</v>
      </c>
      <c r="N11" s="37"/>
      <c r="O11" s="38">
        <f t="shared" si="6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237"/>
      <c r="V11" s="235"/>
      <c r="W11" s="235"/>
      <c r="X11" s="236"/>
      <c r="Y11" s="241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35"/>
      <c r="V12" s="235"/>
      <c r="W12" s="235"/>
      <c r="X12" s="236"/>
      <c r="Y12" s="241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/>
      <c r="L13" s="36">
        <f t="shared" si="4"/>
        <v>0</v>
      </c>
      <c r="M13" s="36">
        <f t="shared" si="5"/>
        <v>0</v>
      </c>
      <c r="N13" s="37"/>
      <c r="O13" s="38">
        <f t="shared" si="6"/>
        <v>0</v>
      </c>
      <c r="P13" s="37"/>
      <c r="Q13" s="37"/>
      <c r="R13" s="37"/>
      <c r="S13" s="39">
        <f t="shared" si="2"/>
        <v>0</v>
      </c>
      <c r="T13" s="91" t="str">
        <f t="shared" si="3"/>
        <v>OK</v>
      </c>
      <c r="U13" s="235"/>
      <c r="V13" s="235"/>
      <c r="W13" s="235"/>
      <c r="X13" s="236"/>
      <c r="Y13" s="241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20</v>
      </c>
      <c r="L14" s="36">
        <f t="shared" si="4"/>
        <v>20</v>
      </c>
      <c r="M14" s="36">
        <f t="shared" si="5"/>
        <v>20</v>
      </c>
      <c r="N14" s="37"/>
      <c r="O14" s="38">
        <f t="shared" si="6"/>
        <v>5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235"/>
      <c r="V14" s="235"/>
      <c r="W14" s="235"/>
      <c r="X14" s="236"/>
      <c r="Y14" s="245">
        <v>20</v>
      </c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5"/>
      <c r="V15" s="235"/>
      <c r="W15" s="235"/>
      <c r="X15" s="236"/>
      <c r="Y15" s="241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60</v>
      </c>
      <c r="L16" s="36">
        <f t="shared" si="4"/>
        <v>0</v>
      </c>
      <c r="M16" s="36">
        <f t="shared" si="5"/>
        <v>0</v>
      </c>
      <c r="N16" s="37"/>
      <c r="O16" s="38">
        <f t="shared" si="6"/>
        <v>15</v>
      </c>
      <c r="P16" s="37"/>
      <c r="Q16" s="37"/>
      <c r="R16" s="37"/>
      <c r="S16" s="39">
        <f t="shared" si="2"/>
        <v>60</v>
      </c>
      <c r="T16" s="91" t="str">
        <f t="shared" si="3"/>
        <v>OK</v>
      </c>
      <c r="U16" s="235"/>
      <c r="V16" s="235"/>
      <c r="W16" s="235"/>
      <c r="X16" s="236"/>
      <c r="Y16" s="241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200</v>
      </c>
      <c r="L17" s="36">
        <f t="shared" si="4"/>
        <v>0</v>
      </c>
      <c r="M17" s="36">
        <f t="shared" si="5"/>
        <v>0</v>
      </c>
      <c r="N17" s="37"/>
      <c r="O17" s="38">
        <f t="shared" si="6"/>
        <v>50</v>
      </c>
      <c r="P17" s="37"/>
      <c r="Q17" s="37"/>
      <c r="R17" s="37"/>
      <c r="S17" s="39">
        <f t="shared" si="2"/>
        <v>200</v>
      </c>
      <c r="T17" s="91" t="str">
        <f t="shared" si="3"/>
        <v>OK</v>
      </c>
      <c r="U17" s="235"/>
      <c r="V17" s="236"/>
      <c r="W17" s="235"/>
      <c r="X17" s="236"/>
      <c r="Y17" s="241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20</v>
      </c>
      <c r="L18" s="36">
        <f t="shared" si="4"/>
        <v>0</v>
      </c>
      <c r="M18" s="36">
        <f t="shared" si="5"/>
        <v>0</v>
      </c>
      <c r="N18" s="37"/>
      <c r="O18" s="38">
        <f t="shared" si="6"/>
        <v>5</v>
      </c>
      <c r="P18" s="37"/>
      <c r="Q18" s="37"/>
      <c r="R18" s="37"/>
      <c r="S18" s="39">
        <f t="shared" si="2"/>
        <v>20</v>
      </c>
      <c r="T18" s="91" t="str">
        <f t="shared" si="3"/>
        <v>OK</v>
      </c>
      <c r="U18" s="235"/>
      <c r="V18" s="236"/>
      <c r="W18" s="235"/>
      <c r="X18" s="237"/>
      <c r="Y18" s="241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>
        <v>60</v>
      </c>
      <c r="L19" s="36">
        <f t="shared" si="4"/>
        <v>0</v>
      </c>
      <c r="M19" s="36">
        <f t="shared" si="5"/>
        <v>0</v>
      </c>
      <c r="N19" s="37"/>
      <c r="O19" s="38">
        <f t="shared" si="6"/>
        <v>15</v>
      </c>
      <c r="P19" s="37"/>
      <c r="Q19" s="37"/>
      <c r="R19" s="37"/>
      <c r="S19" s="39">
        <f t="shared" si="2"/>
        <v>60</v>
      </c>
      <c r="T19" s="91" t="str">
        <f t="shared" si="3"/>
        <v>OK</v>
      </c>
      <c r="U19" s="235"/>
      <c r="V19" s="236"/>
      <c r="W19" s="235"/>
      <c r="X19" s="236"/>
      <c r="Y19" s="241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35"/>
      <c r="V20" s="236"/>
      <c r="W20" s="235"/>
      <c r="X20" s="236"/>
      <c r="Y20" s="241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/>
      <c r="L21" s="36">
        <f t="shared" si="4"/>
        <v>0</v>
      </c>
      <c r="M21" s="36">
        <f t="shared" si="5"/>
        <v>0</v>
      </c>
      <c r="N21" s="37"/>
      <c r="O21" s="38">
        <f t="shared" si="6"/>
        <v>0</v>
      </c>
      <c r="P21" s="37"/>
      <c r="Q21" s="37"/>
      <c r="R21" s="37"/>
      <c r="S21" s="39">
        <f t="shared" si="2"/>
        <v>0</v>
      </c>
      <c r="T21" s="91" t="str">
        <f t="shared" si="3"/>
        <v>OK</v>
      </c>
      <c r="U21" s="236"/>
      <c r="V21" s="235"/>
      <c r="W21" s="235"/>
      <c r="X21" s="236"/>
      <c r="Y21" s="241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2000</v>
      </c>
      <c r="L22" s="36">
        <f t="shared" si="4"/>
        <v>0</v>
      </c>
      <c r="M22" s="36">
        <f t="shared" si="5"/>
        <v>0</v>
      </c>
      <c r="N22" s="37"/>
      <c r="O22" s="38">
        <f t="shared" si="6"/>
        <v>500</v>
      </c>
      <c r="P22" s="37"/>
      <c r="Q22" s="37"/>
      <c r="R22" s="37"/>
      <c r="S22" s="39">
        <f t="shared" si="2"/>
        <v>2000</v>
      </c>
      <c r="T22" s="91" t="str">
        <f t="shared" si="3"/>
        <v>OK</v>
      </c>
      <c r="U22" s="236"/>
      <c r="V22" s="235"/>
      <c r="W22" s="235"/>
      <c r="X22" s="236"/>
      <c r="Y22" s="241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/>
      <c r="L23" s="36">
        <f t="shared" si="4"/>
        <v>0</v>
      </c>
      <c r="M23" s="36">
        <f t="shared" si="5"/>
        <v>0</v>
      </c>
      <c r="N23" s="37"/>
      <c r="O23" s="38">
        <f t="shared" si="6"/>
        <v>0</v>
      </c>
      <c r="P23" s="37"/>
      <c r="Q23" s="37"/>
      <c r="R23" s="37"/>
      <c r="S23" s="39">
        <f t="shared" si="2"/>
        <v>0</v>
      </c>
      <c r="T23" s="91" t="str">
        <f t="shared" si="3"/>
        <v>OK</v>
      </c>
      <c r="U23" s="236"/>
      <c r="V23" s="235"/>
      <c r="W23" s="235"/>
      <c r="X23" s="236"/>
      <c r="Y23" s="241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5"/>
      <c r="V24" s="235"/>
      <c r="W24" s="235"/>
      <c r="X24" s="236"/>
      <c r="Y24" s="241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235"/>
      <c r="V25" s="235"/>
      <c r="W25" s="235"/>
      <c r="X25" s="236"/>
      <c r="Y25" s="241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35"/>
      <c r="V26" s="235"/>
      <c r="W26" s="235"/>
      <c r="X26" s="236"/>
      <c r="Y26" s="241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/>
      <c r="L27" s="36">
        <f t="shared" si="4"/>
        <v>0</v>
      </c>
      <c r="M27" s="36">
        <f t="shared" si="5"/>
        <v>0</v>
      </c>
      <c r="N27" s="37"/>
      <c r="O27" s="38">
        <f t="shared" si="6"/>
        <v>0</v>
      </c>
      <c r="P27" s="37"/>
      <c r="Q27" s="37"/>
      <c r="R27" s="37"/>
      <c r="S27" s="39">
        <f t="shared" si="2"/>
        <v>0</v>
      </c>
      <c r="T27" s="91" t="str">
        <f t="shared" si="3"/>
        <v>OK</v>
      </c>
      <c r="U27" s="235"/>
      <c r="V27" s="235"/>
      <c r="W27" s="235"/>
      <c r="X27" s="236"/>
      <c r="Y27" s="241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>
        <v>7010</v>
      </c>
      <c r="L28" s="36">
        <f t="shared" si="4"/>
        <v>0</v>
      </c>
      <c r="M28" s="36">
        <f t="shared" si="5"/>
        <v>0</v>
      </c>
      <c r="N28" s="37"/>
      <c r="O28" s="38">
        <f t="shared" si="6"/>
        <v>1752</v>
      </c>
      <c r="P28" s="37"/>
      <c r="Q28" s="37"/>
      <c r="R28" s="37"/>
      <c r="S28" s="39">
        <f t="shared" si="2"/>
        <v>7010</v>
      </c>
      <c r="T28" s="91" t="str">
        <f t="shared" si="3"/>
        <v>OK</v>
      </c>
      <c r="U28" s="235"/>
      <c r="V28" s="235"/>
      <c r="W28" s="235"/>
      <c r="X28" s="236"/>
      <c r="Y28" s="241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4"/>
        <v>0</v>
      </c>
      <c r="M29" s="36">
        <f t="shared" si="5"/>
        <v>0</v>
      </c>
      <c r="N29" s="37"/>
      <c r="O29" s="38">
        <f t="shared" si="6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35"/>
      <c r="V29" s="235"/>
      <c r="W29" s="236"/>
      <c r="X29" s="236"/>
      <c r="Y29" s="241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>
        <v>9010</v>
      </c>
      <c r="L30" s="36">
        <f t="shared" si="4"/>
        <v>5000</v>
      </c>
      <c r="M30" s="36">
        <f t="shared" si="5"/>
        <v>5000</v>
      </c>
      <c r="N30" s="37"/>
      <c r="O30" s="38">
        <f t="shared" si="6"/>
        <v>2252</v>
      </c>
      <c r="P30" s="37"/>
      <c r="Q30" s="37"/>
      <c r="R30" s="37"/>
      <c r="S30" s="39">
        <f t="shared" si="2"/>
        <v>4010</v>
      </c>
      <c r="T30" s="91" t="str">
        <f t="shared" si="3"/>
        <v>OK</v>
      </c>
      <c r="U30" s="235"/>
      <c r="V30" s="245">
        <v>5000</v>
      </c>
      <c r="W30" s="235"/>
      <c r="X30" s="236"/>
      <c r="Y30" s="241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/>
      <c r="L31" s="36">
        <f t="shared" si="4"/>
        <v>0</v>
      </c>
      <c r="M31" s="36">
        <f t="shared" si="5"/>
        <v>0</v>
      </c>
      <c r="N31" s="37"/>
      <c r="O31" s="38">
        <f t="shared" si="6"/>
        <v>0</v>
      </c>
      <c r="P31" s="37"/>
      <c r="Q31" s="37"/>
      <c r="R31" s="37"/>
      <c r="S31" s="39">
        <f t="shared" si="2"/>
        <v>0</v>
      </c>
      <c r="T31" s="91" t="str">
        <f t="shared" si="3"/>
        <v>OK</v>
      </c>
      <c r="U31" s="235"/>
      <c r="V31" s="236"/>
      <c r="W31" s="235"/>
      <c r="X31" s="236"/>
      <c r="Y31" s="241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8010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2002</v>
      </c>
      <c r="P32" s="37"/>
      <c r="Q32" s="37"/>
      <c r="R32" s="37"/>
      <c r="S32" s="39">
        <f t="shared" ref="S32" si="10">K32+N32+P32+Q32-M32</f>
        <v>8010</v>
      </c>
      <c r="T32" s="91" t="str">
        <f t="shared" ref="T32" si="11">IF(S32&lt;0,"ATENÇÃO","OK")</f>
        <v>OK</v>
      </c>
      <c r="U32" s="235"/>
      <c r="V32" s="236"/>
      <c r="W32" s="235"/>
      <c r="X32" s="236"/>
      <c r="Y32" s="241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235"/>
      <c r="X33" s="236"/>
      <c r="Y33" s="241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235"/>
      <c r="X34" s="236"/>
      <c r="Y34" s="241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235"/>
      <c r="X35" s="236"/>
      <c r="Y35" s="241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x14ac:dyDescent="0.2">
      <c r="K36" s="27">
        <f>SUM(K4:K35)</f>
        <v>26560</v>
      </c>
      <c r="S36" s="28">
        <f>SUM(S4:S35)</f>
        <v>21475</v>
      </c>
      <c r="T36" s="29" t="str">
        <f t="shared" si="3"/>
        <v>OK</v>
      </c>
      <c r="U36" s="239">
        <f>SUMPRODUCT($J$4:$J$35,U4:U35)</f>
        <v>315</v>
      </c>
      <c r="V36" s="239">
        <f t="shared" ref="V36:AI36" si="12">SUMPRODUCT($J$4:$J$35,V4:V35)</f>
        <v>1250</v>
      </c>
      <c r="W36" s="239">
        <f t="shared" si="12"/>
        <v>323.51</v>
      </c>
      <c r="X36" s="239">
        <f t="shared" si="12"/>
        <v>1120.7</v>
      </c>
      <c r="Y36" s="239">
        <f t="shared" si="12"/>
        <v>597.20000000000005</v>
      </c>
      <c r="Z36" s="239">
        <f t="shared" si="12"/>
        <v>0</v>
      </c>
      <c r="AA36" s="239">
        <f t="shared" si="12"/>
        <v>0</v>
      </c>
      <c r="AB36" s="239">
        <f t="shared" si="12"/>
        <v>0</v>
      </c>
      <c r="AC36" s="239">
        <f t="shared" si="12"/>
        <v>0</v>
      </c>
      <c r="AD36" s="239">
        <f t="shared" si="12"/>
        <v>0</v>
      </c>
      <c r="AE36" s="239">
        <f t="shared" si="12"/>
        <v>0</v>
      </c>
      <c r="AF36" s="239">
        <f t="shared" si="12"/>
        <v>0</v>
      </c>
      <c r="AG36" s="239">
        <f t="shared" si="12"/>
        <v>0</v>
      </c>
      <c r="AH36" s="239">
        <f t="shared" si="12"/>
        <v>0</v>
      </c>
      <c r="AI36" s="239">
        <f t="shared" si="12"/>
        <v>0</v>
      </c>
    </row>
    <row r="37" spans="1:35" x14ac:dyDescent="0.2">
      <c r="U37" s="238"/>
      <c r="V37" s="238"/>
      <c r="W37" s="238"/>
      <c r="X37" s="249"/>
      <c r="Y37" s="238"/>
    </row>
  </sheetData>
  <mergeCells count="53">
    <mergeCell ref="AI1:AI2"/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H1:AH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Z4:AL32">
    <cfRule type="cellIs" dxfId="23" priority="2" operator="greaterThan">
      <formula>0</formula>
    </cfRule>
  </conditionalFormatting>
  <conditionalFormatting sqref="U4:AI35">
    <cfRule type="cellIs" dxfId="22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42C1-3971-418D-9560-242BA86E5135}">
  <dimension ref="A1:AI36"/>
  <sheetViews>
    <sheetView topLeftCell="A25" zoomScale="60" zoomScaleNormal="60" workbookViewId="0">
      <selection activeCell="S36" sqref="S36"/>
    </sheetView>
  </sheetViews>
  <sheetFormatPr defaultColWidth="9.7109375" defaultRowHeight="12.75" x14ac:dyDescent="0.2"/>
  <cols>
    <col min="1" max="1" width="4.28515625" style="24" customWidth="1"/>
    <col min="2" max="2" width="13.7109375" style="24" customWidth="1"/>
    <col min="3" max="3" width="5.5703125" style="24" bestFit="1" customWidth="1"/>
    <col min="4" max="4" width="21.5703125" style="25" customWidth="1"/>
    <col min="5" max="5" width="10.85546875" style="24" bestFit="1" customWidth="1"/>
    <col min="6" max="7" width="10.42578125" style="24" hidden="1" customWidth="1"/>
    <col min="8" max="8" width="11.28515625" style="24" customWidth="1"/>
    <col min="9" max="9" width="9.42578125" style="24" customWidth="1"/>
    <col min="10" max="10" width="12.28515625" style="26" customWidth="1"/>
    <col min="11" max="18" width="9" style="27" customWidth="1"/>
    <col min="19" max="19" width="9" style="28" customWidth="1"/>
    <col min="20" max="20" width="9" style="29" customWidth="1"/>
    <col min="21" max="22" width="13.7109375" style="30" customWidth="1"/>
    <col min="23" max="23" width="13.7109375" style="17" customWidth="1"/>
    <col min="24" max="24" width="13.7109375" style="35" customWidth="1"/>
    <col min="25" max="35" width="13.7109375" style="17" customWidth="1"/>
    <col min="36" max="16384" width="9.7109375" style="17"/>
  </cols>
  <sheetData>
    <row r="1" spans="1:35" ht="44.25" customHeight="1" x14ac:dyDescent="0.2">
      <c r="A1" s="270" t="s">
        <v>72</v>
      </c>
      <c r="B1" s="271"/>
      <c r="C1" s="272"/>
      <c r="D1" s="271" t="s">
        <v>71</v>
      </c>
      <c r="E1" s="271"/>
      <c r="F1" s="271"/>
      <c r="G1" s="271"/>
      <c r="H1" s="271"/>
      <c r="I1" s="271"/>
      <c r="J1" s="272"/>
      <c r="K1" s="277" t="s">
        <v>70</v>
      </c>
      <c r="L1" s="278"/>
      <c r="M1" s="278"/>
      <c r="N1" s="278"/>
      <c r="O1" s="278"/>
      <c r="P1" s="278"/>
      <c r="Q1" s="278"/>
      <c r="R1" s="278"/>
      <c r="S1" s="278"/>
      <c r="T1" s="279"/>
      <c r="U1" s="315" t="s">
        <v>190</v>
      </c>
      <c r="V1" s="315" t="s">
        <v>191</v>
      </c>
      <c r="W1" s="283" t="s">
        <v>55</v>
      </c>
      <c r="X1" s="283" t="s">
        <v>55</v>
      </c>
      <c r="Y1" s="283" t="s">
        <v>30</v>
      </c>
      <c r="Z1" s="283" t="s">
        <v>30</v>
      </c>
      <c r="AA1" s="283" t="s">
        <v>30</v>
      </c>
      <c r="AB1" s="283" t="s">
        <v>30</v>
      </c>
      <c r="AC1" s="283" t="s">
        <v>30</v>
      </c>
      <c r="AD1" s="283" t="s">
        <v>30</v>
      </c>
      <c r="AE1" s="283" t="s">
        <v>30</v>
      </c>
      <c r="AF1" s="283" t="s">
        <v>30</v>
      </c>
      <c r="AG1" s="283" t="s">
        <v>30</v>
      </c>
      <c r="AH1" s="283" t="s">
        <v>30</v>
      </c>
      <c r="AI1" s="283" t="s">
        <v>55</v>
      </c>
    </row>
    <row r="2" spans="1:35" ht="30.75" customHeight="1" x14ac:dyDescent="0.2">
      <c r="A2" s="270" t="s">
        <v>151</v>
      </c>
      <c r="B2" s="271"/>
      <c r="C2" s="271"/>
      <c r="D2" s="271"/>
      <c r="E2" s="271"/>
      <c r="F2" s="271"/>
      <c r="G2" s="271"/>
      <c r="H2" s="271"/>
      <c r="I2" s="271"/>
      <c r="J2" s="272"/>
      <c r="K2" s="280" t="s">
        <v>54</v>
      </c>
      <c r="L2" s="281"/>
      <c r="M2" s="281"/>
      <c r="N2" s="281"/>
      <c r="O2" s="281"/>
      <c r="P2" s="281"/>
      <c r="Q2" s="281"/>
      <c r="R2" s="281"/>
      <c r="S2" s="281"/>
      <c r="T2" s="282"/>
      <c r="U2" s="316"/>
      <c r="V2" s="316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</row>
    <row r="3" spans="1:35" s="22" customFormat="1" ht="39" customHeight="1" x14ac:dyDescent="0.2">
      <c r="A3" s="18" t="s">
        <v>5</v>
      </c>
      <c r="B3" s="18" t="s">
        <v>18</v>
      </c>
      <c r="C3" s="31" t="s">
        <v>3</v>
      </c>
      <c r="D3" s="18" t="s">
        <v>13</v>
      </c>
      <c r="E3" s="19" t="s">
        <v>11</v>
      </c>
      <c r="F3" s="19" t="s">
        <v>14</v>
      </c>
      <c r="G3" s="19" t="s">
        <v>15</v>
      </c>
      <c r="H3" s="19" t="s">
        <v>37</v>
      </c>
      <c r="I3" s="19" t="s">
        <v>4</v>
      </c>
      <c r="J3" s="20" t="s">
        <v>28</v>
      </c>
      <c r="K3" s="40" t="s">
        <v>6</v>
      </c>
      <c r="L3" s="41" t="s">
        <v>56</v>
      </c>
      <c r="M3" s="41" t="s">
        <v>57</v>
      </c>
      <c r="N3" s="41" t="s">
        <v>58</v>
      </c>
      <c r="O3" s="41" t="s">
        <v>59</v>
      </c>
      <c r="P3" s="41" t="s">
        <v>60</v>
      </c>
      <c r="Q3" s="41" t="s">
        <v>61</v>
      </c>
      <c r="R3" s="41" t="s">
        <v>62</v>
      </c>
      <c r="S3" s="42" t="s">
        <v>0</v>
      </c>
      <c r="T3" s="43" t="s">
        <v>2</v>
      </c>
      <c r="U3" s="234">
        <v>45856</v>
      </c>
      <c r="V3" s="234">
        <v>45936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</row>
    <row r="4" spans="1:35" ht="23.25" customHeight="1" x14ac:dyDescent="0.25">
      <c r="A4" s="263">
        <v>1</v>
      </c>
      <c r="B4" s="263" t="s">
        <v>73</v>
      </c>
      <c r="C4" s="58">
        <v>1</v>
      </c>
      <c r="D4" s="274" t="s">
        <v>74</v>
      </c>
      <c r="E4" s="59" t="s">
        <v>31</v>
      </c>
      <c r="F4" s="60" t="s">
        <v>16</v>
      </c>
      <c r="G4" s="60" t="s">
        <v>17</v>
      </c>
      <c r="H4" s="58" t="s">
        <v>38</v>
      </c>
      <c r="I4" s="58" t="s">
        <v>4</v>
      </c>
      <c r="J4" s="61">
        <v>11.07</v>
      </c>
      <c r="K4" s="90"/>
      <c r="L4" s="36">
        <f t="shared" ref="L4" si="0">IF(SUM(U4:AL4)&gt;K4+N4,K4+N4,SUM(U4:AL4))</f>
        <v>0</v>
      </c>
      <c r="M4" s="36">
        <f t="shared" ref="M4" si="1"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39">
        <f t="shared" ref="S4:S35" si="2">K4+N4+P4+Q4-M4</f>
        <v>0</v>
      </c>
      <c r="T4" s="91" t="str">
        <f t="shared" ref="T4:T36" si="3">IF(S4&lt;0,"ATENÇÃO","OK")</f>
        <v>OK</v>
      </c>
      <c r="U4" s="235"/>
      <c r="V4" s="235"/>
      <c r="W4" s="9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ht="26.45" customHeight="1" x14ac:dyDescent="0.25">
      <c r="A5" s="264"/>
      <c r="B5" s="264"/>
      <c r="C5" s="58">
        <v>2</v>
      </c>
      <c r="D5" s="274"/>
      <c r="E5" s="59" t="s">
        <v>32</v>
      </c>
      <c r="F5" s="60" t="s">
        <v>16</v>
      </c>
      <c r="G5" s="60" t="s">
        <v>17</v>
      </c>
      <c r="H5" s="58" t="s">
        <v>38</v>
      </c>
      <c r="I5" s="58" t="s">
        <v>4</v>
      </c>
      <c r="J5" s="61">
        <v>35.35</v>
      </c>
      <c r="K5" s="90">
        <v>10</v>
      </c>
      <c r="L5" s="36">
        <f t="shared" ref="L5:L35" si="4">IF(SUM(U5:AL5)&gt;K5+N5,K5+N5,SUM(U5:AL5))</f>
        <v>10</v>
      </c>
      <c r="M5" s="36">
        <f t="shared" ref="M5:M35" si="5">(SUM(U5:AL5))</f>
        <v>10</v>
      </c>
      <c r="N5" s="37"/>
      <c r="O5" s="38">
        <f t="shared" ref="O5:O35" si="6">ROUND(IF(K5*0.25-0.5&lt;0,0,K5*0.25-0.5),0)-R5-P5</f>
        <v>2</v>
      </c>
      <c r="P5" s="37"/>
      <c r="Q5" s="37"/>
      <c r="R5" s="37"/>
      <c r="S5" s="39">
        <f t="shared" si="2"/>
        <v>0</v>
      </c>
      <c r="T5" s="91" t="str">
        <f t="shared" si="3"/>
        <v>OK</v>
      </c>
      <c r="U5" s="245">
        <v>10</v>
      </c>
      <c r="V5" s="235"/>
      <c r="W5" s="93"/>
      <c r="X5" s="94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24" customHeight="1" x14ac:dyDescent="0.25">
      <c r="A6" s="264"/>
      <c r="B6" s="264"/>
      <c r="C6" s="58">
        <v>3</v>
      </c>
      <c r="D6" s="274"/>
      <c r="E6" s="59" t="s">
        <v>33</v>
      </c>
      <c r="F6" s="60" t="s">
        <v>16</v>
      </c>
      <c r="G6" s="60" t="s">
        <v>17</v>
      </c>
      <c r="H6" s="58" t="s">
        <v>38</v>
      </c>
      <c r="I6" s="58" t="s">
        <v>4</v>
      </c>
      <c r="J6" s="61">
        <v>43</v>
      </c>
      <c r="K6" s="90"/>
      <c r="L6" s="36">
        <f t="shared" si="4"/>
        <v>0</v>
      </c>
      <c r="M6" s="36">
        <f t="shared" si="5"/>
        <v>0</v>
      </c>
      <c r="N6" s="37"/>
      <c r="O6" s="38">
        <f t="shared" si="6"/>
        <v>0</v>
      </c>
      <c r="P6" s="37"/>
      <c r="Q6" s="37"/>
      <c r="R6" s="37"/>
      <c r="S6" s="39">
        <f t="shared" si="2"/>
        <v>0</v>
      </c>
      <c r="T6" s="91" t="str">
        <f t="shared" si="3"/>
        <v>OK</v>
      </c>
      <c r="U6" s="237"/>
      <c r="V6" s="236"/>
      <c r="W6" s="94"/>
      <c r="X6" s="94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ht="24" customHeight="1" x14ac:dyDescent="0.25">
      <c r="A7" s="264"/>
      <c r="B7" s="264"/>
      <c r="C7" s="58">
        <v>4</v>
      </c>
      <c r="D7" s="274"/>
      <c r="E7" s="59" t="s">
        <v>34</v>
      </c>
      <c r="F7" s="60" t="s">
        <v>16</v>
      </c>
      <c r="G7" s="60" t="s">
        <v>17</v>
      </c>
      <c r="H7" s="58" t="s">
        <v>38</v>
      </c>
      <c r="I7" s="58" t="s">
        <v>4</v>
      </c>
      <c r="J7" s="61">
        <v>61.01</v>
      </c>
      <c r="K7" s="90">
        <v>10</v>
      </c>
      <c r="L7" s="36">
        <f t="shared" si="4"/>
        <v>10</v>
      </c>
      <c r="M7" s="36">
        <f t="shared" si="5"/>
        <v>10</v>
      </c>
      <c r="N7" s="37"/>
      <c r="O7" s="38">
        <f t="shared" si="6"/>
        <v>2</v>
      </c>
      <c r="P7" s="37"/>
      <c r="Q7" s="37"/>
      <c r="R7" s="37"/>
      <c r="S7" s="39">
        <f t="shared" si="2"/>
        <v>0</v>
      </c>
      <c r="T7" s="91" t="str">
        <f t="shared" si="3"/>
        <v>OK</v>
      </c>
      <c r="U7" s="245">
        <v>10</v>
      </c>
      <c r="V7" s="236"/>
      <c r="W7" s="93"/>
      <c r="X7" s="94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9.5" customHeight="1" x14ac:dyDescent="0.25">
      <c r="A8" s="265"/>
      <c r="B8" s="265"/>
      <c r="C8" s="58">
        <v>5</v>
      </c>
      <c r="D8" s="274"/>
      <c r="E8" s="59" t="s">
        <v>35</v>
      </c>
      <c r="F8" s="60" t="s">
        <v>16</v>
      </c>
      <c r="G8" s="60" t="s">
        <v>17</v>
      </c>
      <c r="H8" s="58" t="s">
        <v>38</v>
      </c>
      <c r="I8" s="58" t="s">
        <v>4</v>
      </c>
      <c r="J8" s="61">
        <v>26.25</v>
      </c>
      <c r="K8" s="90">
        <v>100</v>
      </c>
      <c r="L8" s="36">
        <f t="shared" si="4"/>
        <v>100</v>
      </c>
      <c r="M8" s="36">
        <f t="shared" si="5"/>
        <v>100</v>
      </c>
      <c r="N8" s="37"/>
      <c r="O8" s="38">
        <f t="shared" si="6"/>
        <v>25</v>
      </c>
      <c r="P8" s="37"/>
      <c r="Q8" s="37"/>
      <c r="R8" s="37"/>
      <c r="S8" s="39">
        <f t="shared" si="2"/>
        <v>0</v>
      </c>
      <c r="T8" s="91" t="str">
        <f t="shared" si="3"/>
        <v>OK</v>
      </c>
      <c r="U8" s="245">
        <v>100</v>
      </c>
      <c r="V8" s="236"/>
      <c r="W8" s="93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1:35" ht="21.75" customHeight="1" x14ac:dyDescent="0.25">
      <c r="A9" s="266">
        <v>2</v>
      </c>
      <c r="B9" s="266" t="s">
        <v>75</v>
      </c>
      <c r="C9" s="62" t="s">
        <v>76</v>
      </c>
      <c r="D9" s="275" t="s">
        <v>77</v>
      </c>
      <c r="E9" s="63" t="s">
        <v>31</v>
      </c>
      <c r="F9" s="64" t="s">
        <v>16</v>
      </c>
      <c r="G9" s="64" t="s">
        <v>17</v>
      </c>
      <c r="H9" s="62" t="s">
        <v>38</v>
      </c>
      <c r="I9" s="62" t="s">
        <v>4</v>
      </c>
      <c r="J9" s="65">
        <v>10.01</v>
      </c>
      <c r="K9" s="90"/>
      <c r="L9" s="36">
        <f t="shared" si="4"/>
        <v>0</v>
      </c>
      <c r="M9" s="36">
        <f t="shared" si="5"/>
        <v>0</v>
      </c>
      <c r="N9" s="37"/>
      <c r="O9" s="38">
        <f t="shared" si="6"/>
        <v>0</v>
      </c>
      <c r="P9" s="37"/>
      <c r="Q9" s="37"/>
      <c r="R9" s="37"/>
      <c r="S9" s="39">
        <f t="shared" si="2"/>
        <v>0</v>
      </c>
      <c r="T9" s="91" t="str">
        <f t="shared" si="3"/>
        <v>OK</v>
      </c>
      <c r="U9" s="237"/>
      <c r="V9" s="235"/>
      <c r="W9" s="93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1:35" ht="20.25" customHeight="1" x14ac:dyDescent="0.25">
      <c r="A10" s="267"/>
      <c r="B10" s="267"/>
      <c r="C10" s="62">
        <v>7</v>
      </c>
      <c r="D10" s="275"/>
      <c r="E10" s="63" t="s">
        <v>36</v>
      </c>
      <c r="F10" s="64" t="s">
        <v>16</v>
      </c>
      <c r="G10" s="64" t="s">
        <v>17</v>
      </c>
      <c r="H10" s="62" t="s">
        <v>38</v>
      </c>
      <c r="I10" s="62" t="s">
        <v>4</v>
      </c>
      <c r="J10" s="65">
        <v>49.81</v>
      </c>
      <c r="K10" s="90"/>
      <c r="L10" s="36">
        <f t="shared" si="4"/>
        <v>0</v>
      </c>
      <c r="M10" s="36">
        <f t="shared" si="5"/>
        <v>0</v>
      </c>
      <c r="N10" s="37"/>
      <c r="O10" s="38">
        <f t="shared" si="6"/>
        <v>0</v>
      </c>
      <c r="P10" s="37"/>
      <c r="Q10" s="37"/>
      <c r="R10" s="37"/>
      <c r="S10" s="39">
        <f t="shared" si="2"/>
        <v>0</v>
      </c>
      <c r="T10" s="91" t="str">
        <f t="shared" si="3"/>
        <v>OK</v>
      </c>
      <c r="U10" s="237"/>
      <c r="V10" s="235"/>
      <c r="W10" s="93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1:35" ht="36.950000000000003" customHeight="1" x14ac:dyDescent="0.25">
      <c r="A11" s="263">
        <v>3</v>
      </c>
      <c r="B11" s="263" t="s">
        <v>75</v>
      </c>
      <c r="C11" s="58">
        <v>8</v>
      </c>
      <c r="D11" s="269" t="s">
        <v>78</v>
      </c>
      <c r="E11" s="59" t="s">
        <v>39</v>
      </c>
      <c r="F11" s="66" t="s">
        <v>16</v>
      </c>
      <c r="G11" s="66" t="s">
        <v>17</v>
      </c>
      <c r="H11" s="58" t="s">
        <v>38</v>
      </c>
      <c r="I11" s="58" t="s">
        <v>4</v>
      </c>
      <c r="J11" s="61">
        <v>199.83</v>
      </c>
      <c r="K11" s="90"/>
      <c r="L11" s="36">
        <f t="shared" si="4"/>
        <v>0</v>
      </c>
      <c r="M11" s="36">
        <f t="shared" si="5"/>
        <v>0</v>
      </c>
      <c r="N11" s="37"/>
      <c r="O11" s="38">
        <f t="shared" si="6"/>
        <v>0</v>
      </c>
      <c r="P11" s="37"/>
      <c r="Q11" s="37"/>
      <c r="R11" s="37"/>
      <c r="S11" s="39">
        <f t="shared" si="2"/>
        <v>0</v>
      </c>
      <c r="T11" s="91" t="str">
        <f t="shared" si="3"/>
        <v>OK</v>
      </c>
      <c r="U11" s="237"/>
      <c r="V11" s="235"/>
      <c r="W11" s="93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1:35" ht="21.2" customHeight="1" x14ac:dyDescent="0.25">
      <c r="A12" s="264"/>
      <c r="B12" s="264"/>
      <c r="C12" s="58">
        <v>9</v>
      </c>
      <c r="D12" s="269"/>
      <c r="E12" s="59" t="s">
        <v>40</v>
      </c>
      <c r="F12" s="66" t="s">
        <v>16</v>
      </c>
      <c r="G12" s="66" t="s">
        <v>17</v>
      </c>
      <c r="H12" s="58" t="s">
        <v>38</v>
      </c>
      <c r="I12" s="58" t="s">
        <v>4</v>
      </c>
      <c r="J12" s="61">
        <v>2456.9899999999998</v>
      </c>
      <c r="K12" s="90"/>
      <c r="L12" s="36">
        <f t="shared" si="4"/>
        <v>0</v>
      </c>
      <c r="M12" s="36">
        <f t="shared" si="5"/>
        <v>0</v>
      </c>
      <c r="N12" s="37"/>
      <c r="O12" s="38">
        <f t="shared" si="6"/>
        <v>0</v>
      </c>
      <c r="P12" s="37"/>
      <c r="Q12" s="37"/>
      <c r="R12" s="37"/>
      <c r="S12" s="39">
        <f t="shared" si="2"/>
        <v>0</v>
      </c>
      <c r="T12" s="91" t="str">
        <f t="shared" si="3"/>
        <v>OK</v>
      </c>
      <c r="U12" s="237"/>
      <c r="V12" s="235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19.5" customHeight="1" x14ac:dyDescent="0.25">
      <c r="A13" s="265"/>
      <c r="B13" s="265"/>
      <c r="C13" s="58">
        <v>10</v>
      </c>
      <c r="D13" s="269"/>
      <c r="E13" s="59" t="s">
        <v>41</v>
      </c>
      <c r="F13" s="66" t="s">
        <v>16</v>
      </c>
      <c r="G13" s="66" t="s">
        <v>17</v>
      </c>
      <c r="H13" s="58" t="s">
        <v>38</v>
      </c>
      <c r="I13" s="58" t="s">
        <v>4</v>
      </c>
      <c r="J13" s="61">
        <v>3000</v>
      </c>
      <c r="K13" s="90">
        <v>4</v>
      </c>
      <c r="L13" s="36">
        <f t="shared" si="4"/>
        <v>0</v>
      </c>
      <c r="M13" s="36">
        <f t="shared" si="5"/>
        <v>0</v>
      </c>
      <c r="N13" s="37"/>
      <c r="O13" s="38">
        <f t="shared" si="6"/>
        <v>1</v>
      </c>
      <c r="P13" s="37"/>
      <c r="Q13" s="37"/>
      <c r="R13" s="37"/>
      <c r="S13" s="39">
        <f t="shared" si="2"/>
        <v>4</v>
      </c>
      <c r="T13" s="91" t="str">
        <f t="shared" si="3"/>
        <v>OK</v>
      </c>
      <c r="U13" s="237"/>
      <c r="V13" s="235"/>
      <c r="W13" s="93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25.15" customHeight="1" x14ac:dyDescent="0.25">
      <c r="A14" s="266">
        <v>4</v>
      </c>
      <c r="B14" s="266" t="s">
        <v>73</v>
      </c>
      <c r="C14" s="62">
        <v>11</v>
      </c>
      <c r="D14" s="275" t="s">
        <v>79</v>
      </c>
      <c r="E14" s="63" t="s">
        <v>42</v>
      </c>
      <c r="F14" s="64" t="s">
        <v>16</v>
      </c>
      <c r="G14" s="64" t="s">
        <v>17</v>
      </c>
      <c r="H14" s="62" t="s">
        <v>38</v>
      </c>
      <c r="I14" s="62" t="s">
        <v>98</v>
      </c>
      <c r="J14" s="65">
        <v>29.86</v>
      </c>
      <c r="K14" s="90">
        <v>20</v>
      </c>
      <c r="L14" s="36">
        <f t="shared" si="4"/>
        <v>20</v>
      </c>
      <c r="M14" s="36">
        <f t="shared" si="5"/>
        <v>20</v>
      </c>
      <c r="N14" s="37"/>
      <c r="O14" s="38">
        <f t="shared" si="6"/>
        <v>5</v>
      </c>
      <c r="P14" s="37"/>
      <c r="Q14" s="37"/>
      <c r="R14" s="37"/>
      <c r="S14" s="39">
        <f t="shared" si="2"/>
        <v>0</v>
      </c>
      <c r="T14" s="91" t="str">
        <f t="shared" si="3"/>
        <v>OK</v>
      </c>
      <c r="U14" s="245">
        <v>20</v>
      </c>
      <c r="V14" s="235"/>
      <c r="W14" s="93"/>
      <c r="X14" s="94"/>
      <c r="Y14" s="98"/>
      <c r="Z14" s="98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22.7" customHeight="1" x14ac:dyDescent="0.25">
      <c r="A15" s="267"/>
      <c r="B15" s="267"/>
      <c r="C15" s="62">
        <v>12</v>
      </c>
      <c r="D15" s="275"/>
      <c r="E15" s="63" t="s">
        <v>43</v>
      </c>
      <c r="F15" s="64" t="s">
        <v>16</v>
      </c>
      <c r="G15" s="64" t="s">
        <v>17</v>
      </c>
      <c r="H15" s="62" t="s">
        <v>38</v>
      </c>
      <c r="I15" s="62" t="s">
        <v>4</v>
      </c>
      <c r="J15" s="65">
        <v>17.93</v>
      </c>
      <c r="K15" s="90"/>
      <c r="L15" s="36">
        <f t="shared" si="4"/>
        <v>0</v>
      </c>
      <c r="M15" s="36">
        <f t="shared" si="5"/>
        <v>0</v>
      </c>
      <c r="N15" s="37"/>
      <c r="O15" s="38">
        <f t="shared" si="6"/>
        <v>0</v>
      </c>
      <c r="P15" s="37"/>
      <c r="Q15" s="37"/>
      <c r="R15" s="37"/>
      <c r="S15" s="39">
        <f t="shared" si="2"/>
        <v>0</v>
      </c>
      <c r="T15" s="91" t="str">
        <f t="shared" si="3"/>
        <v>OK</v>
      </c>
      <c r="U15" s="235"/>
      <c r="V15" s="235"/>
      <c r="W15" s="93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45" customHeight="1" x14ac:dyDescent="0.25">
      <c r="A16" s="67">
        <v>5</v>
      </c>
      <c r="B16" s="67" t="s">
        <v>75</v>
      </c>
      <c r="C16" s="58">
        <v>13</v>
      </c>
      <c r="D16" s="68" t="s">
        <v>80</v>
      </c>
      <c r="E16" s="59" t="s">
        <v>44</v>
      </c>
      <c r="F16" s="69" t="s">
        <v>16</v>
      </c>
      <c r="G16" s="69" t="s">
        <v>17</v>
      </c>
      <c r="H16" s="58" t="s">
        <v>38</v>
      </c>
      <c r="I16" s="70" t="s">
        <v>98</v>
      </c>
      <c r="J16" s="61">
        <v>43.49</v>
      </c>
      <c r="K16" s="90">
        <v>15</v>
      </c>
      <c r="L16" s="36">
        <f t="shared" si="4"/>
        <v>0</v>
      </c>
      <c r="M16" s="36">
        <f t="shared" si="5"/>
        <v>0</v>
      </c>
      <c r="N16" s="37"/>
      <c r="O16" s="38">
        <f t="shared" si="6"/>
        <v>3</v>
      </c>
      <c r="P16" s="37"/>
      <c r="Q16" s="37"/>
      <c r="R16" s="37"/>
      <c r="S16" s="39">
        <f t="shared" si="2"/>
        <v>15</v>
      </c>
      <c r="T16" s="91" t="str">
        <f t="shared" si="3"/>
        <v>OK</v>
      </c>
      <c r="U16" s="235"/>
      <c r="V16" s="235"/>
      <c r="W16" s="93"/>
      <c r="X16" s="94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5" ht="55.5" customHeight="1" x14ac:dyDescent="0.25">
      <c r="A17" s="71">
        <v>6</v>
      </c>
      <c r="B17" s="71" t="s">
        <v>81</v>
      </c>
      <c r="C17" s="62">
        <v>14</v>
      </c>
      <c r="D17" s="72" t="s">
        <v>82</v>
      </c>
      <c r="E17" s="63" t="s">
        <v>45</v>
      </c>
      <c r="F17" s="64" t="s">
        <v>16</v>
      </c>
      <c r="G17" s="64" t="s">
        <v>17</v>
      </c>
      <c r="H17" s="62" t="s">
        <v>38</v>
      </c>
      <c r="I17" s="62" t="s">
        <v>4</v>
      </c>
      <c r="J17" s="65">
        <v>10.5</v>
      </c>
      <c r="K17" s="90">
        <v>300</v>
      </c>
      <c r="L17" s="36">
        <f t="shared" si="4"/>
        <v>0</v>
      </c>
      <c r="M17" s="36">
        <f t="shared" si="5"/>
        <v>0</v>
      </c>
      <c r="N17" s="37"/>
      <c r="O17" s="38">
        <f t="shared" si="6"/>
        <v>75</v>
      </c>
      <c r="P17" s="37"/>
      <c r="Q17" s="37"/>
      <c r="R17" s="37"/>
      <c r="S17" s="39">
        <f t="shared" si="2"/>
        <v>300</v>
      </c>
      <c r="T17" s="91" t="str">
        <f t="shared" si="3"/>
        <v>OK</v>
      </c>
      <c r="U17" s="235"/>
      <c r="V17" s="236"/>
      <c r="W17" s="99"/>
      <c r="X17" s="94"/>
      <c r="Y17" s="95"/>
      <c r="Z17" s="98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66.75" customHeight="1" x14ac:dyDescent="0.25">
      <c r="A18" s="67">
        <v>7</v>
      </c>
      <c r="B18" s="67" t="s">
        <v>83</v>
      </c>
      <c r="C18" s="58">
        <v>15</v>
      </c>
      <c r="D18" s="68" t="s">
        <v>46</v>
      </c>
      <c r="E18" s="59" t="s">
        <v>47</v>
      </c>
      <c r="F18" s="66" t="s">
        <v>16</v>
      </c>
      <c r="G18" s="66" t="s">
        <v>17</v>
      </c>
      <c r="H18" s="58" t="s">
        <v>38</v>
      </c>
      <c r="I18" s="58" t="s">
        <v>4</v>
      </c>
      <c r="J18" s="61">
        <v>151.96</v>
      </c>
      <c r="K18" s="90">
        <v>4</v>
      </c>
      <c r="L18" s="36">
        <f t="shared" si="4"/>
        <v>0</v>
      </c>
      <c r="M18" s="36">
        <f t="shared" si="5"/>
        <v>0</v>
      </c>
      <c r="N18" s="37"/>
      <c r="O18" s="38">
        <f t="shared" si="6"/>
        <v>1</v>
      </c>
      <c r="P18" s="37"/>
      <c r="Q18" s="37"/>
      <c r="R18" s="37"/>
      <c r="S18" s="39">
        <f t="shared" si="2"/>
        <v>4</v>
      </c>
      <c r="T18" s="91" t="str">
        <f t="shared" si="3"/>
        <v>OK</v>
      </c>
      <c r="U18" s="235"/>
      <c r="V18" s="236"/>
      <c r="W18" s="99"/>
      <c r="X18" s="100"/>
      <c r="Y18" s="95"/>
      <c r="Z18" s="98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35" ht="38.25" customHeight="1" x14ac:dyDescent="0.25">
      <c r="A19" s="266">
        <v>8</v>
      </c>
      <c r="B19" s="266" t="s">
        <v>84</v>
      </c>
      <c r="C19" s="62">
        <v>16</v>
      </c>
      <c r="D19" s="275" t="s">
        <v>12</v>
      </c>
      <c r="E19" s="63" t="s">
        <v>48</v>
      </c>
      <c r="F19" s="64" t="s">
        <v>16</v>
      </c>
      <c r="G19" s="64" t="s">
        <v>17</v>
      </c>
      <c r="H19" s="62" t="s">
        <v>38</v>
      </c>
      <c r="I19" s="62" t="s">
        <v>4</v>
      </c>
      <c r="J19" s="65">
        <v>53.55</v>
      </c>
      <c r="K19" s="90"/>
      <c r="L19" s="36">
        <f t="shared" si="4"/>
        <v>0</v>
      </c>
      <c r="M19" s="36">
        <f t="shared" si="5"/>
        <v>0</v>
      </c>
      <c r="N19" s="37"/>
      <c r="O19" s="38">
        <f t="shared" si="6"/>
        <v>0</v>
      </c>
      <c r="P19" s="37"/>
      <c r="Q19" s="37"/>
      <c r="R19" s="37"/>
      <c r="S19" s="39">
        <f t="shared" si="2"/>
        <v>0</v>
      </c>
      <c r="T19" s="91" t="str">
        <f t="shared" si="3"/>
        <v>OK</v>
      </c>
      <c r="U19" s="235"/>
      <c r="V19" s="236"/>
      <c r="W19" s="99"/>
      <c r="X19" s="94"/>
      <c r="Y19" s="95"/>
      <c r="Z19" s="98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5" ht="45" customHeight="1" x14ac:dyDescent="0.25">
      <c r="A20" s="267"/>
      <c r="B20" s="267"/>
      <c r="C20" s="62">
        <v>17</v>
      </c>
      <c r="D20" s="275"/>
      <c r="E20" s="63" t="s">
        <v>49</v>
      </c>
      <c r="F20" s="73" t="s">
        <v>16</v>
      </c>
      <c r="G20" s="73" t="s">
        <v>17</v>
      </c>
      <c r="H20" s="62" t="s">
        <v>38</v>
      </c>
      <c r="I20" s="62" t="s">
        <v>4</v>
      </c>
      <c r="J20" s="65">
        <v>7.35</v>
      </c>
      <c r="K20" s="90"/>
      <c r="L20" s="36">
        <f t="shared" si="4"/>
        <v>0</v>
      </c>
      <c r="M20" s="36">
        <f t="shared" si="5"/>
        <v>0</v>
      </c>
      <c r="N20" s="37"/>
      <c r="O20" s="38">
        <f t="shared" si="6"/>
        <v>0</v>
      </c>
      <c r="P20" s="37"/>
      <c r="Q20" s="37"/>
      <c r="R20" s="37"/>
      <c r="S20" s="39">
        <f t="shared" si="2"/>
        <v>0</v>
      </c>
      <c r="T20" s="91" t="str">
        <f t="shared" si="3"/>
        <v>OK</v>
      </c>
      <c r="U20" s="235"/>
      <c r="V20" s="236"/>
      <c r="W20" s="99"/>
      <c r="X20" s="94"/>
      <c r="Y20" s="95"/>
      <c r="Z20" s="101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5" ht="58.7" customHeight="1" x14ac:dyDescent="0.25">
      <c r="A21" s="74">
        <v>9</v>
      </c>
      <c r="B21" s="74" t="s">
        <v>85</v>
      </c>
      <c r="C21" s="75">
        <v>18</v>
      </c>
      <c r="D21" s="76" t="s">
        <v>50</v>
      </c>
      <c r="E21" s="77" t="s">
        <v>51</v>
      </c>
      <c r="F21" s="69" t="s">
        <v>16</v>
      </c>
      <c r="G21" s="69" t="s">
        <v>17</v>
      </c>
      <c r="H21" s="58" t="s">
        <v>38</v>
      </c>
      <c r="I21" s="58" t="s">
        <v>24</v>
      </c>
      <c r="J21" s="61">
        <v>10.85</v>
      </c>
      <c r="K21" s="90">
        <v>150</v>
      </c>
      <c r="L21" s="36">
        <f t="shared" si="4"/>
        <v>0</v>
      </c>
      <c r="M21" s="36">
        <f t="shared" si="5"/>
        <v>0</v>
      </c>
      <c r="N21" s="37"/>
      <c r="O21" s="38">
        <f t="shared" si="6"/>
        <v>37</v>
      </c>
      <c r="P21" s="37"/>
      <c r="Q21" s="37"/>
      <c r="R21" s="37"/>
      <c r="S21" s="39">
        <f t="shared" si="2"/>
        <v>150</v>
      </c>
      <c r="T21" s="91" t="str">
        <f t="shared" si="3"/>
        <v>OK</v>
      </c>
      <c r="U21" s="236"/>
      <c r="V21" s="235"/>
      <c r="W21" s="99"/>
      <c r="X21" s="94"/>
      <c r="Y21" s="95"/>
      <c r="Z21" s="101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5" ht="45" customHeight="1" x14ac:dyDescent="0.25">
      <c r="A22" s="71">
        <v>10</v>
      </c>
      <c r="B22" s="71" t="s">
        <v>85</v>
      </c>
      <c r="C22" s="62">
        <v>19</v>
      </c>
      <c r="D22" s="72" t="s">
        <v>27</v>
      </c>
      <c r="E22" s="63" t="s">
        <v>23</v>
      </c>
      <c r="F22" s="73" t="s">
        <v>16</v>
      </c>
      <c r="G22" s="73" t="s">
        <v>17</v>
      </c>
      <c r="H22" s="62" t="s">
        <v>38</v>
      </c>
      <c r="I22" s="62" t="s">
        <v>99</v>
      </c>
      <c r="J22" s="65">
        <v>0.71</v>
      </c>
      <c r="K22" s="90">
        <v>3000</v>
      </c>
      <c r="L22" s="36">
        <f t="shared" si="4"/>
        <v>0</v>
      </c>
      <c r="M22" s="36">
        <f t="shared" si="5"/>
        <v>0</v>
      </c>
      <c r="N22" s="37"/>
      <c r="O22" s="38">
        <f t="shared" si="6"/>
        <v>750</v>
      </c>
      <c r="P22" s="37"/>
      <c r="Q22" s="37"/>
      <c r="R22" s="37"/>
      <c r="S22" s="39">
        <f t="shared" si="2"/>
        <v>3000</v>
      </c>
      <c r="T22" s="91" t="str">
        <f t="shared" si="3"/>
        <v>OK</v>
      </c>
      <c r="U22" s="236"/>
      <c r="V22" s="235"/>
      <c r="W22" s="99"/>
      <c r="X22" s="94"/>
      <c r="Y22" s="95"/>
      <c r="Z22" s="101"/>
      <c r="AA22" s="98"/>
      <c r="AB22" s="95"/>
      <c r="AC22" s="95"/>
      <c r="AD22" s="95"/>
      <c r="AE22" s="95"/>
      <c r="AF22" s="95"/>
      <c r="AG22" s="95"/>
      <c r="AH22" s="95"/>
      <c r="AI22" s="95"/>
    </row>
    <row r="23" spans="1:35" ht="42" customHeight="1" x14ac:dyDescent="0.25">
      <c r="A23" s="285">
        <v>11</v>
      </c>
      <c r="B23" s="287" t="s">
        <v>85</v>
      </c>
      <c r="C23" s="75">
        <v>20</v>
      </c>
      <c r="D23" s="304" t="s">
        <v>25</v>
      </c>
      <c r="E23" s="59" t="s">
        <v>19</v>
      </c>
      <c r="F23" s="69" t="s">
        <v>16</v>
      </c>
      <c r="G23" s="69" t="s">
        <v>17</v>
      </c>
      <c r="H23" s="70" t="s">
        <v>38</v>
      </c>
      <c r="I23" s="70" t="s">
        <v>100</v>
      </c>
      <c r="J23" s="61">
        <v>21.18</v>
      </c>
      <c r="K23" s="90">
        <v>150</v>
      </c>
      <c r="L23" s="36">
        <f t="shared" si="4"/>
        <v>0</v>
      </c>
      <c r="M23" s="36">
        <f t="shared" si="5"/>
        <v>0</v>
      </c>
      <c r="N23" s="37"/>
      <c r="O23" s="38">
        <f t="shared" si="6"/>
        <v>37</v>
      </c>
      <c r="P23" s="37"/>
      <c r="Q23" s="37"/>
      <c r="R23" s="37"/>
      <c r="S23" s="39">
        <f t="shared" si="2"/>
        <v>150</v>
      </c>
      <c r="T23" s="91" t="str">
        <f t="shared" si="3"/>
        <v>OK</v>
      </c>
      <c r="U23" s="236"/>
      <c r="V23" s="235"/>
      <c r="W23" s="99"/>
      <c r="X23" s="94"/>
      <c r="Y23" s="95"/>
      <c r="Z23" s="101"/>
      <c r="AA23" s="98"/>
      <c r="AB23" s="95"/>
      <c r="AC23" s="95"/>
      <c r="AD23" s="95"/>
      <c r="AE23" s="95"/>
      <c r="AF23" s="95"/>
      <c r="AG23" s="95"/>
      <c r="AH23" s="95"/>
      <c r="AI23" s="95"/>
    </row>
    <row r="24" spans="1:35" ht="25.15" customHeight="1" x14ac:dyDescent="0.25">
      <c r="A24" s="286"/>
      <c r="B24" s="288"/>
      <c r="C24" s="75">
        <v>21</v>
      </c>
      <c r="D24" s="304"/>
      <c r="E24" s="59" t="s">
        <v>20</v>
      </c>
      <c r="F24" s="69" t="s">
        <v>16</v>
      </c>
      <c r="G24" s="69" t="s">
        <v>17</v>
      </c>
      <c r="H24" s="70" t="s">
        <v>38</v>
      </c>
      <c r="I24" s="70" t="s">
        <v>100</v>
      </c>
      <c r="J24" s="61">
        <v>5.59</v>
      </c>
      <c r="K24" s="90"/>
      <c r="L24" s="36">
        <f t="shared" si="4"/>
        <v>0</v>
      </c>
      <c r="M24" s="36">
        <f t="shared" si="5"/>
        <v>0</v>
      </c>
      <c r="N24" s="37"/>
      <c r="O24" s="38">
        <f t="shared" si="6"/>
        <v>0</v>
      </c>
      <c r="P24" s="37"/>
      <c r="Q24" s="37"/>
      <c r="R24" s="37"/>
      <c r="S24" s="39">
        <f t="shared" si="2"/>
        <v>0</v>
      </c>
      <c r="T24" s="91" t="str">
        <f t="shared" si="3"/>
        <v>OK</v>
      </c>
      <c r="U24" s="235"/>
      <c r="V24" s="235"/>
      <c r="W24" s="99"/>
      <c r="X24" s="94"/>
      <c r="Y24" s="95"/>
      <c r="Z24" s="101"/>
      <c r="AA24" s="95"/>
      <c r="AB24" s="95"/>
      <c r="AC24" s="95"/>
      <c r="AD24" s="95"/>
      <c r="AE24" s="95"/>
      <c r="AF24" s="95"/>
      <c r="AG24" s="95"/>
      <c r="AH24" s="95"/>
      <c r="AI24" s="95"/>
    </row>
    <row r="25" spans="1:35" ht="26.45" customHeight="1" x14ac:dyDescent="0.25">
      <c r="A25" s="289">
        <v>12</v>
      </c>
      <c r="B25" s="291" t="s">
        <v>86</v>
      </c>
      <c r="C25" s="62">
        <v>22</v>
      </c>
      <c r="D25" s="275" t="s">
        <v>26</v>
      </c>
      <c r="E25" s="63" t="s">
        <v>19</v>
      </c>
      <c r="F25" s="73" t="s">
        <v>16</v>
      </c>
      <c r="G25" s="73" t="s">
        <v>17</v>
      </c>
      <c r="H25" s="78" t="s">
        <v>38</v>
      </c>
      <c r="I25" s="78" t="s">
        <v>100</v>
      </c>
      <c r="J25" s="65">
        <v>3.4</v>
      </c>
      <c r="K25" s="90"/>
      <c r="L25" s="36">
        <f t="shared" si="4"/>
        <v>0</v>
      </c>
      <c r="M25" s="36">
        <f t="shared" si="5"/>
        <v>0</v>
      </c>
      <c r="N25" s="37"/>
      <c r="O25" s="38">
        <f t="shared" si="6"/>
        <v>0</v>
      </c>
      <c r="P25" s="37"/>
      <c r="Q25" s="37"/>
      <c r="R25" s="37"/>
      <c r="S25" s="39">
        <f t="shared" si="2"/>
        <v>0</v>
      </c>
      <c r="T25" s="91" t="str">
        <f t="shared" si="3"/>
        <v>OK</v>
      </c>
      <c r="U25" s="235"/>
      <c r="V25" s="235"/>
      <c r="W25" s="99"/>
      <c r="X25" s="94"/>
      <c r="Y25" s="95"/>
      <c r="Z25" s="101"/>
      <c r="AA25" s="95"/>
      <c r="AB25" s="95"/>
      <c r="AC25" s="95"/>
      <c r="AD25" s="95"/>
      <c r="AE25" s="95"/>
      <c r="AF25" s="95"/>
      <c r="AG25" s="95"/>
      <c r="AH25" s="95"/>
      <c r="AI25" s="95"/>
    </row>
    <row r="26" spans="1:35" ht="24.4" customHeight="1" x14ac:dyDescent="0.25">
      <c r="A26" s="290"/>
      <c r="B26" s="290"/>
      <c r="C26" s="62">
        <v>23</v>
      </c>
      <c r="D26" s="275"/>
      <c r="E26" s="63" t="s">
        <v>20</v>
      </c>
      <c r="F26" s="73" t="s">
        <v>16</v>
      </c>
      <c r="G26" s="73" t="s">
        <v>17</v>
      </c>
      <c r="H26" s="78" t="s">
        <v>38</v>
      </c>
      <c r="I26" s="78" t="s">
        <v>100</v>
      </c>
      <c r="J26" s="65">
        <v>1.8</v>
      </c>
      <c r="K26" s="90"/>
      <c r="L26" s="36">
        <f t="shared" si="4"/>
        <v>0</v>
      </c>
      <c r="M26" s="36">
        <f t="shared" si="5"/>
        <v>0</v>
      </c>
      <c r="N26" s="37"/>
      <c r="O26" s="38">
        <f t="shared" si="6"/>
        <v>0</v>
      </c>
      <c r="P26" s="37"/>
      <c r="Q26" s="37"/>
      <c r="R26" s="37"/>
      <c r="S26" s="39">
        <f t="shared" si="2"/>
        <v>0</v>
      </c>
      <c r="T26" s="91" t="str">
        <f t="shared" si="3"/>
        <v>OK</v>
      </c>
      <c r="U26" s="235"/>
      <c r="V26" s="235"/>
      <c r="W26" s="99"/>
      <c r="X26" s="94"/>
      <c r="Y26" s="95"/>
      <c r="Z26" s="101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ht="24" customHeight="1" x14ac:dyDescent="0.25">
      <c r="A27" s="295">
        <v>13</v>
      </c>
      <c r="B27" s="297" t="s">
        <v>86</v>
      </c>
      <c r="C27" s="58">
        <v>24</v>
      </c>
      <c r="D27" s="274" t="s">
        <v>52</v>
      </c>
      <c r="E27" s="59" t="s">
        <v>21</v>
      </c>
      <c r="F27" s="69" t="s">
        <v>16</v>
      </c>
      <c r="G27" s="66" t="s">
        <v>17</v>
      </c>
      <c r="H27" s="79" t="s">
        <v>38</v>
      </c>
      <c r="I27" s="80" t="s">
        <v>101</v>
      </c>
      <c r="J27" s="61">
        <v>0.33</v>
      </c>
      <c r="K27" s="90">
        <v>2000</v>
      </c>
      <c r="L27" s="36">
        <f t="shared" si="4"/>
        <v>1000</v>
      </c>
      <c r="M27" s="36">
        <f t="shared" si="5"/>
        <v>1000</v>
      </c>
      <c r="N27" s="37"/>
      <c r="O27" s="38">
        <f t="shared" si="6"/>
        <v>500</v>
      </c>
      <c r="P27" s="37"/>
      <c r="Q27" s="37"/>
      <c r="R27" s="37"/>
      <c r="S27" s="39">
        <f t="shared" si="2"/>
        <v>1000</v>
      </c>
      <c r="T27" s="91" t="str">
        <f t="shared" si="3"/>
        <v>OK</v>
      </c>
      <c r="U27" s="235"/>
      <c r="V27" s="245">
        <v>1000</v>
      </c>
      <c r="W27" s="99"/>
      <c r="X27" s="94"/>
      <c r="Y27" s="95"/>
      <c r="Z27" s="101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ht="30.2" customHeight="1" x14ac:dyDescent="0.25">
      <c r="A28" s="296"/>
      <c r="B28" s="296"/>
      <c r="C28" s="75">
        <v>25</v>
      </c>
      <c r="D28" s="274"/>
      <c r="E28" s="59" t="s">
        <v>22</v>
      </c>
      <c r="F28" s="69" t="s">
        <v>16</v>
      </c>
      <c r="G28" s="69" t="s">
        <v>17</v>
      </c>
      <c r="H28" s="79" t="s">
        <v>38</v>
      </c>
      <c r="I28" s="80" t="s">
        <v>101</v>
      </c>
      <c r="J28" s="61">
        <v>0.19</v>
      </c>
      <c r="K28" s="90"/>
      <c r="L28" s="36">
        <f t="shared" si="4"/>
        <v>0</v>
      </c>
      <c r="M28" s="36">
        <f t="shared" si="5"/>
        <v>0</v>
      </c>
      <c r="N28" s="37"/>
      <c r="O28" s="38">
        <f t="shared" si="6"/>
        <v>0</v>
      </c>
      <c r="P28" s="37"/>
      <c r="Q28" s="37"/>
      <c r="R28" s="37"/>
      <c r="S28" s="39">
        <f t="shared" si="2"/>
        <v>0</v>
      </c>
      <c r="T28" s="91" t="str">
        <f t="shared" si="3"/>
        <v>OK</v>
      </c>
      <c r="U28" s="235"/>
      <c r="V28" s="235"/>
      <c r="W28" s="99"/>
      <c r="X28" s="94"/>
      <c r="Y28" s="95"/>
      <c r="Z28" s="101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ht="26.45" customHeight="1" x14ac:dyDescent="0.25">
      <c r="A29" s="289">
        <v>14</v>
      </c>
      <c r="B29" s="291" t="s">
        <v>86</v>
      </c>
      <c r="C29" s="62" t="s">
        <v>87</v>
      </c>
      <c r="D29" s="275" t="s">
        <v>88</v>
      </c>
      <c r="E29" s="63" t="s">
        <v>21</v>
      </c>
      <c r="F29" s="73" t="s">
        <v>16</v>
      </c>
      <c r="G29" s="73" t="s">
        <v>17</v>
      </c>
      <c r="H29" s="81" t="s">
        <v>38</v>
      </c>
      <c r="I29" s="82" t="s">
        <v>24</v>
      </c>
      <c r="J29" s="65">
        <v>0.3</v>
      </c>
      <c r="K29" s="90"/>
      <c r="L29" s="36">
        <f t="shared" si="4"/>
        <v>0</v>
      </c>
      <c r="M29" s="36">
        <f t="shared" si="5"/>
        <v>0</v>
      </c>
      <c r="N29" s="37"/>
      <c r="O29" s="38">
        <f t="shared" si="6"/>
        <v>0</v>
      </c>
      <c r="P29" s="37"/>
      <c r="Q29" s="37"/>
      <c r="R29" s="37"/>
      <c r="S29" s="39">
        <f t="shared" si="2"/>
        <v>0</v>
      </c>
      <c r="T29" s="91" t="str">
        <f t="shared" si="3"/>
        <v>OK</v>
      </c>
      <c r="U29" s="235"/>
      <c r="V29" s="235"/>
      <c r="W29" s="102"/>
      <c r="X29" s="94"/>
      <c r="Y29" s="95"/>
      <c r="Z29" s="101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ht="33.950000000000003" customHeight="1" x14ac:dyDescent="0.25">
      <c r="A30" s="290"/>
      <c r="B30" s="290"/>
      <c r="C30" s="62">
        <v>27</v>
      </c>
      <c r="D30" s="275"/>
      <c r="E30" s="63" t="s">
        <v>22</v>
      </c>
      <c r="F30" s="73" t="s">
        <v>16</v>
      </c>
      <c r="G30" s="73" t="s">
        <v>17</v>
      </c>
      <c r="H30" s="81" t="s">
        <v>38</v>
      </c>
      <c r="I30" s="82" t="s">
        <v>24</v>
      </c>
      <c r="J30" s="65">
        <v>0.25</v>
      </c>
      <c r="K30" s="90"/>
      <c r="L30" s="36">
        <f t="shared" si="4"/>
        <v>0</v>
      </c>
      <c r="M30" s="36">
        <f t="shared" si="5"/>
        <v>0</v>
      </c>
      <c r="N30" s="37"/>
      <c r="O30" s="38">
        <f t="shared" si="6"/>
        <v>0</v>
      </c>
      <c r="P30" s="37"/>
      <c r="Q30" s="37"/>
      <c r="R30" s="37"/>
      <c r="S30" s="39">
        <f t="shared" si="2"/>
        <v>0</v>
      </c>
      <c r="T30" s="91" t="str">
        <f t="shared" si="3"/>
        <v>OK</v>
      </c>
      <c r="U30" s="235"/>
      <c r="V30" s="235"/>
      <c r="W30" s="99"/>
      <c r="X30" s="94"/>
      <c r="Y30" s="95"/>
      <c r="Z30" s="101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ht="27" customHeight="1" x14ac:dyDescent="0.25">
      <c r="A31" s="285">
        <v>15</v>
      </c>
      <c r="B31" s="299" t="s">
        <v>85</v>
      </c>
      <c r="C31" s="75">
        <v>28</v>
      </c>
      <c r="D31" s="304" t="s">
        <v>89</v>
      </c>
      <c r="E31" s="59" t="s">
        <v>21</v>
      </c>
      <c r="F31" s="69" t="s">
        <v>16</v>
      </c>
      <c r="G31" s="69" t="s">
        <v>17</v>
      </c>
      <c r="H31" s="79" t="s">
        <v>38</v>
      </c>
      <c r="I31" s="80" t="s">
        <v>24</v>
      </c>
      <c r="J31" s="61">
        <v>1.3</v>
      </c>
      <c r="K31" s="90">
        <v>2000</v>
      </c>
      <c r="L31" s="36">
        <f t="shared" si="4"/>
        <v>0</v>
      </c>
      <c r="M31" s="36">
        <f t="shared" si="5"/>
        <v>0</v>
      </c>
      <c r="N31" s="37"/>
      <c r="O31" s="38">
        <f t="shared" si="6"/>
        <v>500</v>
      </c>
      <c r="P31" s="37"/>
      <c r="Q31" s="37"/>
      <c r="R31" s="37"/>
      <c r="S31" s="39">
        <f t="shared" si="2"/>
        <v>2000</v>
      </c>
      <c r="T31" s="91" t="str">
        <f t="shared" si="3"/>
        <v>OK</v>
      </c>
      <c r="U31" s="235"/>
      <c r="V31" s="236"/>
      <c r="W31" s="99"/>
      <c r="X31" s="94"/>
      <c r="Y31" s="95"/>
      <c r="Z31" s="101"/>
      <c r="AA31" s="95"/>
      <c r="AB31" s="95"/>
      <c r="AC31" s="95"/>
      <c r="AD31" s="95"/>
      <c r="AE31" s="95"/>
      <c r="AF31" s="95"/>
      <c r="AG31" s="95"/>
      <c r="AH31" s="95"/>
      <c r="AI31" s="95"/>
    </row>
    <row r="32" spans="1:35" ht="27" customHeight="1" x14ac:dyDescent="0.25">
      <c r="A32" s="286"/>
      <c r="B32" s="286"/>
      <c r="C32" s="75">
        <v>29</v>
      </c>
      <c r="D32" s="304"/>
      <c r="E32" s="59" t="s">
        <v>22</v>
      </c>
      <c r="F32" s="69"/>
      <c r="G32" s="69"/>
      <c r="H32" s="79" t="s">
        <v>38</v>
      </c>
      <c r="I32" s="80" t="s">
        <v>24</v>
      </c>
      <c r="J32" s="61">
        <v>0.3</v>
      </c>
      <c r="K32" s="90">
        <v>1000</v>
      </c>
      <c r="L32" s="36">
        <f t="shared" ref="L32" si="7">IF(SUM(U32:AL32)&gt;K32+N32,K32+N32,SUM(U32:AL32))</f>
        <v>0</v>
      </c>
      <c r="M32" s="36">
        <f t="shared" ref="M32" si="8">(SUM(U32:AL32))</f>
        <v>0</v>
      </c>
      <c r="N32" s="37"/>
      <c r="O32" s="38">
        <f t="shared" ref="O32" si="9">ROUND(IF(K32*0.25-0.5&lt;0,0,K32*0.25-0.5),0)-R32-P32</f>
        <v>250</v>
      </c>
      <c r="P32" s="37"/>
      <c r="Q32" s="37"/>
      <c r="R32" s="37"/>
      <c r="S32" s="39">
        <f t="shared" ref="S32" si="10">K32+N32+P32+Q32-M32</f>
        <v>1000</v>
      </c>
      <c r="T32" s="91" t="str">
        <f t="shared" ref="T32" si="11">IF(S32&lt;0,"ATENÇÃO","OK")</f>
        <v>OK</v>
      </c>
      <c r="U32" s="235"/>
      <c r="V32" s="236"/>
      <c r="W32" s="99"/>
      <c r="X32" s="94"/>
      <c r="Y32" s="95"/>
      <c r="Z32" s="101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ht="29.25" customHeight="1" x14ac:dyDescent="0.25">
      <c r="A33" s="83">
        <v>16</v>
      </c>
      <c r="B33" s="84" t="s">
        <v>81</v>
      </c>
      <c r="C33" s="62" t="s">
        <v>90</v>
      </c>
      <c r="D33" s="72" t="s">
        <v>91</v>
      </c>
      <c r="E33" s="85" t="s">
        <v>92</v>
      </c>
      <c r="F33" s="69" t="s">
        <v>16</v>
      </c>
      <c r="G33" s="69" t="s">
        <v>17</v>
      </c>
      <c r="H33" s="86" t="s">
        <v>38</v>
      </c>
      <c r="I33" s="86" t="s">
        <v>24</v>
      </c>
      <c r="J33" s="65">
        <v>7.8</v>
      </c>
      <c r="K33" s="90"/>
      <c r="L33" s="36">
        <f t="shared" si="4"/>
        <v>0</v>
      </c>
      <c r="M33" s="36">
        <f t="shared" si="5"/>
        <v>0</v>
      </c>
      <c r="N33" s="37"/>
      <c r="O33" s="38">
        <f t="shared" si="6"/>
        <v>0</v>
      </c>
      <c r="P33" s="37"/>
      <c r="Q33" s="37"/>
      <c r="R33" s="37"/>
      <c r="S33" s="39">
        <f t="shared" si="2"/>
        <v>0</v>
      </c>
      <c r="T33" s="91" t="str">
        <f t="shared" si="3"/>
        <v>OK</v>
      </c>
      <c r="U33" s="235"/>
      <c r="V33" s="235"/>
      <c r="W33" s="93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ht="31.5" customHeight="1" x14ac:dyDescent="0.25">
      <c r="A34" s="285">
        <v>17</v>
      </c>
      <c r="B34" s="299" t="s">
        <v>86</v>
      </c>
      <c r="C34" s="75" t="s">
        <v>93</v>
      </c>
      <c r="D34" s="300" t="s">
        <v>94</v>
      </c>
      <c r="E34" s="87" t="s">
        <v>95</v>
      </c>
      <c r="F34" s="88"/>
      <c r="G34" s="88"/>
      <c r="H34" s="89" t="s">
        <v>38</v>
      </c>
      <c r="I34" s="89" t="s">
        <v>24</v>
      </c>
      <c r="J34" s="61">
        <v>1.5</v>
      </c>
      <c r="K34" s="90"/>
      <c r="L34" s="36">
        <f t="shared" si="4"/>
        <v>0</v>
      </c>
      <c r="M34" s="36">
        <f t="shared" si="5"/>
        <v>0</v>
      </c>
      <c r="N34" s="37"/>
      <c r="O34" s="38">
        <f t="shared" si="6"/>
        <v>0</v>
      </c>
      <c r="P34" s="37"/>
      <c r="Q34" s="37"/>
      <c r="R34" s="37"/>
      <c r="S34" s="39">
        <f t="shared" si="2"/>
        <v>0</v>
      </c>
      <c r="T34" s="91" t="str">
        <f t="shared" si="3"/>
        <v>OK</v>
      </c>
      <c r="U34" s="235"/>
      <c r="V34" s="235"/>
      <c r="W34" s="93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ht="15" x14ac:dyDescent="0.25">
      <c r="A35" s="286"/>
      <c r="B35" s="286"/>
      <c r="C35" s="75" t="s">
        <v>96</v>
      </c>
      <c r="D35" s="301"/>
      <c r="E35" s="87" t="s">
        <v>97</v>
      </c>
      <c r="F35" s="88"/>
      <c r="G35" s="88"/>
      <c r="H35" s="89" t="s">
        <v>38</v>
      </c>
      <c r="I35" s="89" t="s">
        <v>24</v>
      </c>
      <c r="J35" s="61">
        <v>0.9</v>
      </c>
      <c r="K35" s="90"/>
      <c r="L35" s="36">
        <f t="shared" si="4"/>
        <v>0</v>
      </c>
      <c r="M35" s="36">
        <f t="shared" si="5"/>
        <v>0</v>
      </c>
      <c r="N35" s="37"/>
      <c r="O35" s="38">
        <f t="shared" si="6"/>
        <v>0</v>
      </c>
      <c r="P35" s="37"/>
      <c r="Q35" s="37"/>
      <c r="R35" s="37"/>
      <c r="S35" s="39">
        <f t="shared" si="2"/>
        <v>0</v>
      </c>
      <c r="T35" s="91" t="str">
        <f t="shared" si="3"/>
        <v>OK</v>
      </c>
      <c r="U35" s="235"/>
      <c r="V35" s="235"/>
      <c r="W35" s="93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ht="18.95" customHeight="1" x14ac:dyDescent="0.2">
      <c r="K36" s="27">
        <f>SUM(K4:K35)</f>
        <v>8763</v>
      </c>
      <c r="S36" s="28">
        <f>SUM(S4:S35)</f>
        <v>7623</v>
      </c>
      <c r="T36" s="29" t="str">
        <f t="shared" si="3"/>
        <v>OK</v>
      </c>
      <c r="U36" s="239">
        <f>SUMPRODUCT($J$4:$J$35,U4:U35)</f>
        <v>4185.8</v>
      </c>
      <c r="V36" s="239">
        <f t="shared" ref="V36:AI36" si="12">SUMPRODUCT($J$4:$J$35,V4:V35)</f>
        <v>330</v>
      </c>
      <c r="W36" s="239">
        <f t="shared" si="12"/>
        <v>0</v>
      </c>
      <c r="X36" s="239">
        <f t="shared" si="12"/>
        <v>0</v>
      </c>
      <c r="Y36" s="239">
        <f t="shared" si="12"/>
        <v>0</v>
      </c>
      <c r="Z36" s="239">
        <f t="shared" si="12"/>
        <v>0</v>
      </c>
      <c r="AA36" s="239">
        <f t="shared" si="12"/>
        <v>0</v>
      </c>
      <c r="AB36" s="239">
        <f t="shared" si="12"/>
        <v>0</v>
      </c>
      <c r="AC36" s="239">
        <f t="shared" si="12"/>
        <v>0</v>
      </c>
      <c r="AD36" s="239">
        <f t="shared" si="12"/>
        <v>0</v>
      </c>
      <c r="AE36" s="239">
        <f t="shared" si="12"/>
        <v>0</v>
      </c>
      <c r="AF36" s="239">
        <f t="shared" si="12"/>
        <v>0</v>
      </c>
      <c r="AG36" s="239">
        <f t="shared" si="12"/>
        <v>0</v>
      </c>
      <c r="AH36" s="239">
        <f t="shared" si="12"/>
        <v>0</v>
      </c>
      <c r="AI36" s="239">
        <f t="shared" si="12"/>
        <v>0</v>
      </c>
    </row>
  </sheetData>
  <mergeCells count="53">
    <mergeCell ref="A34:A35"/>
    <mergeCell ref="B34:B35"/>
    <mergeCell ref="D34:D35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1:C1"/>
    <mergeCell ref="D1:J1"/>
    <mergeCell ref="K1:T1"/>
    <mergeCell ref="U1:U2"/>
    <mergeCell ref="V1:V2"/>
    <mergeCell ref="K2:T2"/>
    <mergeCell ref="A2:J2"/>
  </mergeCells>
  <conditionalFormatting sqref="X4:AL32">
    <cfRule type="cellIs" dxfId="21" priority="2" operator="greaterThan">
      <formula>0</formula>
    </cfRule>
  </conditionalFormatting>
  <conditionalFormatting sqref="U4:AI35">
    <cfRule type="cellIs" dxfId="2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SECOM</vt:lpstr>
      <vt:lpstr>PROEX</vt:lpstr>
      <vt:lpstr>BU</vt:lpstr>
      <vt:lpstr>MUSEU</vt:lpstr>
      <vt:lpstr>COVEST</vt:lpstr>
      <vt:lpstr>SCII</vt:lpstr>
      <vt:lpstr>CEART</vt:lpstr>
      <vt:lpstr>CAV</vt:lpstr>
      <vt:lpstr>CESFI</vt:lpstr>
      <vt:lpstr>CEFID</vt:lpstr>
      <vt:lpstr>CEAVI</vt:lpstr>
      <vt:lpstr>CCT</vt:lpstr>
      <vt:lpstr>ESAG</vt:lpstr>
      <vt:lpstr>FAED</vt:lpstr>
      <vt:lpstr>CEPLAN</vt:lpstr>
      <vt:lpstr>CEO</vt:lpstr>
      <vt:lpstr>CEAD</vt:lpstr>
      <vt:lpstr>CESMO</vt:lpstr>
      <vt:lpstr>CERES</vt:lpstr>
      <vt:lpstr>GESTOR 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2025-11-19T18:37:30Z</dcterms:modified>
</cp:coreProperties>
</file>