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564.2025 SRP SGPE 19881.2025 - Materiais de Expediente (Relançamento) - VIG. 11.10.2026-ok\"/>
    </mc:Choice>
  </mc:AlternateContent>
  <xr:revisionPtr revIDLastSave="0" documentId="13_ncr:1_{98D6E2D3-C744-49AA-A59A-69E2FD2B88DE}" xr6:coauthVersionLast="47" xr6:coauthVersionMax="47" xr10:uidLastSave="{00000000-0000-0000-0000-000000000000}"/>
  <bookViews>
    <workbookView xWindow="28680" yWindow="-120" windowWidth="29040" windowHeight="15720" tabRatio="662" activeTab="13" xr2:uid="{00000000-000D-0000-FFFF-FFFF00000000}"/>
  </bookViews>
  <sheets>
    <sheet name="REITORIA" sheetId="1" r:id="rId1"/>
    <sheet name="CESFI" sheetId="75" r:id="rId2"/>
    <sheet name="CEFID" sheetId="76" r:id="rId3"/>
    <sheet name="CAV" sheetId="77" r:id="rId4"/>
    <sheet name="CCT" sheetId="78" r:id="rId5"/>
    <sheet name="CEART" sheetId="79" r:id="rId6"/>
    <sheet name="ESAG" sheetId="80" r:id="rId7"/>
    <sheet name="CEAD" sheetId="81" r:id="rId8"/>
    <sheet name="CEPLAN" sheetId="82" r:id="rId9"/>
    <sheet name="CEAVI" sheetId="83" r:id="rId10"/>
    <sheet name="CERES" sheetId="84" r:id="rId11"/>
    <sheet name="FAED" sheetId="85" r:id="rId12"/>
    <sheet name="CEO" sheetId="86" r:id="rId13"/>
    <sheet name="GESTOR" sheetId="14" r:id="rId14"/>
    <sheet name="CARONA-uso exclusivo do Gestor" sheetId="74" r:id="rId15"/>
  </sheets>
  <definedNames>
    <definedName name="_xlnm._FilterDatabase" localSheetId="14" hidden="1">'CARONA-uso exclusivo do Gestor'!$A$3:$AT$13</definedName>
    <definedName name="_xlnm._FilterDatabase" localSheetId="3" hidden="1">CAV!$A$3:$AZ$14</definedName>
    <definedName name="_xlnm._FilterDatabase" localSheetId="4" hidden="1">CCT!$A$3:$AZ$14</definedName>
    <definedName name="_xlnm._FilterDatabase" localSheetId="7" hidden="1">CEAD!$A$3:$AZ$14</definedName>
    <definedName name="_xlnm._FilterDatabase" localSheetId="5" hidden="1">CEART!$A$3:$AZ$14</definedName>
    <definedName name="_xlnm._FilterDatabase" localSheetId="9" hidden="1">CEAVI!$A$3:$AZ$14</definedName>
    <definedName name="_xlnm._FilterDatabase" localSheetId="2" hidden="1">CEFID!$A$3:$AZ$14</definedName>
    <definedName name="_xlnm._FilterDatabase" localSheetId="12" hidden="1">CEO!$A$3:$AZ$14</definedName>
    <definedName name="_xlnm._FilterDatabase" localSheetId="8" hidden="1">CEPLAN!$A$3:$AZ$14</definedName>
    <definedName name="_xlnm._FilterDatabase" localSheetId="10" hidden="1">CERES!$A$3:$AZ$14</definedName>
    <definedName name="_xlnm._FilterDatabase" localSheetId="1" hidden="1">CESFI!$A$3:$AZ$14</definedName>
    <definedName name="_xlnm._FilterDatabase" localSheetId="6" hidden="1">ESAG!$A$3:$AZ$14</definedName>
    <definedName name="_xlnm._FilterDatabase" localSheetId="11" hidden="1">FAED!$A$3:$AZ$14</definedName>
    <definedName name="_xlnm._FilterDatabase" localSheetId="0" hidden="1">REITORIA!$A$3:$BA$14</definedName>
    <definedName name="CEO">#REF!</definedName>
    <definedName name="CEPLAN" localSheetId="13">#REF!</definedName>
    <definedName name="CEPLAN">#REF!</definedName>
    <definedName name="copia">#REF!</definedName>
    <definedName name="diasuteis" localSheetId="13">#REF!</definedName>
    <definedName name="diasuteis">#REF!</definedName>
    <definedName name="Ferias" localSheetId="13">#REF!</definedName>
    <definedName name="Ferias">#REF!</definedName>
    <definedName name="RD" localSheetId="13">OFFSET(#REF!,(MATCH(SMALL(#REF!,ROW()-10),#REF!,0)-1),0)</definedName>
    <definedName name="RD">OFFSET(#REF!,(MATCH(SMALL(#REF!,ROW()-10),#REF!,0)-1),0)</definedName>
  </definedNames>
  <calcPr calcId="191029"/>
  <customWorkbookViews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3" i="78" l="1"/>
  <c r="W13" i="78"/>
  <c r="U13" i="78"/>
  <c r="U13" i="81"/>
  <c r="U13" i="77"/>
  <c r="V13" i="86"/>
  <c r="U13" i="86"/>
  <c r="V13" i="75"/>
  <c r="W13" i="75"/>
  <c r="X13" i="75"/>
  <c r="U13" i="75"/>
  <c r="V13" i="76"/>
  <c r="U13" i="76"/>
  <c r="U13" i="85"/>
  <c r="U13" i="80"/>
  <c r="U13" i="79"/>
  <c r="K12" i="1"/>
  <c r="K10" i="1"/>
  <c r="K9" i="1"/>
  <c r="K8" i="1"/>
  <c r="K7" i="1"/>
  <c r="O31" i="14"/>
  <c r="O30" i="14"/>
  <c r="O29" i="14"/>
  <c r="O28" i="14"/>
  <c r="O27" i="14"/>
  <c r="O26" i="14"/>
  <c r="O25" i="14"/>
  <c r="O24" i="14"/>
  <c r="O23" i="14"/>
  <c r="O22" i="14"/>
  <c r="O21" i="14"/>
  <c r="O20" i="14"/>
  <c r="Q29" i="14"/>
  <c r="Q28" i="14"/>
  <c r="Q27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L29" i="14"/>
  <c r="L28" i="14"/>
  <c r="L27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O5" i="14"/>
  <c r="O6" i="14"/>
  <c r="O7" i="14"/>
  <c r="O8" i="14"/>
  <c r="O9" i="14"/>
  <c r="O10" i="14"/>
  <c r="O11" i="14"/>
  <c r="O12" i="14"/>
  <c r="O4" i="14"/>
  <c r="K5" i="14"/>
  <c r="K6" i="14"/>
  <c r="K7" i="14"/>
  <c r="K8" i="14"/>
  <c r="K9" i="14"/>
  <c r="K10" i="14"/>
  <c r="K11" i="14"/>
  <c r="K12" i="14"/>
  <c r="K4" i="14"/>
  <c r="R14" i="86"/>
  <c r="Q14" i="86"/>
  <c r="P14" i="86"/>
  <c r="N14" i="86"/>
  <c r="K14" i="86"/>
  <c r="AZ13" i="86"/>
  <c r="AY13" i="86"/>
  <c r="AX13" i="86"/>
  <c r="AW13" i="86"/>
  <c r="AV13" i="86"/>
  <c r="AU13" i="86"/>
  <c r="AT13" i="86"/>
  <c r="AS13" i="86"/>
  <c r="AR13" i="86"/>
  <c r="AQ13" i="86"/>
  <c r="AP13" i="86"/>
  <c r="AO13" i="86"/>
  <c r="AN13" i="86"/>
  <c r="AM13" i="86"/>
  <c r="AL13" i="86"/>
  <c r="AK13" i="86"/>
  <c r="AJ13" i="86"/>
  <c r="AI13" i="86"/>
  <c r="AH13" i="86"/>
  <c r="AG13" i="86"/>
  <c r="AF13" i="86"/>
  <c r="AE13" i="86"/>
  <c r="AD13" i="86"/>
  <c r="AC13" i="86"/>
  <c r="AB13" i="86"/>
  <c r="AA13" i="86"/>
  <c r="Z13" i="86"/>
  <c r="Y13" i="86"/>
  <c r="X13" i="86"/>
  <c r="W13" i="86"/>
  <c r="R13" i="86"/>
  <c r="Q13" i="86"/>
  <c r="P13" i="86"/>
  <c r="N13" i="86"/>
  <c r="K13" i="86"/>
  <c r="S12" i="86"/>
  <c r="T12" i="86" s="1"/>
  <c r="O12" i="86"/>
  <c r="M12" i="86"/>
  <c r="L12" i="86"/>
  <c r="S11" i="86"/>
  <c r="T11" i="86" s="1"/>
  <c r="O11" i="86"/>
  <c r="M11" i="86"/>
  <c r="L11" i="86"/>
  <c r="S10" i="86"/>
  <c r="T10" i="86" s="1"/>
  <c r="O10" i="86"/>
  <c r="M10" i="86"/>
  <c r="L10" i="86"/>
  <c r="S9" i="86"/>
  <c r="T9" i="86" s="1"/>
  <c r="O9" i="86"/>
  <c r="M9" i="86"/>
  <c r="L9" i="86"/>
  <c r="S8" i="86"/>
  <c r="T8" i="86" s="1"/>
  <c r="O8" i="86"/>
  <c r="M8" i="86"/>
  <c r="L8" i="86"/>
  <c r="S7" i="86"/>
  <c r="T7" i="86" s="1"/>
  <c r="O7" i="86"/>
  <c r="M7" i="86"/>
  <c r="L7" i="86"/>
  <c r="S6" i="86"/>
  <c r="T6" i="86" s="1"/>
  <c r="O6" i="86"/>
  <c r="M6" i="86"/>
  <c r="L6" i="86"/>
  <c r="S5" i="86"/>
  <c r="T5" i="86" s="1"/>
  <c r="O5" i="86"/>
  <c r="M5" i="86"/>
  <c r="M13" i="86" s="1"/>
  <c r="L5" i="86"/>
  <c r="S4" i="86"/>
  <c r="O4" i="86"/>
  <c r="M4" i="86"/>
  <c r="M14" i="86" s="1"/>
  <c r="Q31" i="14" s="1"/>
  <c r="L4" i="86"/>
  <c r="R14" i="85"/>
  <c r="Q14" i="85"/>
  <c r="P14" i="85"/>
  <c r="N14" i="85"/>
  <c r="K14" i="85"/>
  <c r="AZ13" i="85"/>
  <c r="AY13" i="85"/>
  <c r="AX13" i="85"/>
  <c r="AW13" i="85"/>
  <c r="AV13" i="85"/>
  <c r="AU13" i="85"/>
  <c r="AT13" i="85"/>
  <c r="AS13" i="85"/>
  <c r="AR13" i="85"/>
  <c r="AQ13" i="85"/>
  <c r="AP13" i="85"/>
  <c r="AO13" i="85"/>
  <c r="AN13" i="85"/>
  <c r="AM13" i="85"/>
  <c r="AL13" i="85"/>
  <c r="AK13" i="85"/>
  <c r="AJ13" i="85"/>
  <c r="AI13" i="85"/>
  <c r="AH13" i="85"/>
  <c r="AG13" i="85"/>
  <c r="AF13" i="85"/>
  <c r="AE13" i="85"/>
  <c r="AD13" i="85"/>
  <c r="AC13" i="85"/>
  <c r="AB13" i="85"/>
  <c r="AA13" i="85"/>
  <c r="Z13" i="85"/>
  <c r="Y13" i="85"/>
  <c r="X13" i="85"/>
  <c r="W13" i="85"/>
  <c r="V13" i="85"/>
  <c r="R13" i="85"/>
  <c r="Q13" i="85"/>
  <c r="P13" i="85"/>
  <c r="N13" i="85"/>
  <c r="K13" i="85"/>
  <c r="S12" i="85"/>
  <c r="T12" i="85" s="1"/>
  <c r="O12" i="85"/>
  <c r="M12" i="85"/>
  <c r="L12" i="85"/>
  <c r="S11" i="85"/>
  <c r="T11" i="85" s="1"/>
  <c r="O11" i="85"/>
  <c r="M11" i="85"/>
  <c r="L11" i="85"/>
  <c r="S10" i="85"/>
  <c r="T10" i="85" s="1"/>
  <c r="O10" i="85"/>
  <c r="M10" i="85"/>
  <c r="L10" i="85"/>
  <c r="S9" i="85"/>
  <c r="T9" i="85" s="1"/>
  <c r="O9" i="85"/>
  <c r="M9" i="85"/>
  <c r="L9" i="85"/>
  <c r="S8" i="85"/>
  <c r="T8" i="85" s="1"/>
  <c r="O8" i="85"/>
  <c r="M8" i="85"/>
  <c r="L8" i="85"/>
  <c r="S7" i="85"/>
  <c r="T7" i="85" s="1"/>
  <c r="O7" i="85"/>
  <c r="M7" i="85"/>
  <c r="L7" i="85"/>
  <c r="S6" i="85"/>
  <c r="T6" i="85" s="1"/>
  <c r="O6" i="85"/>
  <c r="M6" i="85"/>
  <c r="L6" i="85"/>
  <c r="S5" i="85"/>
  <c r="T5" i="85" s="1"/>
  <c r="O5" i="85"/>
  <c r="M5" i="85"/>
  <c r="L5" i="85"/>
  <c r="S4" i="85"/>
  <c r="O4" i="85"/>
  <c r="M4" i="85"/>
  <c r="L4" i="85"/>
  <c r="R14" i="84"/>
  <c r="Q14" i="84"/>
  <c r="P14" i="84"/>
  <c r="N14" i="84"/>
  <c r="K14" i="84"/>
  <c r="AZ13" i="84"/>
  <c r="AY13" i="84"/>
  <c r="AX13" i="84"/>
  <c r="AW13" i="84"/>
  <c r="AV13" i="84"/>
  <c r="AU13" i="84"/>
  <c r="AT13" i="84"/>
  <c r="AS13" i="84"/>
  <c r="AR13" i="84"/>
  <c r="AQ13" i="84"/>
  <c r="AP13" i="84"/>
  <c r="AO13" i="84"/>
  <c r="AN13" i="84"/>
  <c r="AM13" i="84"/>
  <c r="AL13" i="84"/>
  <c r="AK13" i="84"/>
  <c r="AJ13" i="84"/>
  <c r="AI13" i="84"/>
  <c r="AH13" i="84"/>
  <c r="AG13" i="84"/>
  <c r="AF13" i="84"/>
  <c r="AE13" i="84"/>
  <c r="AD13" i="84"/>
  <c r="AC13" i="84"/>
  <c r="AB13" i="84"/>
  <c r="AA13" i="84"/>
  <c r="Z13" i="84"/>
  <c r="Y13" i="84"/>
  <c r="X13" i="84"/>
  <c r="W13" i="84"/>
  <c r="V13" i="84"/>
  <c r="U13" i="84"/>
  <c r="R13" i="84"/>
  <c r="Q13" i="84"/>
  <c r="P13" i="84"/>
  <c r="N13" i="84"/>
  <c r="K13" i="84"/>
  <c r="S12" i="84"/>
  <c r="T12" i="84" s="1"/>
  <c r="O12" i="84"/>
  <c r="M12" i="84"/>
  <c r="L12" i="84"/>
  <c r="S11" i="84"/>
  <c r="T11" i="84" s="1"/>
  <c r="O11" i="84"/>
  <c r="M11" i="84"/>
  <c r="L11" i="84"/>
  <c r="S10" i="84"/>
  <c r="T10" i="84" s="1"/>
  <c r="O10" i="84"/>
  <c r="M10" i="84"/>
  <c r="L10" i="84"/>
  <c r="S9" i="84"/>
  <c r="T9" i="84" s="1"/>
  <c r="O9" i="84"/>
  <c r="M9" i="84"/>
  <c r="L9" i="84"/>
  <c r="S8" i="84"/>
  <c r="T8" i="84" s="1"/>
  <c r="O8" i="84"/>
  <c r="M8" i="84"/>
  <c r="L8" i="84"/>
  <c r="S7" i="84"/>
  <c r="T7" i="84" s="1"/>
  <c r="O7" i="84"/>
  <c r="M7" i="84"/>
  <c r="L7" i="84"/>
  <c r="S6" i="84"/>
  <c r="T6" i="84" s="1"/>
  <c r="O6" i="84"/>
  <c r="M6" i="84"/>
  <c r="L6" i="84"/>
  <c r="S5" i="84"/>
  <c r="T5" i="84" s="1"/>
  <c r="O5" i="84"/>
  <c r="M5" i="84"/>
  <c r="M13" i="84" s="1"/>
  <c r="L5" i="84"/>
  <c r="S4" i="84"/>
  <c r="O4" i="84"/>
  <c r="M4" i="84"/>
  <c r="M14" i="84" s="1"/>
  <c r="L4" i="84"/>
  <c r="R14" i="83"/>
  <c r="Q14" i="83"/>
  <c r="P14" i="83"/>
  <c r="N14" i="83"/>
  <c r="K14" i="83"/>
  <c r="AZ13" i="83"/>
  <c r="AY13" i="83"/>
  <c r="AX13" i="83"/>
  <c r="AW13" i="83"/>
  <c r="AV13" i="83"/>
  <c r="AU13" i="83"/>
  <c r="AT13" i="83"/>
  <c r="AS13" i="83"/>
  <c r="AR13" i="83"/>
  <c r="AQ13" i="83"/>
  <c r="AP13" i="83"/>
  <c r="AO13" i="83"/>
  <c r="AN13" i="83"/>
  <c r="AM13" i="83"/>
  <c r="AL13" i="83"/>
  <c r="AK13" i="83"/>
  <c r="AJ13" i="83"/>
  <c r="AI13" i="83"/>
  <c r="AH13" i="83"/>
  <c r="AG13" i="83"/>
  <c r="AF13" i="83"/>
  <c r="AE13" i="83"/>
  <c r="AD13" i="83"/>
  <c r="AC13" i="83"/>
  <c r="AB13" i="83"/>
  <c r="AA13" i="83"/>
  <c r="Z13" i="83"/>
  <c r="Y13" i="83"/>
  <c r="X13" i="83"/>
  <c r="W13" i="83"/>
  <c r="V13" i="83"/>
  <c r="U13" i="83"/>
  <c r="R13" i="83"/>
  <c r="Q13" i="83"/>
  <c r="P13" i="83"/>
  <c r="N13" i="83"/>
  <c r="K13" i="83"/>
  <c r="S12" i="83"/>
  <c r="T12" i="83" s="1"/>
  <c r="O12" i="83"/>
  <c r="M12" i="83"/>
  <c r="L12" i="83"/>
  <c r="S11" i="83"/>
  <c r="T11" i="83" s="1"/>
  <c r="O11" i="83"/>
  <c r="M11" i="83"/>
  <c r="L11" i="83"/>
  <c r="S10" i="83"/>
  <c r="T10" i="83" s="1"/>
  <c r="O10" i="83"/>
  <c r="M10" i="83"/>
  <c r="L10" i="83"/>
  <c r="S9" i="83"/>
  <c r="T9" i="83" s="1"/>
  <c r="O9" i="83"/>
  <c r="M9" i="83"/>
  <c r="L9" i="83"/>
  <c r="S8" i="83"/>
  <c r="T8" i="83" s="1"/>
  <c r="O8" i="83"/>
  <c r="M8" i="83"/>
  <c r="L8" i="83"/>
  <c r="S7" i="83"/>
  <c r="T7" i="83" s="1"/>
  <c r="O7" i="83"/>
  <c r="M7" i="83"/>
  <c r="L7" i="83"/>
  <c r="S6" i="83"/>
  <c r="T6" i="83" s="1"/>
  <c r="O6" i="83"/>
  <c r="M6" i="83"/>
  <c r="L6" i="83"/>
  <c r="T5" i="83"/>
  <c r="S5" i="83"/>
  <c r="O5" i="83"/>
  <c r="M5" i="83"/>
  <c r="M13" i="83" s="1"/>
  <c r="L5" i="83"/>
  <c r="S4" i="83"/>
  <c r="O4" i="83"/>
  <c r="M4" i="83"/>
  <c r="M14" i="83" s="1"/>
  <c r="L4" i="83"/>
  <c r="R14" i="82"/>
  <c r="Q14" i="82"/>
  <c r="P14" i="82"/>
  <c r="N14" i="82"/>
  <c r="K14" i="82"/>
  <c r="AZ13" i="82"/>
  <c r="AY13" i="82"/>
  <c r="AX13" i="82"/>
  <c r="AW13" i="82"/>
  <c r="AV13" i="82"/>
  <c r="AU13" i="82"/>
  <c r="AT13" i="82"/>
  <c r="AS13" i="82"/>
  <c r="AR13" i="82"/>
  <c r="AQ13" i="82"/>
  <c r="AP13" i="82"/>
  <c r="AO13" i="82"/>
  <c r="AN13" i="82"/>
  <c r="AM13" i="82"/>
  <c r="AL13" i="82"/>
  <c r="AK13" i="82"/>
  <c r="AJ13" i="82"/>
  <c r="AI13" i="82"/>
  <c r="AH13" i="82"/>
  <c r="AG13" i="82"/>
  <c r="AF13" i="82"/>
  <c r="AE13" i="82"/>
  <c r="AD13" i="82"/>
  <c r="AC13" i="82"/>
  <c r="AB13" i="82"/>
  <c r="AA13" i="82"/>
  <c r="Z13" i="82"/>
  <c r="Y13" i="82"/>
  <c r="X13" i="82"/>
  <c r="W13" i="82"/>
  <c r="V13" i="82"/>
  <c r="U13" i="82"/>
  <c r="R13" i="82"/>
  <c r="Q13" i="82"/>
  <c r="P13" i="82"/>
  <c r="N13" i="82"/>
  <c r="K13" i="82"/>
  <c r="S12" i="82"/>
  <c r="T12" i="82" s="1"/>
  <c r="O12" i="82"/>
  <c r="M12" i="82"/>
  <c r="L12" i="82"/>
  <c r="S11" i="82"/>
  <c r="T11" i="82" s="1"/>
  <c r="O11" i="82"/>
  <c r="M11" i="82"/>
  <c r="L11" i="82"/>
  <c r="S10" i="82"/>
  <c r="T10" i="82" s="1"/>
  <c r="O10" i="82"/>
  <c r="M10" i="82"/>
  <c r="L10" i="82"/>
  <c r="S9" i="82"/>
  <c r="T9" i="82" s="1"/>
  <c r="O9" i="82"/>
  <c r="M9" i="82"/>
  <c r="L9" i="82"/>
  <c r="S8" i="82"/>
  <c r="T8" i="82" s="1"/>
  <c r="O8" i="82"/>
  <c r="M8" i="82"/>
  <c r="L8" i="82"/>
  <c r="S7" i="82"/>
  <c r="T7" i="82" s="1"/>
  <c r="O7" i="82"/>
  <c r="M7" i="82"/>
  <c r="L7" i="82"/>
  <c r="S6" i="82"/>
  <c r="T6" i="82" s="1"/>
  <c r="O6" i="82"/>
  <c r="M6" i="82"/>
  <c r="L6" i="82"/>
  <c r="S5" i="82"/>
  <c r="T5" i="82" s="1"/>
  <c r="O5" i="82"/>
  <c r="M5" i="82"/>
  <c r="M14" i="82" s="1"/>
  <c r="L5" i="82"/>
  <c r="S4" i="82"/>
  <c r="O4" i="82"/>
  <c r="M4" i="82"/>
  <c r="L4" i="82"/>
  <c r="R14" i="81"/>
  <c r="Q14" i="81"/>
  <c r="P14" i="81"/>
  <c r="N14" i="81"/>
  <c r="K14" i="81"/>
  <c r="AZ13" i="81"/>
  <c r="AY13" i="81"/>
  <c r="AX13" i="81"/>
  <c r="AW13" i="81"/>
  <c r="AV13" i="81"/>
  <c r="AU13" i="81"/>
  <c r="AT13" i="81"/>
  <c r="AS13" i="81"/>
  <c r="AR13" i="81"/>
  <c r="AQ13" i="81"/>
  <c r="AP13" i="81"/>
  <c r="AO13" i="81"/>
  <c r="AN13" i="81"/>
  <c r="AM13" i="81"/>
  <c r="AL13" i="81"/>
  <c r="AK13" i="81"/>
  <c r="AJ13" i="81"/>
  <c r="AI13" i="81"/>
  <c r="AH13" i="81"/>
  <c r="AG13" i="81"/>
  <c r="AF13" i="81"/>
  <c r="AE13" i="81"/>
  <c r="AD13" i="81"/>
  <c r="AC13" i="81"/>
  <c r="AB13" i="81"/>
  <c r="AA13" i="81"/>
  <c r="Z13" i="81"/>
  <c r="Y13" i="81"/>
  <c r="X13" i="81"/>
  <c r="W13" i="81"/>
  <c r="V13" i="81"/>
  <c r="R13" i="81"/>
  <c r="Q13" i="81"/>
  <c r="P13" i="81"/>
  <c r="N13" i="81"/>
  <c r="K13" i="81"/>
  <c r="S12" i="81"/>
  <c r="T12" i="81" s="1"/>
  <c r="O12" i="81"/>
  <c r="M12" i="81"/>
  <c r="L12" i="81"/>
  <c r="S11" i="81"/>
  <c r="T11" i="81" s="1"/>
  <c r="O11" i="81"/>
  <c r="M11" i="81"/>
  <c r="L11" i="81"/>
  <c r="S10" i="81"/>
  <c r="T10" i="81" s="1"/>
  <c r="O10" i="81"/>
  <c r="M10" i="81"/>
  <c r="L10" i="81"/>
  <c r="S9" i="81"/>
  <c r="T9" i="81" s="1"/>
  <c r="O9" i="81"/>
  <c r="M9" i="81"/>
  <c r="L9" i="81"/>
  <c r="S8" i="81"/>
  <c r="T8" i="81" s="1"/>
  <c r="O8" i="81"/>
  <c r="M8" i="81"/>
  <c r="L8" i="81"/>
  <c r="S7" i="81"/>
  <c r="T7" i="81" s="1"/>
  <c r="O7" i="81"/>
  <c r="M7" i="81"/>
  <c r="L7" i="81"/>
  <c r="S6" i="81"/>
  <c r="T6" i="81" s="1"/>
  <c r="O6" i="81"/>
  <c r="M6" i="81"/>
  <c r="L6" i="81"/>
  <c r="S5" i="81"/>
  <c r="T5" i="81" s="1"/>
  <c r="O5" i="81"/>
  <c r="M5" i="81"/>
  <c r="L5" i="81"/>
  <c r="S4" i="81"/>
  <c r="O4" i="81"/>
  <c r="M4" i="81"/>
  <c r="L4" i="81"/>
  <c r="R14" i="80"/>
  <c r="Q14" i="80"/>
  <c r="P14" i="80"/>
  <c r="N14" i="80"/>
  <c r="K14" i="80"/>
  <c r="AZ13" i="80"/>
  <c r="AY13" i="80"/>
  <c r="AX13" i="80"/>
  <c r="AW13" i="80"/>
  <c r="AV13" i="80"/>
  <c r="AU13" i="80"/>
  <c r="AT13" i="80"/>
  <c r="AS13" i="80"/>
  <c r="AR13" i="80"/>
  <c r="AQ13" i="80"/>
  <c r="AP13" i="80"/>
  <c r="AO13" i="80"/>
  <c r="AN13" i="80"/>
  <c r="AM13" i="80"/>
  <c r="AL13" i="80"/>
  <c r="AK13" i="80"/>
  <c r="AJ13" i="80"/>
  <c r="AI13" i="80"/>
  <c r="AH13" i="80"/>
  <c r="AG13" i="80"/>
  <c r="AF13" i="80"/>
  <c r="AE13" i="80"/>
  <c r="AD13" i="80"/>
  <c r="AC13" i="80"/>
  <c r="AB13" i="80"/>
  <c r="AA13" i="80"/>
  <c r="Z13" i="80"/>
  <c r="Y13" i="80"/>
  <c r="X13" i="80"/>
  <c r="W13" i="80"/>
  <c r="V13" i="80"/>
  <c r="R13" i="80"/>
  <c r="Q13" i="80"/>
  <c r="P13" i="80"/>
  <c r="N13" i="80"/>
  <c r="K13" i="80"/>
  <c r="S12" i="80"/>
  <c r="T12" i="80" s="1"/>
  <c r="O12" i="80"/>
  <c r="M12" i="80"/>
  <c r="L12" i="80"/>
  <c r="S11" i="80"/>
  <c r="T11" i="80" s="1"/>
  <c r="O11" i="80"/>
  <c r="M11" i="80"/>
  <c r="L11" i="80"/>
  <c r="S10" i="80"/>
  <c r="T10" i="80" s="1"/>
  <c r="O10" i="80"/>
  <c r="M10" i="80"/>
  <c r="L10" i="80"/>
  <c r="S9" i="80"/>
  <c r="T9" i="80" s="1"/>
  <c r="O9" i="80"/>
  <c r="M9" i="80"/>
  <c r="L9" i="80"/>
  <c r="S8" i="80"/>
  <c r="T8" i="80" s="1"/>
  <c r="O8" i="80"/>
  <c r="M8" i="80"/>
  <c r="L8" i="80"/>
  <c r="S7" i="80"/>
  <c r="T7" i="80" s="1"/>
  <c r="O7" i="80"/>
  <c r="M7" i="80"/>
  <c r="L7" i="80"/>
  <c r="S6" i="80"/>
  <c r="T6" i="80" s="1"/>
  <c r="O6" i="80"/>
  <c r="M6" i="80"/>
  <c r="L6" i="80"/>
  <c r="S5" i="80"/>
  <c r="T5" i="80" s="1"/>
  <c r="O5" i="80"/>
  <c r="M5" i="80"/>
  <c r="L5" i="80"/>
  <c r="S4" i="80"/>
  <c r="O4" i="80"/>
  <c r="M4" i="80"/>
  <c r="M14" i="80" s="1"/>
  <c r="Q25" i="14" s="1"/>
  <c r="L4" i="80"/>
  <c r="R14" i="79"/>
  <c r="Q14" i="79"/>
  <c r="P14" i="79"/>
  <c r="N14" i="79"/>
  <c r="K14" i="79"/>
  <c r="AZ13" i="79"/>
  <c r="AY13" i="79"/>
  <c r="AX13" i="79"/>
  <c r="AW13" i="79"/>
  <c r="AV13" i="79"/>
  <c r="AU13" i="79"/>
  <c r="AT13" i="79"/>
  <c r="AS13" i="79"/>
  <c r="AR13" i="79"/>
  <c r="AQ13" i="79"/>
  <c r="AP13" i="79"/>
  <c r="AO13" i="79"/>
  <c r="AN13" i="79"/>
  <c r="AM13" i="79"/>
  <c r="AL13" i="79"/>
  <c r="AK13" i="79"/>
  <c r="AJ13" i="79"/>
  <c r="AI13" i="79"/>
  <c r="AH13" i="79"/>
  <c r="AG13" i="79"/>
  <c r="AF13" i="79"/>
  <c r="AE13" i="79"/>
  <c r="AD13" i="79"/>
  <c r="AC13" i="79"/>
  <c r="AB13" i="79"/>
  <c r="AA13" i="79"/>
  <c r="Z13" i="79"/>
  <c r="Y13" i="79"/>
  <c r="X13" i="79"/>
  <c r="W13" i="79"/>
  <c r="V13" i="79"/>
  <c r="R13" i="79"/>
  <c r="Q13" i="79"/>
  <c r="P13" i="79"/>
  <c r="N13" i="79"/>
  <c r="K13" i="79"/>
  <c r="S12" i="79"/>
  <c r="T12" i="79" s="1"/>
  <c r="O12" i="79"/>
  <c r="M12" i="79"/>
  <c r="L12" i="79"/>
  <c r="S11" i="79"/>
  <c r="T11" i="79" s="1"/>
  <c r="O11" i="79"/>
  <c r="M11" i="79"/>
  <c r="L11" i="79"/>
  <c r="S10" i="79"/>
  <c r="T10" i="79" s="1"/>
  <c r="O10" i="79"/>
  <c r="M10" i="79"/>
  <c r="L10" i="79"/>
  <c r="S9" i="79"/>
  <c r="T9" i="79" s="1"/>
  <c r="O9" i="79"/>
  <c r="M9" i="79"/>
  <c r="L9" i="79"/>
  <c r="S8" i="79"/>
  <c r="T8" i="79" s="1"/>
  <c r="O8" i="79"/>
  <c r="M8" i="79"/>
  <c r="L8" i="79"/>
  <c r="S7" i="79"/>
  <c r="T7" i="79" s="1"/>
  <c r="O7" i="79"/>
  <c r="M7" i="79"/>
  <c r="L7" i="79"/>
  <c r="S6" i="79"/>
  <c r="T6" i="79" s="1"/>
  <c r="O6" i="79"/>
  <c r="M6" i="79"/>
  <c r="L6" i="79"/>
  <c r="S5" i="79"/>
  <c r="T5" i="79" s="1"/>
  <c r="O5" i="79"/>
  <c r="M5" i="79"/>
  <c r="L5" i="79"/>
  <c r="S4" i="79"/>
  <c r="O4" i="79"/>
  <c r="M4" i="79"/>
  <c r="L4" i="79"/>
  <c r="R14" i="78"/>
  <c r="Q14" i="78"/>
  <c r="P14" i="78"/>
  <c r="N14" i="78"/>
  <c r="K14" i="78"/>
  <c r="AZ13" i="78"/>
  <c r="AY13" i="78"/>
  <c r="AX13" i="78"/>
  <c r="AW13" i="78"/>
  <c r="AV13" i="78"/>
  <c r="AU13" i="78"/>
  <c r="AT13" i="78"/>
  <c r="AS13" i="78"/>
  <c r="AR13" i="78"/>
  <c r="AQ13" i="78"/>
  <c r="AP13" i="78"/>
  <c r="AO13" i="78"/>
  <c r="AN13" i="78"/>
  <c r="AM13" i="78"/>
  <c r="AL13" i="78"/>
  <c r="AK13" i="78"/>
  <c r="AJ13" i="78"/>
  <c r="AI13" i="78"/>
  <c r="AH13" i="78"/>
  <c r="AG13" i="78"/>
  <c r="AF13" i="78"/>
  <c r="AE13" i="78"/>
  <c r="AD13" i="78"/>
  <c r="AC13" i="78"/>
  <c r="AB13" i="78"/>
  <c r="AA13" i="78"/>
  <c r="Z13" i="78"/>
  <c r="Y13" i="78"/>
  <c r="X13" i="78"/>
  <c r="R13" i="78"/>
  <c r="Q13" i="78"/>
  <c r="P13" i="78"/>
  <c r="N13" i="78"/>
  <c r="K13" i="78"/>
  <c r="S12" i="78"/>
  <c r="T12" i="78" s="1"/>
  <c r="O12" i="78"/>
  <c r="M12" i="78"/>
  <c r="L12" i="78"/>
  <c r="S11" i="78"/>
  <c r="T11" i="78" s="1"/>
  <c r="O11" i="78"/>
  <c r="M11" i="78"/>
  <c r="L11" i="78"/>
  <c r="S10" i="78"/>
  <c r="T10" i="78" s="1"/>
  <c r="O10" i="78"/>
  <c r="M10" i="78"/>
  <c r="L10" i="78"/>
  <c r="S9" i="78"/>
  <c r="T9" i="78" s="1"/>
  <c r="O9" i="78"/>
  <c r="M9" i="78"/>
  <c r="L9" i="78"/>
  <c r="S8" i="78"/>
  <c r="T8" i="78" s="1"/>
  <c r="O8" i="78"/>
  <c r="M8" i="78"/>
  <c r="L8" i="78"/>
  <c r="S7" i="78"/>
  <c r="T7" i="78" s="1"/>
  <c r="O7" i="78"/>
  <c r="M7" i="78"/>
  <c r="L7" i="78"/>
  <c r="S6" i="78"/>
  <c r="T6" i="78" s="1"/>
  <c r="O6" i="78"/>
  <c r="M6" i="78"/>
  <c r="L6" i="78"/>
  <c r="S5" i="78"/>
  <c r="T5" i="78" s="1"/>
  <c r="O5" i="78"/>
  <c r="M5" i="78"/>
  <c r="L5" i="78"/>
  <c r="S4" i="78"/>
  <c r="O4" i="78"/>
  <c r="M4" i="78"/>
  <c r="M14" i="78" s="1"/>
  <c r="Q23" i="14" s="1"/>
  <c r="L4" i="78"/>
  <c r="R14" i="77"/>
  <c r="Q14" i="77"/>
  <c r="P14" i="77"/>
  <c r="N14" i="77"/>
  <c r="K14" i="77"/>
  <c r="AZ13" i="77"/>
  <c r="AY13" i="77"/>
  <c r="AX13" i="77"/>
  <c r="AW13" i="77"/>
  <c r="AV13" i="77"/>
  <c r="AU13" i="77"/>
  <c r="AT13" i="77"/>
  <c r="AS13" i="77"/>
  <c r="AR13" i="77"/>
  <c r="AQ13" i="77"/>
  <c r="AP13" i="77"/>
  <c r="AO13" i="77"/>
  <c r="AN13" i="77"/>
  <c r="AM13" i="77"/>
  <c r="AL13" i="77"/>
  <c r="AK13" i="77"/>
  <c r="AJ13" i="77"/>
  <c r="AI13" i="77"/>
  <c r="AH13" i="77"/>
  <c r="AG13" i="77"/>
  <c r="AF13" i="77"/>
  <c r="AE13" i="77"/>
  <c r="AD13" i="77"/>
  <c r="AC13" i="77"/>
  <c r="AB13" i="77"/>
  <c r="AA13" i="77"/>
  <c r="Z13" i="77"/>
  <c r="Y13" i="77"/>
  <c r="X13" i="77"/>
  <c r="W13" i="77"/>
  <c r="V13" i="77"/>
  <c r="R13" i="77"/>
  <c r="Q13" i="77"/>
  <c r="P13" i="77"/>
  <c r="N13" i="77"/>
  <c r="K13" i="77"/>
  <c r="S12" i="77"/>
  <c r="T12" i="77" s="1"/>
  <c r="O12" i="77"/>
  <c r="M12" i="77"/>
  <c r="L12" i="77"/>
  <c r="S11" i="77"/>
  <c r="T11" i="77" s="1"/>
  <c r="O11" i="77"/>
  <c r="M11" i="77"/>
  <c r="L11" i="77"/>
  <c r="S10" i="77"/>
  <c r="T10" i="77" s="1"/>
  <c r="O10" i="77"/>
  <c r="M10" i="77"/>
  <c r="L10" i="77"/>
  <c r="S9" i="77"/>
  <c r="T9" i="77" s="1"/>
  <c r="O9" i="77"/>
  <c r="M9" i="77"/>
  <c r="L9" i="77"/>
  <c r="S8" i="77"/>
  <c r="T8" i="77" s="1"/>
  <c r="O8" i="77"/>
  <c r="M8" i="77"/>
  <c r="L8" i="77"/>
  <c r="S7" i="77"/>
  <c r="T7" i="77" s="1"/>
  <c r="O7" i="77"/>
  <c r="M7" i="77"/>
  <c r="L7" i="77"/>
  <c r="S6" i="77"/>
  <c r="T6" i="77" s="1"/>
  <c r="O6" i="77"/>
  <c r="M6" i="77"/>
  <c r="L6" i="77"/>
  <c r="S5" i="77"/>
  <c r="T5" i="77" s="1"/>
  <c r="O5" i="77"/>
  <c r="M5" i="77"/>
  <c r="L5" i="77"/>
  <c r="S4" i="77"/>
  <c r="O4" i="77"/>
  <c r="M4" i="77"/>
  <c r="M14" i="77" s="1"/>
  <c r="Q22" i="14" s="1"/>
  <c r="L4" i="77"/>
  <c r="R14" i="76"/>
  <c r="Q14" i="76"/>
  <c r="P14" i="76"/>
  <c r="N14" i="76"/>
  <c r="K14" i="76"/>
  <c r="AZ13" i="76"/>
  <c r="AY13" i="76"/>
  <c r="AX13" i="76"/>
  <c r="AW13" i="76"/>
  <c r="AV13" i="76"/>
  <c r="AU13" i="76"/>
  <c r="AT13" i="76"/>
  <c r="AS13" i="76"/>
  <c r="AR13" i="76"/>
  <c r="AQ13" i="76"/>
  <c r="AP13" i="76"/>
  <c r="AO13" i="76"/>
  <c r="AN13" i="76"/>
  <c r="AM13" i="76"/>
  <c r="AL13" i="76"/>
  <c r="AK13" i="76"/>
  <c r="AJ13" i="76"/>
  <c r="AI13" i="76"/>
  <c r="AH13" i="76"/>
  <c r="AG13" i="76"/>
  <c r="AF13" i="76"/>
  <c r="AE13" i="76"/>
  <c r="AD13" i="76"/>
  <c r="AC13" i="76"/>
  <c r="AB13" i="76"/>
  <c r="AA13" i="76"/>
  <c r="Z13" i="76"/>
  <c r="Y13" i="76"/>
  <c r="X13" i="76"/>
  <c r="W13" i="76"/>
  <c r="R13" i="76"/>
  <c r="Q13" i="76"/>
  <c r="P13" i="76"/>
  <c r="N13" i="76"/>
  <c r="K13" i="76"/>
  <c r="S12" i="76"/>
  <c r="T12" i="76" s="1"/>
  <c r="O12" i="76"/>
  <c r="M12" i="76"/>
  <c r="L12" i="76"/>
  <c r="S11" i="76"/>
  <c r="T11" i="76" s="1"/>
  <c r="O11" i="76"/>
  <c r="M11" i="76"/>
  <c r="L11" i="76"/>
  <c r="S10" i="76"/>
  <c r="T10" i="76" s="1"/>
  <c r="O10" i="76"/>
  <c r="M10" i="76"/>
  <c r="L10" i="76"/>
  <c r="S9" i="76"/>
  <c r="T9" i="76" s="1"/>
  <c r="O9" i="76"/>
  <c r="M9" i="76"/>
  <c r="L9" i="76"/>
  <c r="S8" i="76"/>
  <c r="T8" i="76" s="1"/>
  <c r="O8" i="76"/>
  <c r="M8" i="76"/>
  <c r="L8" i="76"/>
  <c r="S7" i="76"/>
  <c r="T7" i="76" s="1"/>
  <c r="O7" i="76"/>
  <c r="M7" i="76"/>
  <c r="L7" i="76"/>
  <c r="S6" i="76"/>
  <c r="T6" i="76" s="1"/>
  <c r="O6" i="76"/>
  <c r="M6" i="76"/>
  <c r="L6" i="76"/>
  <c r="S5" i="76"/>
  <c r="T5" i="76" s="1"/>
  <c r="O5" i="76"/>
  <c r="M5" i="76"/>
  <c r="L5" i="76"/>
  <c r="S4" i="76"/>
  <c r="O4" i="76"/>
  <c r="M4" i="76"/>
  <c r="L4" i="76"/>
  <c r="R14" i="75"/>
  <c r="Q14" i="75"/>
  <c r="P14" i="75"/>
  <c r="N14" i="75"/>
  <c r="K14" i="75"/>
  <c r="AZ13" i="75"/>
  <c r="AY13" i="75"/>
  <c r="AX13" i="75"/>
  <c r="AW13" i="75"/>
  <c r="AV13" i="75"/>
  <c r="AU13" i="75"/>
  <c r="AT13" i="75"/>
  <c r="AS13" i="75"/>
  <c r="AR13" i="75"/>
  <c r="AQ13" i="75"/>
  <c r="AP13" i="75"/>
  <c r="AO13" i="75"/>
  <c r="AN13" i="75"/>
  <c r="AM13" i="75"/>
  <c r="AL13" i="75"/>
  <c r="AK13" i="75"/>
  <c r="AJ13" i="75"/>
  <c r="AI13" i="75"/>
  <c r="AH13" i="75"/>
  <c r="AG13" i="75"/>
  <c r="AF13" i="75"/>
  <c r="AE13" i="75"/>
  <c r="AD13" i="75"/>
  <c r="AC13" i="75"/>
  <c r="AB13" i="75"/>
  <c r="AA13" i="75"/>
  <c r="Z13" i="75"/>
  <c r="Y13" i="75"/>
  <c r="R13" i="75"/>
  <c r="Q13" i="75"/>
  <c r="P13" i="75"/>
  <c r="N13" i="75"/>
  <c r="K13" i="75"/>
  <c r="S12" i="75"/>
  <c r="T12" i="75" s="1"/>
  <c r="O12" i="75"/>
  <c r="M12" i="75"/>
  <c r="L12" i="75"/>
  <c r="S11" i="75"/>
  <c r="T11" i="75" s="1"/>
  <c r="O11" i="75"/>
  <c r="M11" i="75"/>
  <c r="L11" i="75"/>
  <c r="S10" i="75"/>
  <c r="T10" i="75" s="1"/>
  <c r="O10" i="75"/>
  <c r="M10" i="75"/>
  <c r="L10" i="75"/>
  <c r="S9" i="75"/>
  <c r="T9" i="75" s="1"/>
  <c r="O9" i="75"/>
  <c r="M9" i="75"/>
  <c r="L9" i="75"/>
  <c r="S8" i="75"/>
  <c r="T8" i="75" s="1"/>
  <c r="O8" i="75"/>
  <c r="M8" i="75"/>
  <c r="L8" i="75"/>
  <c r="S7" i="75"/>
  <c r="T7" i="75" s="1"/>
  <c r="O7" i="75"/>
  <c r="M7" i="75"/>
  <c r="L7" i="75"/>
  <c r="S6" i="75"/>
  <c r="T6" i="75" s="1"/>
  <c r="O6" i="75"/>
  <c r="M6" i="75"/>
  <c r="L6" i="75"/>
  <c r="S5" i="75"/>
  <c r="T5" i="75" s="1"/>
  <c r="O5" i="75"/>
  <c r="M5" i="75"/>
  <c r="M14" i="75" s="1"/>
  <c r="Q20" i="14" s="1"/>
  <c r="L5" i="75"/>
  <c r="S4" i="75"/>
  <c r="O4" i="75"/>
  <c r="M4" i="75"/>
  <c r="L4" i="75"/>
  <c r="M14" i="81" l="1"/>
  <c r="Q26" i="14" s="1"/>
  <c r="M14" i="85"/>
  <c r="Q30" i="14" s="1"/>
  <c r="M13" i="85"/>
  <c r="M14" i="79"/>
  <c r="Q24" i="14" s="1"/>
  <c r="M13" i="79"/>
  <c r="M13" i="80"/>
  <c r="O14" i="86"/>
  <c r="L13" i="86"/>
  <c r="S13" i="86"/>
  <c r="L14" i="86"/>
  <c r="L31" i="14" s="1"/>
  <c r="O13" i="86"/>
  <c r="T4" i="86"/>
  <c r="O14" i="85"/>
  <c r="S13" i="85"/>
  <c r="L14" i="85"/>
  <c r="L30" i="14" s="1"/>
  <c r="L13" i="85"/>
  <c r="O13" i="85"/>
  <c r="T4" i="85"/>
  <c r="O14" i="84"/>
  <c r="L13" i="84"/>
  <c r="S13" i="84"/>
  <c r="L14" i="84"/>
  <c r="O13" i="84"/>
  <c r="T4" i="84"/>
  <c r="O14" i="83"/>
  <c r="S13" i="83"/>
  <c r="L13" i="83"/>
  <c r="L14" i="83"/>
  <c r="O13" i="83"/>
  <c r="T4" i="83"/>
  <c r="L13" i="82"/>
  <c r="L14" i="82"/>
  <c r="O14" i="82"/>
  <c r="S13" i="82"/>
  <c r="M13" i="82"/>
  <c r="O13" i="82"/>
  <c r="T4" i="82"/>
  <c r="O14" i="81"/>
  <c r="S13" i="81"/>
  <c r="L13" i="81"/>
  <c r="L14" i="81"/>
  <c r="L26" i="14" s="1"/>
  <c r="M13" i="81"/>
  <c r="O13" i="81"/>
  <c r="T4" i="81"/>
  <c r="O14" i="80"/>
  <c r="L13" i="80"/>
  <c r="S13" i="80"/>
  <c r="L14" i="80"/>
  <c r="L25" i="14" s="1"/>
  <c r="O13" i="80"/>
  <c r="T4" i="80"/>
  <c r="O14" i="79"/>
  <c r="S13" i="79"/>
  <c r="L13" i="79"/>
  <c r="L14" i="79"/>
  <c r="L24" i="14" s="1"/>
  <c r="O13" i="79"/>
  <c r="T4" i="79"/>
  <c r="S13" i="78"/>
  <c r="L14" i="78"/>
  <c r="L23" i="14" s="1"/>
  <c r="L13" i="78"/>
  <c r="O14" i="78"/>
  <c r="M13" i="78"/>
  <c r="O13" i="78"/>
  <c r="T4" i="78"/>
  <c r="L14" i="76"/>
  <c r="L21" i="14" s="1"/>
  <c r="M14" i="76"/>
  <c r="Q21" i="14" s="1"/>
  <c r="M13" i="77"/>
  <c r="O14" i="77"/>
  <c r="S13" i="77"/>
  <c r="L13" i="77"/>
  <c r="L14" i="77"/>
  <c r="L22" i="14" s="1"/>
  <c r="O13" i="77"/>
  <c r="T4" i="77"/>
  <c r="S13" i="76"/>
  <c r="T4" i="76"/>
  <c r="O14" i="76"/>
  <c r="L13" i="76"/>
  <c r="M13" i="76"/>
  <c r="O13" i="76"/>
  <c r="L14" i="75"/>
  <c r="L20" i="14" s="1"/>
  <c r="O14" i="75"/>
  <c r="S13" i="75"/>
  <c r="O13" i="75"/>
  <c r="L13" i="75"/>
  <c r="M13" i="75"/>
  <c r="T4" i="75"/>
  <c r="C16" i="74" l="1"/>
  <c r="C18" i="74"/>
  <c r="C17" i="74"/>
  <c r="AS13" i="74"/>
  <c r="AR13" i="74"/>
  <c r="AQ13" i="74"/>
  <c r="AP13" i="74"/>
  <c r="AO13" i="74"/>
  <c r="AN13" i="74"/>
  <c r="AM13" i="74"/>
  <c r="AL13" i="74"/>
  <c r="AK13" i="74"/>
  <c r="AJ13" i="74"/>
  <c r="AI13" i="74"/>
  <c r="AH13" i="74"/>
  <c r="AG13" i="74"/>
  <c r="AF13" i="74"/>
  <c r="AE13" i="74"/>
  <c r="AD13" i="74"/>
  <c r="AC13" i="74"/>
  <c r="AB13" i="74"/>
  <c r="AA13" i="74"/>
  <c r="V12" i="74"/>
  <c r="R12" i="74"/>
  <c r="O12" i="74"/>
  <c r="L12" i="74"/>
  <c r="I12" i="74"/>
  <c r="T12" i="74"/>
  <c r="V11" i="74"/>
  <c r="R11" i="74"/>
  <c r="O11" i="74"/>
  <c r="L11" i="74"/>
  <c r="I11" i="74"/>
  <c r="V10" i="74"/>
  <c r="R10" i="74"/>
  <c r="O10" i="74"/>
  <c r="L10" i="74"/>
  <c r="I10" i="74"/>
  <c r="Y10" i="74"/>
  <c r="V9" i="74"/>
  <c r="R9" i="74"/>
  <c r="O9" i="74"/>
  <c r="L9" i="74"/>
  <c r="I9" i="74"/>
  <c r="V8" i="74"/>
  <c r="R8" i="74"/>
  <c r="O8" i="74"/>
  <c r="L8" i="74"/>
  <c r="I8" i="74"/>
  <c r="T8" i="74"/>
  <c r="V7" i="74"/>
  <c r="R7" i="74"/>
  <c r="O7" i="74"/>
  <c r="L7" i="74"/>
  <c r="I7" i="74"/>
  <c r="Y6" i="74"/>
  <c r="V6" i="74"/>
  <c r="R6" i="74"/>
  <c r="O6" i="74"/>
  <c r="L6" i="74"/>
  <c r="I6" i="74"/>
  <c r="V5" i="74"/>
  <c r="R5" i="74"/>
  <c r="O5" i="74"/>
  <c r="L5" i="74"/>
  <c r="I5" i="74"/>
  <c r="V4" i="74"/>
  <c r="R4" i="74"/>
  <c r="O4" i="74"/>
  <c r="L4" i="74"/>
  <c r="I4" i="74"/>
  <c r="Y4" i="74"/>
  <c r="W8" i="74" l="1"/>
  <c r="H8" i="74" s="1"/>
  <c r="J8" i="74" s="1"/>
  <c r="T6" i="74"/>
  <c r="W6" i="74" s="1"/>
  <c r="K6" i="74" s="1"/>
  <c r="M6" i="74" s="1"/>
  <c r="Y5" i="74"/>
  <c r="T5" i="74"/>
  <c r="W5" i="74" s="1"/>
  <c r="Q5" i="74" s="1"/>
  <c r="S5" i="74" s="1"/>
  <c r="Y9" i="74"/>
  <c r="T9" i="74"/>
  <c r="W9" i="74" s="1"/>
  <c r="H9" i="74" s="1"/>
  <c r="J9" i="74" s="1"/>
  <c r="T4" i="74"/>
  <c r="W4" i="74" s="1"/>
  <c r="H4" i="74" s="1"/>
  <c r="J4" i="74" s="1"/>
  <c r="Y8" i="74"/>
  <c r="T10" i="74"/>
  <c r="W10" i="74" s="1"/>
  <c r="K10" i="74" s="1"/>
  <c r="M10" i="74" s="1"/>
  <c r="T11" i="74"/>
  <c r="W11" i="74" s="1"/>
  <c r="Q11" i="74" s="1"/>
  <c r="S11" i="74" s="1"/>
  <c r="Y11" i="74"/>
  <c r="T7" i="74"/>
  <c r="W7" i="74" s="1"/>
  <c r="H7" i="74" s="1"/>
  <c r="J7" i="74" s="1"/>
  <c r="Y7" i="74"/>
  <c r="Z13" i="74"/>
  <c r="F20" i="74" s="1"/>
  <c r="W12" i="74"/>
  <c r="H12" i="74" s="1"/>
  <c r="J12" i="74" s="1"/>
  <c r="Y12" i="74"/>
  <c r="Q8" i="74" l="1"/>
  <c r="S8" i="74" s="1"/>
  <c r="K8" i="74"/>
  <c r="M8" i="74" s="1"/>
  <c r="N8" i="74"/>
  <c r="P8" i="74" s="1"/>
  <c r="H10" i="74"/>
  <c r="J10" i="74" s="1"/>
  <c r="K4" i="74"/>
  <c r="M4" i="74" s="1"/>
  <c r="N4" i="74"/>
  <c r="P4" i="74" s="1"/>
  <c r="Q4" i="74"/>
  <c r="S4" i="74" s="1"/>
  <c r="Q6" i="74"/>
  <c r="S6" i="74" s="1"/>
  <c r="N6" i="74"/>
  <c r="P6" i="74" s="1"/>
  <c r="H6" i="74"/>
  <c r="J6" i="74" s="1"/>
  <c r="K11" i="74"/>
  <c r="M11" i="74" s="1"/>
  <c r="N10" i="74"/>
  <c r="P10" i="74" s="1"/>
  <c r="Y13" i="74"/>
  <c r="F19" i="74" s="1"/>
  <c r="G21" i="74" s="1"/>
  <c r="H11" i="74"/>
  <c r="J11" i="74" s="1"/>
  <c r="K9" i="74"/>
  <c r="M9" i="74" s="1"/>
  <c r="H5" i="74"/>
  <c r="J5" i="74" s="1"/>
  <c r="Q12" i="74"/>
  <c r="S12" i="74" s="1"/>
  <c r="N12" i="74"/>
  <c r="P12" i="74" s="1"/>
  <c r="Q9" i="74"/>
  <c r="S9" i="74" s="1"/>
  <c r="N9" i="74"/>
  <c r="P9" i="74" s="1"/>
  <c r="K7" i="74"/>
  <c r="M7" i="74" s="1"/>
  <c r="Q7" i="74"/>
  <c r="S7" i="74" s="1"/>
  <c r="K12" i="74"/>
  <c r="M12" i="74" s="1"/>
  <c r="Q10" i="74"/>
  <c r="S10" i="74" s="1"/>
  <c r="N11" i="74"/>
  <c r="P11" i="74" s="1"/>
  <c r="N5" i="74"/>
  <c r="P5" i="74" s="1"/>
  <c r="K5" i="74"/>
  <c r="M5" i="74" s="1"/>
  <c r="N7" i="74"/>
  <c r="P7" i="74" s="1"/>
  <c r="R12" i="14" l="1"/>
  <c r="J13" i="14"/>
  <c r="Q12" i="14" l="1"/>
  <c r="N12" i="14"/>
  <c r="T12" i="1" l="1"/>
  <c r="U12" i="1" s="1"/>
  <c r="P12" i="1"/>
  <c r="N12" i="1"/>
  <c r="M12" i="14" s="1"/>
  <c r="M12" i="1"/>
  <c r="L12" i="14" s="1"/>
  <c r="S12" i="14" s="1"/>
  <c r="P12" i="14" l="1"/>
  <c r="V13" i="1"/>
  <c r="S20" i="14" l="1"/>
  <c r="S21" i="14"/>
  <c r="S22" i="14"/>
  <c r="S23" i="14"/>
  <c r="S24" i="14"/>
  <c r="S25" i="14"/>
  <c r="S26" i="14"/>
  <c r="S27" i="14"/>
  <c r="S28" i="14"/>
  <c r="S29" i="14"/>
  <c r="S30" i="14"/>
  <c r="S31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O14" i="1"/>
  <c r="N19" i="14" s="1"/>
  <c r="Q14" i="1"/>
  <c r="R14" i="1"/>
  <c r="S14" i="1"/>
  <c r="L14" i="1"/>
  <c r="K19" i="14" s="1"/>
  <c r="O19" i="14" l="1"/>
  <c r="S19" i="14" s="1"/>
  <c r="P19" i="14" l="1"/>
  <c r="O13" i="1"/>
  <c r="Q13" i="1"/>
  <c r="R13" i="1"/>
  <c r="S13" i="1"/>
  <c r="N4" i="14" l="1"/>
  <c r="AQ13" i="1"/>
  <c r="AR13" i="1"/>
  <c r="AS13" i="1"/>
  <c r="AT13" i="1"/>
  <c r="AU13" i="1"/>
  <c r="AV13" i="1"/>
  <c r="AW13" i="1"/>
  <c r="AX13" i="1"/>
  <c r="AY13" i="1"/>
  <c r="T4" i="1"/>
  <c r="N32" i="14" l="1"/>
  <c r="K32" i="14"/>
  <c r="O32" i="14"/>
  <c r="S32" i="14" l="1"/>
  <c r="T5" i="1" l="1"/>
  <c r="T6" i="1"/>
  <c r="T7" i="1"/>
  <c r="T8" i="1"/>
  <c r="T9" i="1"/>
  <c r="T10" i="1"/>
  <c r="T11" i="1"/>
  <c r="BA13" i="1"/>
  <c r="AZ13" i="1"/>
  <c r="AP13" i="1"/>
  <c r="AO13" i="1"/>
  <c r="AI13" i="1"/>
  <c r="AJ13" i="1"/>
  <c r="AK13" i="1"/>
  <c r="AL13" i="1"/>
  <c r="AM13" i="1"/>
  <c r="AN13" i="1"/>
  <c r="M9" i="1"/>
  <c r="L9" i="14" s="1"/>
  <c r="S9" i="14" s="1"/>
  <c r="M10" i="1"/>
  <c r="L10" i="14" s="1"/>
  <c r="S10" i="14" s="1"/>
  <c r="M11" i="1"/>
  <c r="L11" i="14" s="1"/>
  <c r="S11" i="14" s="1"/>
  <c r="T13" i="1" l="1"/>
  <c r="R5" i="14"/>
  <c r="R6" i="14"/>
  <c r="R7" i="14"/>
  <c r="R8" i="14"/>
  <c r="R9" i="14"/>
  <c r="R10" i="14"/>
  <c r="R11" i="14"/>
  <c r="R4" i="14"/>
  <c r="N5" i="1"/>
  <c r="M5" i="14" s="1"/>
  <c r="N6" i="1"/>
  <c r="M6" i="14" s="1"/>
  <c r="N7" i="1"/>
  <c r="M7" i="14" s="1"/>
  <c r="N8" i="1"/>
  <c r="M8" i="14" s="1"/>
  <c r="N9" i="1"/>
  <c r="M9" i="14" s="1"/>
  <c r="P9" i="1"/>
  <c r="N10" i="1"/>
  <c r="M10" i="14" s="1"/>
  <c r="P10" i="1"/>
  <c r="N11" i="1"/>
  <c r="M11" i="14" s="1"/>
  <c r="P11" i="1"/>
  <c r="N4" i="1"/>
  <c r="M4" i="14" s="1"/>
  <c r="N14" i="1" l="1"/>
  <c r="Q19" i="14" s="1"/>
  <c r="N13" i="1"/>
  <c r="R13" i="14"/>
  <c r="AD13" i="1"/>
  <c r="R19" i="14" l="1"/>
  <c r="Q32" i="14"/>
  <c r="M8" i="1" l="1"/>
  <c r="L8" i="14" s="1"/>
  <c r="S8" i="14" s="1"/>
  <c r="P8" i="1"/>
  <c r="M5" i="1"/>
  <c r="L5" i="14" s="1"/>
  <c r="S5" i="14" s="1"/>
  <c r="P5" i="1"/>
  <c r="M6" i="1"/>
  <c r="L6" i="14" s="1"/>
  <c r="S6" i="14" s="1"/>
  <c r="P6" i="1"/>
  <c r="M7" i="1"/>
  <c r="L7" i="14" s="1"/>
  <c r="S7" i="14" s="1"/>
  <c r="P7" i="1"/>
  <c r="L13" i="1"/>
  <c r="M4" i="1"/>
  <c r="L4" i="14" s="1"/>
  <c r="S4" i="14" s="1"/>
  <c r="P4" i="1"/>
  <c r="N8" i="14"/>
  <c r="N10" i="14"/>
  <c r="N7" i="14"/>
  <c r="N5" i="14"/>
  <c r="N6" i="14"/>
  <c r="N11" i="14"/>
  <c r="N9" i="14"/>
  <c r="W13" i="1"/>
  <c r="X13" i="1"/>
  <c r="Y13" i="1"/>
  <c r="Z13" i="1"/>
  <c r="AA13" i="1"/>
  <c r="AB13" i="1"/>
  <c r="AC13" i="1"/>
  <c r="AE13" i="1"/>
  <c r="AF13" i="1"/>
  <c r="AG13" i="1"/>
  <c r="AH13" i="1"/>
  <c r="P14" i="1" l="1"/>
  <c r="M14" i="1"/>
  <c r="L19" i="14" s="1"/>
  <c r="P13" i="1"/>
  <c r="M13" i="1"/>
  <c r="M19" i="14" l="1"/>
  <c r="L32" i="14"/>
  <c r="U6" i="1"/>
  <c r="P6" i="14"/>
  <c r="U11" i="1"/>
  <c r="P11" i="14"/>
  <c r="U5" i="1"/>
  <c r="P5" i="14"/>
  <c r="U10" i="1"/>
  <c r="P10" i="14"/>
  <c r="U4" i="1"/>
  <c r="U9" i="1"/>
  <c r="P9" i="14"/>
  <c r="U8" i="1"/>
  <c r="P8" i="14"/>
  <c r="U7" i="1"/>
  <c r="P7" i="14"/>
  <c r="Q11" i="14"/>
  <c r="M32" i="14" l="1"/>
  <c r="P32" i="14"/>
  <c r="R32" i="14"/>
  <c r="Q8" i="14" l="1"/>
  <c r="Q7" i="14"/>
  <c r="Q6" i="14"/>
  <c r="Q5" i="14"/>
  <c r="Q10" i="14"/>
  <c r="Q9" i="14"/>
  <c r="J16" i="14" l="1"/>
  <c r="J15" i="14"/>
  <c r="S13" i="14" l="1"/>
  <c r="Q4" i="14" l="1"/>
  <c r="Q13" i="14" s="1"/>
  <c r="K13" i="14"/>
  <c r="P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1" authorId="0" shapeId="0" xr:uid="{1E984AC3-0F5E-49EE-BE47-9BEA77A58CF9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V1" authorId="0" shapeId="0" xr:uid="{B3CAB22E-AAE2-4AE5-9273-76AF1EB2106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O3" authorId="0" shapeId="0" xr:uid="{4CB73966-82FD-4BCC-9342-95142CA7B58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T3" authorId="0" shapeId="0" xr:uid="{C36CA1D6-86E3-4A4C-AD2B-A626FA90B3D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V3" authorId="0" shapeId="0" xr:uid="{3EEBA170-5045-4253-8FBF-8237FBDE332B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69A45704-79EB-4398-9FB9-18A9CBDD8840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0879CE99-45FE-41FA-BAA7-11C1715CCA3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7D82A0EA-69BB-444E-8623-DC645819493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C946B5AB-4920-49AF-A106-016C9A3B78D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EA3FDA0F-4B4C-4696-9421-B8938668B1E4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8C3433B8-0E84-47B2-B441-F519E7770AA6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C7D6184F-55BD-4A3F-8BE1-C3BF7888585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79ACF963-770F-40DA-95EC-EDC343F6599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6734197D-BF87-42FE-B914-61532E0C353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721AA519-8E4A-4407-B549-AE4D2E63F907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8D91567E-2B8F-489F-933F-77E0FA275618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B00FB52F-4374-44E4-8F4C-C21B2835E36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3FFB7A2B-69F3-4A81-A888-F71009CB3F1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4C5C96FC-242B-4829-93A3-EF8580DF016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1ECBB785-2AB1-4919-B072-9183221ABFF0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BBBD94AF-0386-492C-A4BD-A4592A6D8FBB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94BF828A-D097-4225-825C-4698867FA2F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0FEEDB57-8204-4980-93AD-0BE196BD5ED7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F36B2FAE-5486-4FFF-9375-73AA9112368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6BBCC9E0-D9E5-4A43-8643-117B61244FFB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G3" authorId="0" shapeId="0" xr:uid="{88521269-F336-4579-B6D9-8E3AF8432957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5735A4EE-9D04-4FB3-8230-1F6A82603D98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EC4D1C76-12CF-4482-88C6-98AE3310106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5E1FFE63-B47F-4307-BFB0-454F69B4CC5D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D6E3CD05-F2D1-4254-BCB9-07AB863BA12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1361B4D0-A1D9-4F34-9C89-E7AD15C94A10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C18027D7-59DE-4D03-A530-AB582E00A1A1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8B070AAA-CEB8-47B5-93AF-75FD467CBC5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D6443C60-78E5-4F1D-9E96-7EADABB703A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EA755A9C-57C6-4DF3-A361-7993A740CF8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10E7EDE7-6AA3-43D4-88EB-2B30FA73ABA6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517B8DAD-0FF2-4DA4-AB0E-E4616702994D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C5B515E2-3905-463A-9FEE-AC523F779F1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012F77CB-DDD1-4C00-BB86-15502D707D8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376EBF69-C00F-48E4-A0A4-67900F5E711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5ABB9E8A-CA6C-4894-B9A2-88B27FF048E1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F176D103-40D7-4446-93EF-3E841479767B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B5BF992D-7287-4E36-AE7F-4A12773D9BD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22B28726-C791-40A8-A3BA-CC92A5C8C17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1ADC973F-59CB-431F-905A-9D9FF7BB845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BB6FFB1F-5D95-4197-9590-6E6E68938551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24B52615-ED8C-43C4-AE91-3308C7D3D902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3B204934-0C9D-46B3-87B0-AA8E0A5C0A0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38C085A5-4206-41E9-B235-324B3A6EBE8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F0B387B5-7A9C-4416-A48F-B760741DBD7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C0430700-6313-46FE-B7DE-10E0C0A9A445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133A371F-6F53-47AF-A6FE-CA2A94E47BB3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409AEDA2-F5DE-49E1-A9F9-AB8B0ABAED5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5732AB0C-7CAC-4FFC-A535-D8AC1B4DDE0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E8D6C506-0979-4DAA-A5C2-579A01BF3A6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64AE370B-50B8-4510-98E5-4D46C7E24E9A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F8953634-D87E-438D-ABBF-7A18F283574F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3FD52C93-68F8-417C-AEB2-3A26CA6992E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9F7EF4AB-9D05-47B9-A836-80A049AB548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56F70D38-EB39-4FE2-A176-6CBA2D2EB03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7BFD95F3-BB41-4538-960B-B395AAF9A67B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1" authorId="0" shapeId="0" xr:uid="{5D17B79B-0349-4E65-A719-70FC1928C606}">
      <text>
        <r>
          <rPr>
            <b/>
            <sz val="10"/>
            <color indexed="81"/>
            <rFont val="Segoe UI"/>
            <family val="2"/>
          </rPr>
          <t>LETÍCIA-SEGECON/FPOLIS: 
OBS:</t>
        </r>
        <r>
          <rPr>
            <sz val="10"/>
            <color indexed="81"/>
            <rFont val="Segoe UI"/>
            <family val="2"/>
          </rPr>
          <t xml:space="preserve"> DATA LIMITE PARA </t>
        </r>
        <r>
          <rPr>
            <b/>
            <sz val="10"/>
            <color indexed="81"/>
            <rFont val="Segoe UI"/>
            <family val="2"/>
          </rPr>
          <t>ABRIR O EMPENHO</t>
        </r>
        <r>
          <rPr>
            <sz val="10"/>
            <color indexed="81"/>
            <rFont val="Segoe UI"/>
            <family val="2"/>
          </rPr>
          <t xml:space="preserve">; PORÉM, O RECEBIMENTO DA AF É ATÉ 31/12/2025 (OU FINAL DOS CRÉDITOS ORÇAMENTÁRIOS).
</t>
        </r>
      </text>
    </comment>
    <comment ref="U1" authorId="0" shapeId="0" xr:uid="{5A03EADD-CBD3-485E-8249-4EB5AE5F5C3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ATIVAR NO SICON (APÓS EMPENHO E AF ASSINADOS).</t>
        </r>
      </text>
    </comment>
    <comment ref="N3" authorId="0" shapeId="0" xr:uid="{FFA851BC-0672-4C79-A7BE-77741E521C1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OBS:</t>
        </r>
        <r>
          <rPr>
            <sz val="10"/>
            <color indexed="81"/>
            <rFont val="Segoe UI"/>
            <family val="2"/>
          </rPr>
          <t xml:space="preserve"> INSERIR CADA </t>
        </r>
        <r>
          <rPr>
            <b/>
            <sz val="10"/>
            <color indexed="81"/>
            <rFont val="Segoe UI"/>
            <family val="2"/>
          </rPr>
          <t>CEDÊNCIA OU RECEBIMENTO</t>
        </r>
        <r>
          <rPr>
            <sz val="10"/>
            <color indexed="81"/>
            <rFont val="Segoe UI"/>
            <family val="2"/>
          </rPr>
          <t xml:space="preserve"> DE QUANTITATIVO: 
EXEMPLO 1: </t>
        </r>
        <r>
          <rPr>
            <b/>
            <sz val="10"/>
            <color indexed="81"/>
            <rFont val="Segoe UI"/>
            <family val="2"/>
          </rPr>
          <t xml:space="preserve">=+02+03 </t>
        </r>
        <r>
          <rPr>
            <sz val="10"/>
            <color indexed="81"/>
            <rFont val="Segoe UI"/>
            <family val="2"/>
          </rPr>
          <t xml:space="preserve">(PARA ITENS RECEBIDOS).
EXEMPLO 2: </t>
        </r>
        <r>
          <rPr>
            <b/>
            <sz val="10"/>
            <color indexed="81"/>
            <rFont val="Segoe UI"/>
            <family val="2"/>
          </rPr>
          <t>=-05-01</t>
        </r>
        <r>
          <rPr>
            <sz val="10"/>
            <color indexed="81"/>
            <rFont val="Segoe UI"/>
            <family val="2"/>
          </rPr>
          <t xml:space="preserve"> (PARA ITENS CEDIDOS).
EXEMPLO 3: </t>
        </r>
        <r>
          <rPr>
            <b/>
            <sz val="10"/>
            <color indexed="81"/>
            <rFont val="Segoe UI"/>
            <family val="2"/>
          </rPr>
          <t>=+04-06</t>
        </r>
        <r>
          <rPr>
            <sz val="10"/>
            <color indexed="81"/>
            <rFont val="Segoe UI"/>
            <family val="2"/>
          </rPr>
          <t xml:space="preserve"> (PARA ITENS RECEBIDOS E CEDIDOS).</t>
        </r>
      </text>
    </comment>
    <comment ref="S3" authorId="0" shapeId="0" xr:uid="{28DE6527-624F-4D9C-8E59-8EF5A734075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 xml:space="preserve">OBS: </t>
        </r>
        <r>
          <rPr>
            <sz val="10"/>
            <color indexed="81"/>
            <rFont val="Segoe UI"/>
            <family val="2"/>
          </rPr>
          <t xml:space="preserve">QUANTIDADE </t>
        </r>
        <r>
          <rPr>
            <b/>
            <sz val="10"/>
            <color indexed="81"/>
            <rFont val="Segoe UI"/>
            <family val="2"/>
          </rPr>
          <t xml:space="preserve">DISPONÍVEL </t>
        </r>
        <r>
          <rPr>
            <sz val="10"/>
            <color indexed="81"/>
            <rFont val="Segoe UI"/>
            <family val="2"/>
          </rPr>
          <t>PARA AF.</t>
        </r>
      </text>
    </comment>
    <comment ref="U3" authorId="0" shapeId="0" xr:uid="{03EBB594-A712-4431-B811-50FA9E04CDDD}">
      <text>
        <r>
          <rPr>
            <b/>
            <sz val="10"/>
            <color indexed="81"/>
            <rFont val="Segoe UI"/>
            <family val="2"/>
          </rPr>
          <t>LETÍCIA-SEGECON/FPOLIS:
OBS:</t>
        </r>
        <r>
          <rPr>
            <sz val="10"/>
            <color indexed="81"/>
            <rFont val="Segoe UI"/>
            <family val="2"/>
          </rPr>
          <t xml:space="preserve"> CAMPO PARA </t>
        </r>
        <r>
          <rPr>
            <b/>
            <sz val="10"/>
            <color indexed="81"/>
            <rFont val="Segoe UI"/>
            <family val="2"/>
          </rPr>
          <t>DATA</t>
        </r>
        <r>
          <rPr>
            <sz val="10"/>
            <color indexed="81"/>
            <rFont val="Segoe UI"/>
            <family val="2"/>
          </rPr>
          <t xml:space="preserve"> DA AF.</t>
        </r>
      </text>
    </comment>
  </commentList>
</comments>
</file>

<file path=xl/sharedStrings.xml><?xml version="1.0" encoding="utf-8"?>
<sst xmlns="http://schemas.openxmlformats.org/spreadsheetml/2006/main" count="2570" uniqueCount="171">
  <si>
    <t>Saldo / Automático</t>
  </si>
  <si>
    <t>ALERTA</t>
  </si>
  <si>
    <t>Lote</t>
  </si>
  <si>
    <t>Peça</t>
  </si>
  <si>
    <t>Código NUC</t>
  </si>
  <si>
    <t>TOTAL</t>
  </si>
  <si>
    <t>Preço UNITÁRIO</t>
  </si>
  <si>
    <t>Item</t>
  </si>
  <si>
    <t>Empresa</t>
  </si>
  <si>
    <t>Descrição</t>
  </si>
  <si>
    <t>Unidade</t>
  </si>
  <si>
    <t>Detalhamento</t>
  </si>
  <si>
    <t xml:space="preserve">QUANTIDADE UTILIZADA da Ata </t>
  </si>
  <si>
    <t>QUANTIDADE UTILIZADA Total</t>
  </si>
  <si>
    <t>QUANTIDADE DISPONÍVEL PARA ADITIVAR</t>
  </si>
  <si>
    <t>Quantidade Aditivada Própria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</si>
  <si>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</si>
  <si>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</si>
  <si>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</si>
  <si>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</si>
  <si>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</si>
  <si>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</si>
  <si>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</si>
  <si>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</si>
  <si>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</si>
  <si>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</si>
  <si>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</si>
  <si>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</si>
  <si>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</si>
  <si>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</si>
  <si>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</si>
  <si>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</si>
  <si>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</si>
  <si>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</si>
  <si>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</si>
  <si>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</si>
  <si>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</si>
  <si>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</si>
  <si>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</si>
  <si>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</si>
  <si>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</si>
  <si>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</si>
  <si>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CEPLAN</t>
  </si>
  <si>
    <t>CEAVI</t>
  </si>
  <si>
    <t>CAV</t>
  </si>
  <si>
    <t>CEO</t>
  </si>
  <si>
    <t>Total Cedência Recebida</t>
  </si>
  <si>
    <t>___/___/____</t>
  </si>
  <si>
    <t>CONTROLE DO GESTOR:</t>
  </si>
  <si>
    <t>339030.16</t>
  </si>
  <si>
    <t xml:space="preserve">AF nº xxxx/2025 (Quantidade)                                                                                                                       </t>
  </si>
  <si>
    <r>
      <rPr>
        <b/>
        <sz val="11"/>
        <color rgb="FFC00000"/>
        <rFont val="Calibri"/>
        <family val="2"/>
        <scheme val="minor"/>
      </rPr>
      <t xml:space="preserve">OBS:  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VALOR MÍNIMO</t>
    </r>
    <r>
      <rPr>
        <sz val="11"/>
        <rFont val="Calibri"/>
        <family val="2"/>
        <scheme val="minor"/>
      </rPr>
      <t xml:space="preserve"> DA AF:</t>
    </r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R$ 300,00</t>
    </r>
    <r>
      <rPr>
        <b/>
        <sz val="11"/>
        <rFont val="Calibri"/>
        <family val="2"/>
        <scheme val="minor"/>
      </rPr>
      <t xml:space="preserve">    </t>
    </r>
    <r>
      <rPr>
        <sz val="11"/>
        <rFont val="Calibri"/>
        <family val="2"/>
        <scheme val="minor"/>
      </rPr>
      <t>(c.f. item 6.2.1 - Termo de Referência)</t>
    </r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</si>
  <si>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 dias</t>
    </r>
    <r>
      <rPr>
        <sz val="11"/>
        <rFont val="Calibri"/>
        <family val="2"/>
        <scheme val="minor"/>
      </rPr>
      <t xml:space="preserve"> corridos</t>
    </r>
  </si>
  <si>
    <r>
      <rPr>
        <u/>
        <sz val="11"/>
        <rFont val="Calibri"/>
        <family val="2"/>
        <scheme val="minor"/>
      </rPr>
      <t>Prazo de pagamento</t>
    </r>
    <r>
      <rPr>
        <sz val="11"/>
        <rFont val="Calibri"/>
        <family val="2"/>
        <scheme val="minor"/>
      </rPr>
      <t>: 30 dias (conforme edital)</t>
    </r>
  </si>
  <si>
    <t>OBS:</t>
  </si>
  <si>
    <t>Quantidade RECEBIDA/ CEDIDA</t>
  </si>
  <si>
    <t>QUANTIDADE REGISTRADA</t>
  </si>
  <si>
    <t>Rolo</t>
  </si>
  <si>
    <t>Qtde Registrada TOTAL</t>
  </si>
  <si>
    <t>REITORIA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</si>
  <si>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</si>
  <si>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t>ÓRGÃO B</t>
  </si>
  <si>
    <t>ÓRGÃO C</t>
  </si>
  <si>
    <t>ÓRGÃO D</t>
  </si>
  <si>
    <t>PREÇOS</t>
  </si>
  <si>
    <t>INSERIR ÓRGÃO</t>
  </si>
  <si>
    <t>Especificação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</si>
  <si>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</si>
  <si>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</si>
  <si>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</si>
  <si>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</si>
  <si>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</si>
  <si>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</si>
  <si>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</si>
  <si>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</si>
  <si>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</si>
  <si>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</si>
  <si>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</si>
  <si>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t xml:space="preserve">AF nº xxxx/2025 (Quantidade)                                                                                                                          </t>
  </si>
  <si>
    <r>
      <rPr>
        <b/>
        <sz val="11"/>
        <rFont val="Calibri"/>
        <family val="2"/>
        <scheme val="minor"/>
      </rPr>
      <t>PE 1564/2025 SRP</t>
    </r>
    <r>
      <rPr>
        <sz val="11"/>
        <rFont val="Calibri"/>
        <family val="2"/>
        <scheme val="minor"/>
      </rPr>
      <t xml:space="preserve"> - (SGPE DE ORIGEM: 19881/2025)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</si>
  <si>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AQUISIÇÃO DE MATERIAIS DE EXPEDIENTE PARA A UDESC - RELANÇAMENTO</t>
    </r>
  </si>
  <si>
    <t>[EMPRESA]</t>
  </si>
  <si>
    <t>APAT SUPPLIES LTDA, CNPJ 61.289.340/0001-79</t>
  </si>
  <si>
    <t>VIRTUAL SUPRIMENTOS LTDA, CNPJ 95.764.890/0001-14</t>
  </si>
  <si>
    <t>Display  transparente, com capacidade para até 5 folhas A3, produzido em acrílico cristal rígido, com 2mm de espessura,  com recorte meia lua para facilitar a retirada das folhas.  Contém película anti-risco e adesivo dupla face para fixação em qualquer superfície plana.   Tamanho mínimo: 44 X 30 cm.</t>
  </si>
  <si>
    <t>Display  transparente, com capacidade para até 5 folhas A4, produzido em acrílico cristal rígido, com 2mm de espessura,  com recorte meia lua para facilitar a retirada das folhas.  Contém película anti-risco e adesivo dupla face para fixação em qualquer superfície plana.   Tamanho mínimo: 21 X 30cm</t>
  </si>
  <si>
    <t>Display  transparente horizontal, com capacidade para até 5 folhas A7, produzido em acrílico cristal rígido, com 2mm de espessura,  com recorte meia lua para facilitar a retirada das folhas.  Contém película anti-risco e adesivo dupla face para fixação em qualquer superfície plana. Tamanho mínimo: 10,5 X 7,5 cm.</t>
  </si>
  <si>
    <t>Fita adesiva para empacotamento, crepe, cor parda, medindo aproximadamente 32mm X 45m a 50m</t>
  </si>
  <si>
    <t>Fita adesiva para empacotamento, plástica transparente, medindo no mínimo 45mm X 45m</t>
  </si>
  <si>
    <t>Fita adesiva plástica transparente, medindo aproximadamente 12mm X 30m (tipo durex)</t>
  </si>
  <si>
    <t>Fita adesiva dupla face, medindo 19mm X 30m</t>
  </si>
  <si>
    <t>Fita crepe. Não deixa resíduos na superfície se removida em até 24 horas. Detalhes: Largura da fita crepe: 18 mm. Material da fita crepe: Papel crepado. Comprimento da fita crepe: 50 metros. Cor da fita crepe: Branca.</t>
  </si>
  <si>
    <t>Fita adesiva, tipo mágica, medindo 25mm X 65m. Referência de marca: 3M - Transparente.</t>
  </si>
  <si>
    <t>Modelo</t>
  </si>
  <si>
    <t>Marca</t>
  </si>
  <si>
    <t>H Plasticos</t>
  </si>
  <si>
    <t>Porta Folheto A3</t>
  </si>
  <si>
    <t>Visual Laser</t>
  </si>
  <si>
    <t>Display Acrílico A4</t>
  </si>
  <si>
    <t>JL Acrílico</t>
  </si>
  <si>
    <t>Display expositor tamanho A7</t>
  </si>
  <si>
    <t>ADERE</t>
  </si>
  <si>
    <t>SCK326</t>
  </si>
  <si>
    <t>GATTE</t>
  </si>
  <si>
    <t>45X45</t>
  </si>
  <si>
    <t>12X30</t>
  </si>
  <si>
    <t>18X30</t>
  </si>
  <si>
    <t>3M</t>
  </si>
  <si>
    <t>18X50</t>
  </si>
  <si>
    <t>MAGICA 810</t>
  </si>
  <si>
    <t>06676-1-002</t>
  </si>
  <si>
    <t>06676-1-001</t>
  </si>
  <si>
    <t>06676-1-004</t>
  </si>
  <si>
    <t>00609-2-005</t>
  </si>
  <si>
    <t>01095-2-007</t>
  </si>
  <si>
    <t>00609-2-003</t>
  </si>
  <si>
    <t>00609-2-056</t>
  </si>
  <si>
    <t>00609-2-091</t>
  </si>
  <si>
    <t>00609-2-041</t>
  </si>
  <si>
    <t>CENTRO PARTICIPANTE: CESFI</t>
  </si>
  <si>
    <t>CENTRO PARTICIPANTE: REITORIA/SEAL</t>
  </si>
  <si>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VIGÊNCIA DA ATA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 11/10/2025 </t>
    </r>
    <r>
      <rPr>
        <b/>
        <sz val="11"/>
        <rFont val="Calibri"/>
        <family val="2"/>
        <scheme val="minor"/>
      </rPr>
      <t>até 11/10/2026</t>
    </r>
  </si>
  <si>
    <t>CENTRO PARTICIPANTE: CEFID</t>
  </si>
  <si>
    <t>CENTRO PARTICIPANTE: CAV</t>
  </si>
  <si>
    <t>CENTRO PARTICIPANTE: CCT</t>
  </si>
  <si>
    <t>CENTRO PARTICIPANTE: CEART</t>
  </si>
  <si>
    <t>CENTRO PARTICIPANTE: ESAG</t>
  </si>
  <si>
    <t>CENTRO PARTICIPANTE: CEAD</t>
  </si>
  <si>
    <t>CENTRO PARTICIPANTE: CEPLAN</t>
  </si>
  <si>
    <t>CENTRO PARTICIPANTE: CEAVI</t>
  </si>
  <si>
    <t>CENTRO PARTICIPANTE: CERES</t>
  </si>
  <si>
    <t>CENTRO PARTICIPANTE: FAED</t>
  </si>
  <si>
    <t>CENTRO PARTICIPANTE: CEO</t>
  </si>
  <si>
    <t>PE 1564/2025 SRP - (SGPE DE ORIGEM: 19881/2025)</t>
  </si>
  <si>
    <r>
      <rPr>
        <b/>
        <sz val="11"/>
        <rFont val="Calibri"/>
        <family val="2"/>
        <scheme val="minor"/>
      </rPr>
      <t xml:space="preserve">OBJETO: </t>
    </r>
    <r>
      <rPr>
        <sz val="11"/>
        <rFont val="Calibri"/>
        <family val="2"/>
        <scheme val="minor"/>
      </rPr>
      <t>AQUISIÇÃO DE MATERIAIS DE EXPEDIENTE PARA A UDESC - RELANÇAMENTO</t>
    </r>
  </si>
  <si>
    <r>
      <t xml:space="preserve"> VIGÊNCIA DA ATA:  11/10/2025 até </t>
    </r>
    <r>
      <rPr>
        <b/>
        <sz val="11"/>
        <rFont val="Calibri"/>
        <family val="2"/>
        <scheme val="minor"/>
      </rPr>
      <t>11/10/2026</t>
    </r>
  </si>
  <si>
    <r>
      <t xml:space="preserve">USO EXCLUSIVO DO GESTOR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</si>
  <si>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ÓRGÃO A</t>
  </si>
  <si>
    <t>OBJETO: AQUISIÇÃO DE MATERIAIS DE EXPEDIENTE PARA A UDESC - RELANÇAMENTO</t>
  </si>
  <si>
    <r>
      <t xml:space="preserve"> VIGÊNCIA DA ATA:  11/10/2025 até </t>
    </r>
    <r>
      <rPr>
        <b/>
        <u/>
        <sz val="11"/>
        <rFont val="Calibri"/>
        <family val="2"/>
        <scheme val="minor"/>
      </rPr>
      <t>11/10/2026</t>
    </r>
  </si>
  <si>
    <t>Resumo Atualizado em 15/10/2025</t>
  </si>
  <si>
    <t>[TOTAL K14]</t>
  </si>
  <si>
    <t>[TOTAL L14]</t>
  </si>
  <si>
    <t>[TOTAL N14]</t>
  </si>
  <si>
    <t>[total P14+Q14]</t>
  </si>
  <si>
    <t>[TOTAL M14]</t>
  </si>
  <si>
    <t>APAT</t>
  </si>
  <si>
    <t xml:space="preserve">AF nº 2252/2025 (Quantidade)                                                                                                                          </t>
  </si>
  <si>
    <t xml:space="preserve">AF nº 2255/2025 (Quantidade)                                                                                                                       </t>
  </si>
  <si>
    <t>VIRTUAL</t>
  </si>
  <si>
    <t>Valor Total Utilizado (com aditivo)</t>
  </si>
  <si>
    <t xml:space="preserve">AF nº 2323/2025 (Quantidade)                                                                                                                          </t>
  </si>
  <si>
    <t>[VIRTUAL]</t>
  </si>
  <si>
    <t xml:space="preserve">AF nº 2258/2025 (Quantidade)                                                                                                                          </t>
  </si>
  <si>
    <t xml:space="preserve">AF nº 2176/2025 (Quantidade)                                                                                                                          </t>
  </si>
  <si>
    <t xml:space="preserve">AF nº 2173/2025                                                                                                                          </t>
  </si>
  <si>
    <t xml:space="preserve">AF nº 432/2026                                                                                                            </t>
  </si>
  <si>
    <t xml:space="preserve">AF nº 2229/2025 (Quantidade)                                                                                                                          </t>
  </si>
  <si>
    <t xml:space="preserve">AF nº 2230/2025 (Quantidade)                                                                                                                       </t>
  </si>
  <si>
    <t xml:space="preserve">APAT </t>
  </si>
  <si>
    <t xml:space="preserve">VIRTUAL </t>
  </si>
  <si>
    <t xml:space="preserve">AF nº 2223/2025 (Quantidade)                                                                                                                          </t>
  </si>
  <si>
    <t xml:space="preserve">AF nº 332/2026 (Quantidade)                                                                                                                       </t>
  </si>
  <si>
    <t xml:space="preserve">AF nº 2227/2025 (Quantidade)                                                                                                                          </t>
  </si>
  <si>
    <t xml:space="preserve">AF nº 2332/2025 (Quantidade)                                                                                                                       </t>
  </si>
  <si>
    <t>[VIRTUAL SUPRIMENTOS]</t>
  </si>
  <si>
    <t xml:space="preserve">AF nº 0183/2026                                                                                                                          </t>
  </si>
  <si>
    <t xml:space="preserve">AF nº 0184/2026                                                                                                                       </t>
  </si>
  <si>
    <t>[APAT SUPPLIES LTDA]</t>
  </si>
  <si>
    <t>[VIRTUAL SUPRIMENTOS LTDA]</t>
  </si>
  <si>
    <t>Atualizado em 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</si>
</sst>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  <numFmt numFmtId="171" formatCode="0000"/>
    <numFmt numFmtId="172" formatCode="_-* #,##0_-;\-* #,##0_-;_-* &quot;-&quot;_-;_-@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66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62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10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0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12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</cellStyleXfs>
  <cellXfs count="218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 applyProtection="1">
      <alignment wrapText="1"/>
      <protection locked="0"/>
    </xf>
    <xf numFmtId="3" fontId="5" fillId="0" borderId="0" xfId="1" applyNumberFormat="1" applyFont="1" applyAlignment="1" applyProtection="1">
      <alignment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5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5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5" fillId="5" borderId="1" xfId="14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3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0" xfId="14" applyFont="1" applyAlignment="1" applyProtection="1">
      <alignment wrapText="1"/>
      <protection locked="0"/>
    </xf>
    <xf numFmtId="0" fontId="5" fillId="0" borderId="11" xfId="1" applyFont="1" applyFill="1" applyBorder="1" applyAlignment="1" applyProtection="1">
      <alignment wrapText="1"/>
      <protection locked="0"/>
    </xf>
    <xf numFmtId="0" fontId="13" fillId="13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wrapText="1"/>
      <protection locked="0"/>
    </xf>
    <xf numFmtId="166" fontId="5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5" fillId="14" borderId="1" xfId="0" applyNumberFormat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166" fontId="11" fillId="13" borderId="1" xfId="1" applyNumberFormat="1" applyFont="1" applyFill="1" applyBorder="1" applyAlignment="1">
      <alignment horizontal="center" vertical="center" wrapText="1"/>
    </xf>
    <xf numFmtId="0" fontId="11" fillId="13" borderId="1" xfId="1" applyFont="1" applyFill="1" applyBorder="1" applyAlignment="1" applyProtection="1">
      <alignment horizontal="center" vertical="center" wrapText="1"/>
      <protection locked="0"/>
    </xf>
    <xf numFmtId="169" fontId="5" fillId="0" borderId="0" xfId="14" applyNumberFormat="1" applyFont="1" applyFill="1" applyAlignment="1" applyProtection="1">
      <alignment wrapText="1"/>
      <protection locked="0"/>
    </xf>
    <xf numFmtId="1" fontId="5" fillId="16" borderId="6" xfId="0" applyNumberFormat="1" applyFont="1" applyFill="1" applyBorder="1" applyAlignment="1">
      <alignment horizontal="center" vertical="center" wrapText="1"/>
    </xf>
    <xf numFmtId="3" fontId="5" fillId="17" borderId="6" xfId="0" applyNumberFormat="1" applyFont="1" applyFill="1" applyBorder="1" applyAlignment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66" fontId="5" fillId="18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wrapText="1"/>
    </xf>
    <xf numFmtId="170" fontId="5" fillId="9" borderId="1" xfId="0" applyNumberFormat="1" applyFont="1" applyFill="1" applyBorder="1" applyAlignment="1">
      <alignment horizontal="center" vertical="center" wrapText="1"/>
    </xf>
    <xf numFmtId="10" fontId="17" fillId="19" borderId="9" xfId="24" applyNumberFormat="1" applyFont="1" applyFill="1" applyBorder="1" applyAlignment="1" applyProtection="1">
      <alignment horizontal="center" vertical="center"/>
      <protection locked="0"/>
    </xf>
    <xf numFmtId="44" fontId="7" fillId="19" borderId="4" xfId="1" applyNumberFormat="1" applyFont="1" applyFill="1" applyBorder="1" applyAlignment="1" applyProtection="1">
      <alignment horizontal="center" vertical="center"/>
      <protection locked="0"/>
    </xf>
    <xf numFmtId="10" fontId="7" fillId="19" borderId="4" xfId="24" applyNumberFormat="1" applyFont="1" applyFill="1" applyBorder="1" applyAlignment="1" applyProtection="1">
      <alignment horizontal="center" vertical="center"/>
      <protection locked="0"/>
    </xf>
    <xf numFmtId="168" fontId="7" fillId="19" borderId="4" xfId="1" applyNumberFormat="1" applyFont="1" applyFill="1" applyBorder="1" applyAlignment="1" applyProtection="1">
      <alignment horizontal="center" vertical="center"/>
      <protection locked="0"/>
    </xf>
    <xf numFmtId="0" fontId="17" fillId="19" borderId="1" xfId="1" applyFont="1" applyFill="1" applyBorder="1" applyAlignment="1" applyProtection="1">
      <alignment horizontal="center" vertical="center"/>
      <protection locked="0"/>
    </xf>
    <xf numFmtId="44" fontId="17" fillId="19" borderId="1" xfId="1" applyNumberFormat="1" applyFont="1" applyFill="1" applyBorder="1" applyAlignment="1" applyProtection="1">
      <alignment horizontal="center" vertical="center"/>
      <protection locked="0"/>
    </xf>
    <xf numFmtId="44" fontId="17" fillId="19" borderId="1" xfId="410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44" fontId="17" fillId="19" borderId="1" xfId="24" applyNumberFormat="1" applyFont="1" applyFill="1" applyBorder="1" applyAlignment="1" applyProtection="1">
      <alignment horizontal="center" vertical="center"/>
      <protection locked="0"/>
    </xf>
    <xf numFmtId="10" fontId="7" fillId="19" borderId="7" xfId="24" applyNumberFormat="1" applyFont="1" applyFill="1" applyBorder="1" applyAlignment="1" applyProtection="1">
      <alignment horizontal="center" vertical="center"/>
      <protection locked="0"/>
    </xf>
    <xf numFmtId="44" fontId="17" fillId="19" borderId="5" xfId="1" applyNumberFormat="1" applyFont="1" applyFill="1" applyBorder="1" applyAlignment="1" applyProtection="1">
      <alignment horizontal="center" vertical="center"/>
      <protection locked="0"/>
    </xf>
    <xf numFmtId="168" fontId="7" fillId="19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 applyProtection="1">
      <alignment wrapText="1"/>
      <protection locked="0"/>
    </xf>
    <xf numFmtId="166" fontId="18" fillId="0" borderId="0" xfId="0" applyNumberFormat="1" applyFont="1" applyFill="1" applyAlignment="1">
      <alignment horizontal="center" vertical="center" wrapText="1"/>
    </xf>
    <xf numFmtId="44" fontId="7" fillId="19" borderId="0" xfId="1" applyNumberFormat="1" applyFont="1" applyFill="1" applyBorder="1" applyAlignment="1" applyProtection="1">
      <alignment horizontal="center" vertical="center"/>
      <protection locked="0"/>
    </xf>
    <xf numFmtId="0" fontId="7" fillId="19" borderId="7" xfId="1" applyFont="1" applyFill="1" applyBorder="1" applyAlignment="1" applyProtection="1">
      <alignment horizontal="center" vertical="center"/>
      <protection locked="0"/>
    </xf>
    <xf numFmtId="0" fontId="7" fillId="19" borderId="7" xfId="1" applyFont="1" applyFill="1" applyBorder="1" applyAlignment="1">
      <alignment horizontal="center" vertical="center" wrapText="1"/>
    </xf>
    <xf numFmtId="44" fontId="7" fillId="19" borderId="10" xfId="1" applyNumberFormat="1" applyFont="1" applyFill="1" applyBorder="1" applyAlignment="1" applyProtection="1">
      <alignment horizontal="center" vertical="center"/>
      <protection locked="0"/>
    </xf>
    <xf numFmtId="44" fontId="18" fillId="0" borderId="0" xfId="14" applyFont="1" applyFill="1" applyAlignment="1" applyProtection="1">
      <alignment wrapText="1"/>
      <protection locked="0"/>
    </xf>
    <xf numFmtId="44" fontId="7" fillId="19" borderId="10" xfId="24" applyNumberFormat="1" applyFont="1" applyFill="1" applyBorder="1" applyAlignment="1" applyProtection="1">
      <alignment horizontal="center" vertical="center"/>
      <protection locked="0"/>
    </xf>
    <xf numFmtId="10" fontId="17" fillId="19" borderId="5" xfId="24" applyNumberFormat="1" applyFont="1" applyFill="1" applyBorder="1" applyAlignment="1" applyProtection="1">
      <alignment horizontal="center" vertical="center"/>
      <protection locked="0"/>
    </xf>
    <xf numFmtId="10" fontId="7" fillId="19" borderId="5" xfId="24" applyNumberFormat="1" applyFont="1" applyFill="1" applyBorder="1" applyAlignment="1" applyProtection="1">
      <alignment horizontal="center" vertical="center"/>
      <protection locked="0"/>
    </xf>
    <xf numFmtId="44" fontId="7" fillId="19" borderId="7" xfId="41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1" fontId="5" fillId="21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1" borderId="1" xfId="0" applyFont="1" applyFill="1" applyBorder="1" applyAlignment="1">
      <alignment vertical="top" wrapText="1"/>
    </xf>
    <xf numFmtId="0" fontId="5" fillId="21" borderId="1" xfId="0" applyFont="1" applyFill="1" applyBorder="1" applyAlignment="1" applyProtection="1">
      <alignment horizontal="justify" vertical="center" wrapText="1"/>
      <protection locked="0"/>
    </xf>
    <xf numFmtId="0" fontId="5" fillId="21" borderId="1" xfId="0" applyFont="1" applyFill="1" applyBorder="1" applyAlignment="1">
      <alignment vertical="center" wrapText="1"/>
    </xf>
    <xf numFmtId="171" fontId="5" fillId="21" borderId="1" xfId="0" applyNumberFormat="1" applyFont="1" applyFill="1" applyBorder="1" applyAlignment="1" applyProtection="1">
      <alignment horizontal="center" vertical="center"/>
      <protection locked="0"/>
    </xf>
    <xf numFmtId="49" fontId="5" fillId="21" borderId="1" xfId="0" applyNumberFormat="1" applyFont="1" applyFill="1" applyBorder="1" applyAlignment="1">
      <alignment horizontal="center" vertical="center" wrapText="1"/>
    </xf>
    <xf numFmtId="49" fontId="5" fillId="21" borderId="1" xfId="0" applyNumberFormat="1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49" fontId="5" fillId="2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>
      <alignment horizontal="center" vertical="center"/>
    </xf>
    <xf numFmtId="172" fontId="5" fillId="21" borderId="1" xfId="0" applyNumberFormat="1" applyFont="1" applyFill="1" applyBorder="1" applyAlignment="1">
      <alignment horizontal="center" vertical="center" wrapText="1"/>
    </xf>
    <xf numFmtId="168" fontId="5" fillId="21" borderId="1" xfId="24" applyNumberFormat="1" applyFont="1" applyFill="1" applyBorder="1" applyAlignment="1" applyProtection="1">
      <alignment horizontal="center" vertical="center"/>
      <protection locked="0"/>
    </xf>
    <xf numFmtId="0" fontId="5" fillId="20" borderId="1" xfId="0" applyFont="1" applyFill="1" applyBorder="1" applyAlignment="1" applyProtection="1">
      <alignment horizontal="center" vertical="center"/>
      <protection locked="0"/>
    </xf>
    <xf numFmtId="0" fontId="5" fillId="2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3" fillId="22" borderId="1" xfId="1" applyFont="1" applyFill="1" applyBorder="1" applyAlignment="1">
      <alignment horizontal="center" vertical="center" wrapText="1"/>
    </xf>
    <xf numFmtId="0" fontId="24" fillId="22" borderId="1" xfId="1" applyFont="1" applyFill="1" applyBorder="1" applyAlignment="1">
      <alignment horizontal="center" vertical="center" wrapText="1"/>
    </xf>
    <xf numFmtId="168" fontId="23" fillId="22" borderId="1" xfId="1" applyNumberFormat="1" applyFont="1" applyFill="1" applyBorder="1" applyAlignment="1">
      <alignment horizontal="center" vertical="center" wrapText="1"/>
    </xf>
    <xf numFmtId="168" fontId="5" fillId="0" borderId="11" xfId="1" applyNumberFormat="1" applyFont="1" applyFill="1" applyBorder="1" applyAlignment="1" applyProtection="1">
      <alignment wrapText="1"/>
      <protection locked="0"/>
    </xf>
    <xf numFmtId="0" fontId="7" fillId="19" borderId="1" xfId="1" applyFont="1" applyFill="1" applyBorder="1" applyAlignment="1">
      <alignment horizontal="center" vertical="center" wrapText="1"/>
    </xf>
    <xf numFmtId="0" fontId="15" fillId="19" borderId="1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 applyProtection="1">
      <alignment wrapText="1"/>
      <protection locked="0"/>
    </xf>
    <xf numFmtId="168" fontId="5" fillId="21" borderId="1" xfId="14" applyNumberFormat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Alignment="1">
      <alignment vertical="center" wrapText="1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3" fontId="5" fillId="24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3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1" fillId="25" borderId="1" xfId="1" applyFont="1" applyFill="1" applyBorder="1" applyAlignment="1">
      <alignment horizontal="center" vertical="center" wrapText="1"/>
    </xf>
    <xf numFmtId="0" fontId="5" fillId="25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horizontal="center" vertical="center" wrapText="1"/>
    </xf>
    <xf numFmtId="44" fontId="5" fillId="7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7" applyNumberFormat="1" applyFont="1" applyBorder="1" applyAlignment="1" applyProtection="1">
      <alignment horizontal="center" vertical="center" wrapText="1"/>
      <protection locked="0"/>
    </xf>
    <xf numFmtId="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4" fontId="5" fillId="0" borderId="0" xfId="1" applyNumberFormat="1" applyFont="1" applyAlignment="1">
      <alignment wrapText="1"/>
    </xf>
    <xf numFmtId="44" fontId="5" fillId="0" borderId="0" xfId="410" applyFont="1" applyAlignment="1" applyProtection="1">
      <alignment wrapText="1"/>
      <protection locked="0"/>
    </xf>
    <xf numFmtId="44" fontId="11" fillId="0" borderId="0" xfId="410" applyFont="1" applyAlignment="1" applyProtection="1">
      <alignment wrapText="1"/>
      <protection locked="0"/>
    </xf>
    <xf numFmtId="0" fontId="5" fillId="4" borderId="23" xfId="1" applyFont="1" applyFill="1" applyBorder="1" applyAlignment="1" applyProtection="1">
      <alignment wrapText="1"/>
      <protection locked="0"/>
    </xf>
    <xf numFmtId="0" fontId="5" fillId="4" borderId="24" xfId="1" applyFont="1" applyFill="1" applyBorder="1" applyAlignment="1" applyProtection="1">
      <alignment wrapText="1"/>
      <protection locked="0"/>
    </xf>
    <xf numFmtId="0" fontId="5" fillId="4" borderId="7" xfId="1" applyFont="1" applyFill="1" applyBorder="1" applyAlignment="1" applyProtection="1">
      <alignment wrapText="1"/>
      <protection locked="0"/>
    </xf>
    <xf numFmtId="0" fontId="5" fillId="4" borderId="0" xfId="1" applyFont="1" applyFill="1" applyAlignment="1" applyProtection="1">
      <alignment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10" fontId="5" fillId="4" borderId="22" xfId="12" applyNumberFormat="1" applyFont="1" applyFill="1" applyBorder="1" applyAlignment="1" applyProtection="1">
      <alignment wrapText="1"/>
      <protection locked="0"/>
    </xf>
    <xf numFmtId="171" fontId="5" fillId="21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1" xfId="1" applyFont="1" applyFill="1" applyBorder="1" applyAlignment="1" applyProtection="1">
      <alignment horizontal="left" wrapText="1"/>
      <protection locked="0"/>
    </xf>
    <xf numFmtId="0" fontId="11" fillId="29" borderId="1" xfId="1" applyFont="1" applyFill="1" applyBorder="1" applyAlignment="1">
      <alignment horizontal="center" vertical="center" wrapText="1"/>
    </xf>
    <xf numFmtId="168" fontId="11" fillId="2" borderId="1" xfId="3" applyNumberFormat="1" applyFont="1" applyFill="1" applyBorder="1" applyAlignment="1" applyProtection="1">
      <alignment horizontal="center" vertical="center" wrapText="1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3" fontId="5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5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wrapText="1"/>
    </xf>
    <xf numFmtId="0" fontId="7" fillId="19" borderId="9" xfId="1" applyFont="1" applyFill="1" applyBorder="1" applyAlignment="1">
      <alignment horizontal="center" vertical="center" wrapText="1"/>
    </xf>
    <xf numFmtId="0" fontId="5" fillId="21" borderId="1" xfId="0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>
      <alignment horizontal="center" vertical="center" wrapText="1"/>
    </xf>
    <xf numFmtId="0" fontId="7" fillId="21" borderId="1" xfId="1" applyFont="1" applyFill="1" applyBorder="1" applyAlignment="1">
      <alignment horizontal="center" vertical="center" wrapText="1"/>
    </xf>
    <xf numFmtId="0" fontId="5" fillId="7" borderId="9" xfId="0" applyNumberFormat="1" applyFont="1" applyFill="1" applyBorder="1" applyAlignment="1">
      <alignment vertical="center" wrapText="1"/>
    </xf>
    <xf numFmtId="0" fontId="11" fillId="7" borderId="8" xfId="0" applyNumberFormat="1" applyFont="1" applyFill="1" applyBorder="1" applyAlignment="1">
      <alignment vertical="center" wrapText="1"/>
    </xf>
    <xf numFmtId="3" fontId="11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11" fillId="10" borderId="5" xfId="1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3" fontId="5" fillId="21" borderId="1" xfId="24" applyNumberFormat="1" applyFont="1" applyFill="1" applyBorder="1" applyAlignment="1" applyProtection="1">
      <alignment horizontal="center" vertical="center"/>
      <protection locked="0"/>
    </xf>
    <xf numFmtId="44" fontId="11" fillId="0" borderId="11" xfId="1" applyNumberFormat="1" applyFont="1" applyBorder="1" applyAlignment="1">
      <alignment wrapText="1"/>
    </xf>
    <xf numFmtId="0" fontId="31" fillId="31" borderId="3" xfId="0" applyFont="1" applyFill="1" applyBorder="1" applyAlignment="1">
      <alignment horizontal="center" vertical="center" wrapText="1"/>
    </xf>
    <xf numFmtId="0" fontId="31" fillId="31" borderId="5" xfId="0" applyFont="1" applyFill="1" applyBorder="1" applyAlignment="1">
      <alignment horizontal="center" vertical="center" wrapText="1"/>
    </xf>
    <xf numFmtId="14" fontId="31" fillId="3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3" borderId="1" xfId="0" applyFont="1" applyFill="1" applyBorder="1" applyAlignment="1">
      <alignment horizontal="center" vertical="center" wrapText="1"/>
    </xf>
    <xf numFmtId="8" fontId="32" fillId="0" borderId="0" xfId="0" applyNumberFormat="1" applyFont="1" applyAlignment="1">
      <alignment wrapText="1"/>
    </xf>
    <xf numFmtId="0" fontId="32" fillId="0" borderId="0" xfId="0" applyFont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0" fontId="31" fillId="33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left" vertical="center" wrapText="1"/>
    </xf>
    <xf numFmtId="0" fontId="5" fillId="7" borderId="6" xfId="0" applyNumberFormat="1" applyFont="1" applyFill="1" applyBorder="1" applyAlignment="1">
      <alignment horizontal="center" vertical="center" wrapText="1"/>
    </xf>
    <xf numFmtId="0" fontId="5" fillId="7" borderId="8" xfId="0" applyNumberFormat="1" applyFont="1" applyFill="1" applyBorder="1" applyAlignment="1">
      <alignment horizontal="center" vertical="center" wrapText="1"/>
    </xf>
    <xf numFmtId="0" fontId="5" fillId="7" borderId="9" xfId="0" applyNumberFormat="1" applyFont="1" applyFill="1" applyBorder="1" applyAlignment="1">
      <alignment horizontal="center" vertical="center" wrapText="1"/>
    </xf>
    <xf numFmtId="0" fontId="5" fillId="7" borderId="6" xfId="0" applyNumberFormat="1" applyFont="1" applyFill="1" applyBorder="1" applyAlignment="1">
      <alignment vertical="center" wrapText="1"/>
    </xf>
    <xf numFmtId="0" fontId="5" fillId="7" borderId="8" xfId="0" applyNumberFormat="1" applyFont="1" applyFill="1" applyBorder="1" applyAlignment="1">
      <alignment vertical="center" wrapText="1"/>
    </xf>
    <xf numFmtId="0" fontId="5" fillId="7" borderId="9" xfId="0" applyNumberFormat="1" applyFont="1" applyFill="1" applyBorder="1" applyAlignment="1">
      <alignment vertical="center" wrapText="1"/>
    </xf>
    <xf numFmtId="0" fontId="11" fillId="7" borderId="6" xfId="0" applyNumberFormat="1" applyFont="1" applyFill="1" applyBorder="1" applyAlignment="1">
      <alignment vertical="center" wrapText="1"/>
    </xf>
    <xf numFmtId="0" fontId="11" fillId="7" borderId="8" xfId="0" applyNumberFormat="1" applyFont="1" applyFill="1" applyBorder="1" applyAlignment="1">
      <alignment vertical="center" wrapText="1"/>
    </xf>
    <xf numFmtId="0" fontId="11" fillId="7" borderId="9" xfId="0" applyNumberFormat="1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 applyProtection="1">
      <alignment horizontal="center" vertical="center" wrapText="1"/>
      <protection locked="0"/>
    </xf>
    <xf numFmtId="0" fontId="5" fillId="21" borderId="4" xfId="0" applyFont="1" applyFill="1" applyBorder="1" applyAlignment="1" applyProtection="1">
      <alignment horizontal="center" vertical="center" wrapText="1"/>
      <protection locked="0"/>
    </xf>
    <xf numFmtId="0" fontId="5" fillId="21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19" borderId="6" xfId="1" applyFont="1" applyFill="1" applyBorder="1" applyAlignment="1">
      <alignment vertical="center" wrapText="1"/>
    </xf>
    <xf numFmtId="0" fontId="11" fillId="19" borderId="8" xfId="1" applyFont="1" applyFill="1" applyBorder="1" applyAlignment="1">
      <alignment vertical="center" wrapText="1"/>
    </xf>
    <xf numFmtId="0" fontId="11" fillId="19" borderId="9" xfId="1" applyFont="1" applyFill="1" applyBorder="1" applyAlignment="1">
      <alignment vertical="center" wrapText="1"/>
    </xf>
    <xf numFmtId="0" fontId="7" fillId="19" borderId="21" xfId="1" applyFont="1" applyFill="1" applyBorder="1" applyAlignment="1">
      <alignment horizontal="center" vertical="center" wrapText="1"/>
    </xf>
    <xf numFmtId="0" fontId="7" fillId="19" borderId="8" xfId="1" applyFont="1" applyFill="1" applyBorder="1" applyAlignment="1">
      <alignment horizontal="center" vertical="center" wrapText="1"/>
    </xf>
    <xf numFmtId="0" fontId="7" fillId="19" borderId="9" xfId="1" applyFont="1" applyFill="1" applyBorder="1" applyAlignment="1">
      <alignment horizontal="center" vertical="center" wrapText="1"/>
    </xf>
    <xf numFmtId="0" fontId="7" fillId="19" borderId="6" xfId="1" applyFont="1" applyFill="1" applyBorder="1" applyAlignment="1">
      <alignment horizontal="center" vertical="center" wrapText="1"/>
    </xf>
    <xf numFmtId="0" fontId="5" fillId="12" borderId="6" xfId="0" applyNumberFormat="1" applyFont="1" applyFill="1" applyBorder="1" applyAlignment="1">
      <alignment vertical="center" wrapText="1"/>
    </xf>
    <xf numFmtId="0" fontId="5" fillId="12" borderId="8" xfId="0" applyNumberFormat="1" applyFont="1" applyFill="1" applyBorder="1" applyAlignment="1">
      <alignment vertical="center" wrapText="1"/>
    </xf>
    <xf numFmtId="0" fontId="30" fillId="12" borderId="6" xfId="0" applyNumberFormat="1" applyFont="1" applyFill="1" applyBorder="1" applyAlignment="1">
      <alignment horizontal="center" vertical="center" wrapText="1"/>
    </xf>
    <xf numFmtId="0" fontId="30" fillId="12" borderId="8" xfId="0" applyNumberFormat="1" applyFont="1" applyFill="1" applyBorder="1" applyAlignment="1">
      <alignment horizontal="center" vertical="center" wrapText="1"/>
    </xf>
    <xf numFmtId="0" fontId="30" fillId="12" borderId="9" xfId="0" applyNumberFormat="1" applyFont="1" applyFill="1" applyBorder="1" applyAlignment="1">
      <alignment horizontal="center" vertical="center" wrapText="1"/>
    </xf>
    <xf numFmtId="0" fontId="11" fillId="12" borderId="6" xfId="0" applyNumberFormat="1" applyFont="1" applyFill="1" applyBorder="1" applyAlignment="1">
      <alignment horizontal="center" vertical="center" wrapText="1"/>
    </xf>
    <xf numFmtId="0" fontId="5" fillId="12" borderId="8" xfId="0" applyNumberFormat="1" applyFont="1" applyFill="1" applyBorder="1" applyAlignment="1">
      <alignment horizontal="center" vertical="center" wrapText="1"/>
    </xf>
    <xf numFmtId="0" fontId="5" fillId="12" borderId="9" xfId="0" applyNumberFormat="1" applyFont="1" applyFill="1" applyBorder="1" applyAlignment="1">
      <alignment horizontal="center" vertical="center" wrapText="1"/>
    </xf>
    <xf numFmtId="0" fontId="5" fillId="12" borderId="9" xfId="0" applyNumberFormat="1" applyFont="1" applyFill="1" applyBorder="1" applyAlignment="1">
      <alignment vertical="center" wrapText="1"/>
    </xf>
    <xf numFmtId="0" fontId="11" fillId="23" borderId="2" xfId="0" applyFont="1" applyFill="1" applyBorder="1" applyAlignment="1">
      <alignment horizontal="center" vertical="center" wrapText="1"/>
    </xf>
    <xf numFmtId="0" fontId="11" fillId="23" borderId="22" xfId="0" applyFont="1" applyFill="1" applyBorder="1" applyAlignment="1">
      <alignment horizontal="center" vertical="center" wrapText="1"/>
    </xf>
    <xf numFmtId="0" fontId="11" fillId="23" borderId="21" xfId="0" applyFont="1" applyFill="1" applyBorder="1" applyAlignment="1">
      <alignment vertical="center" wrapText="1"/>
    </xf>
    <xf numFmtId="0" fontId="11" fillId="23" borderId="2" xfId="0" applyFont="1" applyFill="1" applyBorder="1" applyAlignment="1">
      <alignment vertical="center" wrapText="1"/>
    </xf>
    <xf numFmtId="0" fontId="11" fillId="23" borderId="6" xfId="0" applyFont="1" applyFill="1" applyBorder="1" applyAlignment="1">
      <alignment horizontal="left" vertical="center" wrapText="1"/>
    </xf>
    <xf numFmtId="0" fontId="11" fillId="23" borderId="8" xfId="0" applyFont="1" applyFill="1" applyBorder="1" applyAlignment="1">
      <alignment horizontal="left" vertical="center" wrapText="1"/>
    </xf>
    <xf numFmtId="0" fontId="11" fillId="23" borderId="9" xfId="0" applyFont="1" applyFill="1" applyBorder="1" applyAlignment="1">
      <alignment horizontal="left" vertical="center" wrapText="1"/>
    </xf>
    <xf numFmtId="0" fontId="17" fillId="25" borderId="1" xfId="0" quotePrefix="1" applyFont="1" applyFill="1" applyBorder="1" applyAlignment="1">
      <alignment horizontal="center" vertical="center" wrapText="1"/>
    </xf>
    <xf numFmtId="0" fontId="17" fillId="26" borderId="1" xfId="0" quotePrefix="1" applyFont="1" applyFill="1" applyBorder="1" applyAlignment="1">
      <alignment horizontal="center" vertical="center" wrapText="1"/>
    </xf>
    <xf numFmtId="0" fontId="17" fillId="27" borderId="1" xfId="0" quotePrefix="1" applyFont="1" applyFill="1" applyBorder="1" applyAlignment="1">
      <alignment horizontal="center" vertical="center" wrapText="1"/>
    </xf>
    <xf numFmtId="0" fontId="17" fillId="28" borderId="1" xfId="0" quotePrefix="1" applyFont="1" applyFill="1" applyBorder="1" applyAlignment="1">
      <alignment horizontal="center" vertical="center" wrapText="1"/>
    </xf>
    <xf numFmtId="0" fontId="26" fillId="29" borderId="1" xfId="0" quotePrefix="1" applyFont="1" applyFill="1" applyBorder="1" applyAlignment="1">
      <alignment horizontal="center" vertical="center" wrapText="1"/>
    </xf>
    <xf numFmtId="0" fontId="26" fillId="23" borderId="8" xfId="0" quotePrefix="1" applyFont="1" applyFill="1" applyBorder="1" applyAlignment="1">
      <alignment horizontal="center" vertical="center" wrapText="1"/>
    </xf>
    <xf numFmtId="0" fontId="26" fillId="23" borderId="9" xfId="0" quotePrefix="1" applyFont="1" applyFill="1" applyBorder="1" applyAlignment="1">
      <alignment horizontal="center" vertical="center" wrapText="1"/>
    </xf>
    <xf numFmtId="0" fontId="17" fillId="23" borderId="6" xfId="0" quotePrefix="1" applyFont="1" applyFill="1" applyBorder="1" applyAlignment="1">
      <alignment horizontal="center" vertical="center" wrapText="1"/>
    </xf>
    <xf numFmtId="0" fontId="17" fillId="23" borderId="8" xfId="0" quotePrefix="1" applyFont="1" applyFill="1" applyBorder="1" applyAlignment="1">
      <alignment horizontal="center" vertical="center" wrapText="1"/>
    </xf>
    <xf numFmtId="0" fontId="17" fillId="23" borderId="9" xfId="0" quotePrefix="1" applyFont="1" applyFill="1" applyBorder="1" applyAlignment="1">
      <alignment horizontal="center" vertical="center" wrapText="1"/>
    </xf>
    <xf numFmtId="0" fontId="11" fillId="4" borderId="6" xfId="1" applyFont="1" applyFill="1" applyBorder="1" applyAlignment="1" applyProtection="1">
      <alignment horizontal="left" wrapText="1"/>
      <protection locked="0"/>
    </xf>
    <xf numFmtId="0" fontId="11" fillId="4" borderId="8" xfId="1" applyFont="1" applyFill="1" applyBorder="1" applyAlignment="1" applyProtection="1">
      <alignment horizontal="left" wrapText="1"/>
      <protection locked="0"/>
    </xf>
    <xf numFmtId="0" fontId="11" fillId="4" borderId="9" xfId="1" applyFont="1" applyFill="1" applyBorder="1" applyAlignment="1" applyProtection="1">
      <alignment horizontal="left" wrapText="1"/>
      <protection locked="0"/>
    </xf>
    <xf numFmtId="0" fontId="5" fillId="4" borderId="1" xfId="1" applyFont="1" applyFill="1" applyBorder="1" applyAlignment="1">
      <alignment horizontal="center" vertical="center" wrapText="1"/>
    </xf>
    <xf numFmtId="44" fontId="5" fillId="4" borderId="24" xfId="410" applyFont="1" applyFill="1" applyBorder="1" applyAlignment="1" applyProtection="1">
      <alignment horizontal="center" wrapText="1"/>
      <protection locked="0"/>
    </xf>
    <xf numFmtId="44" fontId="5" fillId="4" borderId="25" xfId="410" applyFont="1" applyFill="1" applyBorder="1" applyAlignment="1" applyProtection="1">
      <alignment horizontal="center" wrapText="1"/>
      <protection locked="0"/>
    </xf>
    <xf numFmtId="44" fontId="11" fillId="4" borderId="0" xfId="410" applyFont="1" applyFill="1" applyBorder="1" applyAlignment="1" applyProtection="1">
      <alignment horizontal="center" wrapText="1"/>
      <protection locked="0"/>
    </xf>
    <xf numFmtId="44" fontId="11" fillId="4" borderId="10" xfId="410" applyFont="1" applyFill="1" applyBorder="1" applyAlignment="1" applyProtection="1">
      <alignment horizontal="center" wrapText="1"/>
      <protection locked="0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14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3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FFCDFF"/>
      <color rgb="FFFF9933"/>
      <color rgb="FFFFFF66"/>
      <color rgb="FFCCECFF"/>
      <color rgb="FFCCFFFF"/>
      <color rgb="FFC5D9F1"/>
      <color rgb="FF99FF33"/>
      <color rgb="FF0066FF"/>
      <color rgb="FF95B3D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A18"/>
  <sheetViews>
    <sheetView zoomScale="80" zoomScaleNormal="80" workbookViewId="0">
      <pane xSplit="21" topLeftCell="V1" activePane="topRight" state="frozen"/>
      <selection pane="topRight" activeCell="H3" sqref="H3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40.710937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1" width="12.85546875" style="87" customWidth="1"/>
    <col min="12" max="12" width="13" style="4" customWidth="1"/>
    <col min="13" max="19" width="8.5703125" style="4" customWidth="1"/>
    <col min="20" max="20" width="11" style="11" customWidth="1"/>
    <col min="21" max="21" width="13.5703125" style="5" customWidth="1"/>
    <col min="22" max="33" width="15" style="6" customWidth="1"/>
    <col min="34" max="42" width="15" style="2" customWidth="1"/>
    <col min="43" max="51" width="15" style="36" customWidth="1"/>
    <col min="52" max="53" width="15" style="2" customWidth="1"/>
    <col min="54" max="16384" width="11.85546875" style="2"/>
  </cols>
  <sheetData>
    <row r="1" spans="1:53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32"/>
      <c r="L1" s="158" t="s">
        <v>121</v>
      </c>
      <c r="M1" s="158"/>
      <c r="N1" s="158"/>
      <c r="O1" s="158"/>
      <c r="P1" s="158"/>
      <c r="Q1" s="158"/>
      <c r="R1" s="158"/>
      <c r="S1" s="158"/>
      <c r="T1" s="158"/>
      <c r="U1" s="158"/>
      <c r="V1" s="134" t="s">
        <v>147</v>
      </c>
      <c r="W1" s="134" t="s">
        <v>148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  <c r="BA1" s="124" t="s">
        <v>50</v>
      </c>
    </row>
    <row r="2" spans="1:53" ht="31.5" customHeight="1" x14ac:dyDescent="0.25">
      <c r="A2" s="165" t="s">
        <v>120</v>
      </c>
      <c r="B2" s="166"/>
      <c r="C2" s="166"/>
      <c r="D2" s="166"/>
      <c r="E2" s="166"/>
      <c r="F2" s="166"/>
      <c r="G2" s="166"/>
      <c r="H2" s="166"/>
      <c r="I2" s="166"/>
      <c r="J2" s="167"/>
      <c r="K2" s="133"/>
      <c r="L2" s="168" t="s">
        <v>51</v>
      </c>
      <c r="M2" s="169"/>
      <c r="N2" s="169"/>
      <c r="O2" s="169"/>
      <c r="P2" s="169"/>
      <c r="Q2" s="169"/>
      <c r="R2" s="169"/>
      <c r="S2" s="169"/>
      <c r="T2" s="169"/>
      <c r="U2" s="170"/>
      <c r="V2" s="135" t="s">
        <v>146</v>
      </c>
      <c r="W2" s="135" t="s">
        <v>149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  <c r="BA2" s="125" t="s">
        <v>81</v>
      </c>
    </row>
    <row r="3" spans="1:53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33"/>
      <c r="L3" s="21" t="s">
        <v>56</v>
      </c>
      <c r="M3" s="21" t="s">
        <v>12</v>
      </c>
      <c r="N3" s="21" t="s">
        <v>13</v>
      </c>
      <c r="O3" s="21" t="s">
        <v>55</v>
      </c>
      <c r="P3" s="21" t="s">
        <v>14</v>
      </c>
      <c r="Q3" s="21" t="s">
        <v>15</v>
      </c>
      <c r="R3" s="21" t="s">
        <v>16</v>
      </c>
      <c r="S3" s="21" t="s">
        <v>17</v>
      </c>
      <c r="T3" s="28" t="s">
        <v>0</v>
      </c>
      <c r="U3" s="29" t="s">
        <v>1</v>
      </c>
      <c r="V3" s="136">
        <v>45951</v>
      </c>
      <c r="W3" s="136">
        <v>45951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  <c r="BA3" s="62" t="s">
        <v>47</v>
      </c>
    </row>
    <row r="4" spans="1:53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86"/>
      <c r="L4" s="76">
        <v>0</v>
      </c>
      <c r="M4" s="25">
        <f t="shared" ref="M4:M11" si="0">IF(SUM(V4:BA4)&gt;L4+O4,L4+O4,SUM(V4:BA4))</f>
        <v>0</v>
      </c>
      <c r="N4" s="25">
        <f t="shared" ref="N4:N11" si="1">(SUM(V4:BA4))</f>
        <v>0</v>
      </c>
      <c r="O4" s="26"/>
      <c r="P4" s="27">
        <f>ROUND(IF(L4*0.25-0.5&lt;0,0,L4*0.25-0.5),0)-S4-Q4</f>
        <v>0</v>
      </c>
      <c r="Q4" s="26"/>
      <c r="R4" s="26"/>
      <c r="S4" s="26"/>
      <c r="T4" s="37">
        <f t="shared" ref="T4:T11" si="2">L4-SUM(V4:BA4)+O4</f>
        <v>0</v>
      </c>
      <c r="U4" s="18" t="str">
        <f>IF(T4&lt;0,"ATENÇÃO","OK")</f>
        <v>OK</v>
      </c>
      <c r="V4" s="16"/>
      <c r="W4" s="17"/>
      <c r="X4" s="17"/>
      <c r="Y4" s="17"/>
      <c r="Z4" s="17"/>
      <c r="AA4" s="17"/>
      <c r="AB4" s="17"/>
      <c r="AC4" s="16"/>
      <c r="AD4" s="16"/>
      <c r="AE4" s="16"/>
      <c r="AF4" s="16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</row>
    <row r="5" spans="1:53" ht="42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5"/>
      <c r="L5" s="77">
        <v>40</v>
      </c>
      <c r="M5" s="25">
        <f t="shared" si="0"/>
        <v>40</v>
      </c>
      <c r="N5" s="25">
        <f t="shared" si="1"/>
        <v>40</v>
      </c>
      <c r="O5" s="26"/>
      <c r="P5" s="27">
        <f t="shared" ref="P5:P12" si="3">ROUND(IF(L5*0.25-0.5&lt;0,0,L5*0.25-0.5),0)-S5-Q5</f>
        <v>10</v>
      </c>
      <c r="Q5" s="26"/>
      <c r="R5" s="26"/>
      <c r="S5" s="26"/>
      <c r="T5" s="37">
        <f t="shared" si="2"/>
        <v>0</v>
      </c>
      <c r="U5" s="18" t="str">
        <f t="shared" ref="U5:U11" si="4">IF(T5&lt;0,"ATENÇÃO","OK")</f>
        <v>OK</v>
      </c>
      <c r="V5" s="16">
        <v>40</v>
      </c>
      <c r="W5" s="17"/>
      <c r="X5" s="17"/>
      <c r="Y5" s="17"/>
      <c r="Z5" s="17"/>
      <c r="AA5" s="17"/>
      <c r="AB5" s="17"/>
      <c r="AC5" s="16"/>
      <c r="AD5" s="16"/>
      <c r="AE5" s="16"/>
      <c r="AF5" s="16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</row>
    <row r="6" spans="1:53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5"/>
      <c r="L6" s="77">
        <v>0</v>
      </c>
      <c r="M6" s="25">
        <f t="shared" si="0"/>
        <v>0</v>
      </c>
      <c r="N6" s="25">
        <f t="shared" si="1"/>
        <v>0</v>
      </c>
      <c r="O6" s="26"/>
      <c r="P6" s="27">
        <f t="shared" si="3"/>
        <v>0</v>
      </c>
      <c r="Q6" s="26"/>
      <c r="R6" s="26"/>
      <c r="S6" s="26"/>
      <c r="T6" s="37">
        <f t="shared" si="2"/>
        <v>0</v>
      </c>
      <c r="U6" s="18" t="str">
        <f t="shared" si="4"/>
        <v>OK</v>
      </c>
      <c r="V6" s="16"/>
      <c r="W6" s="16"/>
      <c r="X6" s="17"/>
      <c r="Y6" s="17"/>
      <c r="Z6" s="17"/>
      <c r="AA6" s="17"/>
      <c r="AB6" s="17"/>
      <c r="AC6" s="16"/>
      <c r="AD6" s="16"/>
      <c r="AE6" s="16"/>
      <c r="AF6" s="16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</row>
    <row r="7" spans="1:53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137">
        <f>J7*W7</f>
        <v>917</v>
      </c>
      <c r="L7" s="77">
        <v>100</v>
      </c>
      <c r="M7" s="25">
        <f t="shared" si="0"/>
        <v>100</v>
      </c>
      <c r="N7" s="25">
        <f t="shared" si="1"/>
        <v>100</v>
      </c>
      <c r="O7" s="26"/>
      <c r="P7" s="27">
        <f t="shared" si="3"/>
        <v>25</v>
      </c>
      <c r="Q7" s="26"/>
      <c r="R7" s="26"/>
      <c r="S7" s="26"/>
      <c r="T7" s="37">
        <f t="shared" si="2"/>
        <v>0</v>
      </c>
      <c r="U7" s="18" t="str">
        <f t="shared" si="4"/>
        <v>OK</v>
      </c>
      <c r="V7" s="16"/>
      <c r="W7" s="16">
        <v>100</v>
      </c>
      <c r="X7" s="17"/>
      <c r="Y7" s="17"/>
      <c r="Z7" s="17"/>
      <c r="AA7" s="17"/>
      <c r="AB7" s="17"/>
      <c r="AC7" s="16"/>
      <c r="AD7" s="16"/>
      <c r="AE7" s="16"/>
      <c r="AF7" s="16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71" t="s">
        <v>3</v>
      </c>
      <c r="H8" s="72" t="s">
        <v>114</v>
      </c>
      <c r="I8" s="74" t="s">
        <v>49</v>
      </c>
      <c r="J8" s="75">
        <v>2.2999999999999998</v>
      </c>
      <c r="K8" s="137">
        <f t="shared" ref="K8:K10" si="5">J8*W8</f>
        <v>229.99999999999997</v>
      </c>
      <c r="L8" s="77">
        <v>100</v>
      </c>
      <c r="M8" s="25">
        <f t="shared" si="0"/>
        <v>100</v>
      </c>
      <c r="N8" s="25">
        <f t="shared" si="1"/>
        <v>100</v>
      </c>
      <c r="O8" s="26"/>
      <c r="P8" s="27">
        <f t="shared" si="3"/>
        <v>25</v>
      </c>
      <c r="Q8" s="26"/>
      <c r="R8" s="26"/>
      <c r="S8" s="26"/>
      <c r="T8" s="37">
        <f t="shared" si="2"/>
        <v>0</v>
      </c>
      <c r="U8" s="18" t="str">
        <f t="shared" si="4"/>
        <v>OK</v>
      </c>
      <c r="V8" s="16"/>
      <c r="W8" s="16">
        <v>100</v>
      </c>
      <c r="X8" s="17"/>
      <c r="Y8" s="17"/>
      <c r="Z8" s="17"/>
      <c r="AA8" s="17"/>
      <c r="AB8" s="17"/>
      <c r="AC8" s="16"/>
      <c r="AD8" s="16"/>
      <c r="AE8" s="16"/>
      <c r="AF8" s="16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</row>
    <row r="9" spans="1:53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71" t="s">
        <v>57</v>
      </c>
      <c r="H9" s="72" t="s">
        <v>115</v>
      </c>
      <c r="I9" s="74" t="s">
        <v>49</v>
      </c>
      <c r="J9" s="75">
        <v>0.57999999999999996</v>
      </c>
      <c r="K9" s="137">
        <f t="shared" si="5"/>
        <v>28.999999999999996</v>
      </c>
      <c r="L9" s="77">
        <v>50</v>
      </c>
      <c r="M9" s="25">
        <f t="shared" si="0"/>
        <v>50</v>
      </c>
      <c r="N9" s="25">
        <f t="shared" si="1"/>
        <v>50</v>
      </c>
      <c r="O9" s="26"/>
      <c r="P9" s="27">
        <f t="shared" si="3"/>
        <v>12</v>
      </c>
      <c r="Q9" s="26"/>
      <c r="R9" s="26"/>
      <c r="S9" s="26"/>
      <c r="T9" s="37">
        <f t="shared" si="2"/>
        <v>0</v>
      </c>
      <c r="U9" s="18" t="str">
        <f t="shared" si="4"/>
        <v>OK</v>
      </c>
      <c r="V9" s="16"/>
      <c r="W9" s="16">
        <v>50</v>
      </c>
      <c r="X9" s="17"/>
      <c r="Y9" s="17"/>
      <c r="Z9" s="17"/>
      <c r="AA9" s="17"/>
      <c r="AB9" s="17"/>
      <c r="AC9" s="16"/>
      <c r="AD9" s="16"/>
      <c r="AE9" s="16"/>
      <c r="AF9" s="16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</row>
    <row r="10" spans="1:53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71" t="s">
        <v>3</v>
      </c>
      <c r="H10" s="72" t="s">
        <v>116</v>
      </c>
      <c r="I10" s="74" t="s">
        <v>49</v>
      </c>
      <c r="J10" s="75">
        <v>4.1900000000000004</v>
      </c>
      <c r="K10" s="137">
        <f t="shared" si="5"/>
        <v>83.800000000000011</v>
      </c>
      <c r="L10" s="77">
        <v>20</v>
      </c>
      <c r="M10" s="25">
        <f t="shared" si="0"/>
        <v>20</v>
      </c>
      <c r="N10" s="25">
        <f t="shared" si="1"/>
        <v>20</v>
      </c>
      <c r="O10" s="26"/>
      <c r="P10" s="27">
        <f t="shared" si="3"/>
        <v>5</v>
      </c>
      <c r="Q10" s="26"/>
      <c r="R10" s="26"/>
      <c r="S10" s="26"/>
      <c r="T10" s="37">
        <f t="shared" si="2"/>
        <v>0</v>
      </c>
      <c r="U10" s="18" t="str">
        <f t="shared" si="4"/>
        <v>OK</v>
      </c>
      <c r="V10" s="16"/>
      <c r="W10" s="16">
        <v>20</v>
      </c>
      <c r="X10" s="17"/>
      <c r="Y10" s="17"/>
      <c r="Z10" s="17"/>
      <c r="AA10" s="17"/>
      <c r="AB10" s="17"/>
      <c r="AC10" s="16"/>
      <c r="AD10" s="16"/>
      <c r="AE10" s="16"/>
      <c r="AF10" s="16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</row>
    <row r="11" spans="1:53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3" t="s">
        <v>3</v>
      </c>
      <c r="H11" s="72" t="s">
        <v>117</v>
      </c>
      <c r="I11" s="74" t="s">
        <v>49</v>
      </c>
      <c r="J11" s="75">
        <v>7.58</v>
      </c>
      <c r="K11" s="75"/>
      <c r="L11" s="77">
        <v>0</v>
      </c>
      <c r="M11" s="25">
        <f t="shared" si="0"/>
        <v>0</v>
      </c>
      <c r="N11" s="25">
        <f t="shared" si="1"/>
        <v>0</v>
      </c>
      <c r="O11" s="26"/>
      <c r="P11" s="27">
        <f t="shared" si="3"/>
        <v>0</v>
      </c>
      <c r="Q11" s="26"/>
      <c r="R11" s="26"/>
      <c r="S11" s="26"/>
      <c r="T11" s="37">
        <f t="shared" si="2"/>
        <v>0</v>
      </c>
      <c r="U11" s="18" t="str">
        <f t="shared" si="4"/>
        <v>OK</v>
      </c>
      <c r="V11" s="16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</row>
    <row r="12" spans="1:53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71" t="s">
        <v>57</v>
      </c>
      <c r="H12" s="73" t="s">
        <v>118</v>
      </c>
      <c r="I12" s="74" t="s">
        <v>49</v>
      </c>
      <c r="J12" s="75">
        <v>82.56</v>
      </c>
      <c r="K12" s="137">
        <f>J12*W12</f>
        <v>825.6</v>
      </c>
      <c r="L12" s="77">
        <v>10</v>
      </c>
      <c r="M12" s="25">
        <f t="shared" ref="M12" si="6">IF(SUM(V12:BA12)&gt;L12+O12,L12+O12,SUM(V12:BA12))</f>
        <v>10</v>
      </c>
      <c r="N12" s="25">
        <f t="shared" ref="N12" si="7">(SUM(V12:BA12))</f>
        <v>10</v>
      </c>
      <c r="O12" s="26"/>
      <c r="P12" s="27">
        <f t="shared" si="3"/>
        <v>2</v>
      </c>
      <c r="Q12" s="26"/>
      <c r="R12" s="26"/>
      <c r="S12" s="26"/>
      <c r="T12" s="37">
        <f t="shared" ref="T12" si="8">L12-SUM(V12:BA12)+O12</f>
        <v>0</v>
      </c>
      <c r="U12" s="18" t="str">
        <f t="shared" ref="U12" si="9">IF(T12&lt;0,"ATENÇÃO","OK")</f>
        <v>OK</v>
      </c>
      <c r="V12" s="16"/>
      <c r="W12" s="16">
        <v>10</v>
      </c>
      <c r="X12" s="17"/>
      <c r="Y12" s="17"/>
      <c r="Z12" s="17"/>
      <c r="AA12" s="17"/>
      <c r="AB12" s="17"/>
      <c r="AC12" s="16"/>
      <c r="AD12" s="16"/>
      <c r="AE12" s="16"/>
      <c r="AF12" s="16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</row>
    <row r="13" spans="1:53" ht="16.5" customHeight="1" x14ac:dyDescent="0.25">
      <c r="L13" s="50">
        <f t="shared" ref="L13:T13" si="10">SUM(L4:L12)</f>
        <v>320</v>
      </c>
      <c r="M13" s="50">
        <f t="shared" si="10"/>
        <v>320</v>
      </c>
      <c r="N13" s="50">
        <f t="shared" si="10"/>
        <v>320</v>
      </c>
      <c r="O13" s="50">
        <f t="shared" si="10"/>
        <v>0</v>
      </c>
      <c r="P13" s="50">
        <f t="shared" si="10"/>
        <v>79</v>
      </c>
      <c r="Q13" s="50">
        <f t="shared" si="10"/>
        <v>0</v>
      </c>
      <c r="R13" s="50">
        <f t="shared" si="10"/>
        <v>0</v>
      </c>
      <c r="S13" s="50">
        <f t="shared" si="10"/>
        <v>0</v>
      </c>
      <c r="T13" s="51">
        <f t="shared" si="10"/>
        <v>0</v>
      </c>
      <c r="V13" s="19">
        <f t="shared" ref="V13:BA13" si="11">SUMPRODUCT($J$4:$J$12,V4:V12)</f>
        <v>594.79999999999995</v>
      </c>
      <c r="W13" s="19">
        <f t="shared" si="11"/>
        <v>2085.4</v>
      </c>
      <c r="X13" s="19">
        <f t="shared" si="11"/>
        <v>0</v>
      </c>
      <c r="Y13" s="19">
        <f t="shared" si="11"/>
        <v>0</v>
      </c>
      <c r="Z13" s="19">
        <f t="shared" si="11"/>
        <v>0</v>
      </c>
      <c r="AA13" s="19">
        <f t="shared" si="11"/>
        <v>0</v>
      </c>
      <c r="AB13" s="19">
        <f t="shared" si="11"/>
        <v>0</v>
      </c>
      <c r="AC13" s="19">
        <f t="shared" si="11"/>
        <v>0</v>
      </c>
      <c r="AD13" s="19">
        <f t="shared" si="11"/>
        <v>0</v>
      </c>
      <c r="AE13" s="19">
        <f t="shared" si="11"/>
        <v>0</v>
      </c>
      <c r="AF13" s="19">
        <f t="shared" si="11"/>
        <v>0</v>
      </c>
      <c r="AG13" s="19">
        <f t="shared" si="11"/>
        <v>0</v>
      </c>
      <c r="AH13" s="19">
        <f t="shared" si="11"/>
        <v>0</v>
      </c>
      <c r="AI13" s="19">
        <f t="shared" si="11"/>
        <v>0</v>
      </c>
      <c r="AJ13" s="19">
        <f t="shared" si="11"/>
        <v>0</v>
      </c>
      <c r="AK13" s="19">
        <f t="shared" si="11"/>
        <v>0</v>
      </c>
      <c r="AL13" s="19">
        <f t="shared" si="11"/>
        <v>0</v>
      </c>
      <c r="AM13" s="19">
        <f t="shared" si="11"/>
        <v>0</v>
      </c>
      <c r="AN13" s="19">
        <f t="shared" si="11"/>
        <v>0</v>
      </c>
      <c r="AO13" s="19">
        <f t="shared" si="11"/>
        <v>0</v>
      </c>
      <c r="AP13" s="19">
        <f t="shared" si="11"/>
        <v>0</v>
      </c>
      <c r="AQ13" s="19">
        <f t="shared" si="11"/>
        <v>0</v>
      </c>
      <c r="AR13" s="19">
        <f t="shared" si="11"/>
        <v>0</v>
      </c>
      <c r="AS13" s="19">
        <f t="shared" si="11"/>
        <v>0</v>
      </c>
      <c r="AT13" s="19">
        <f t="shared" si="11"/>
        <v>0</v>
      </c>
      <c r="AU13" s="19">
        <f t="shared" si="11"/>
        <v>0</v>
      </c>
      <c r="AV13" s="19">
        <f t="shared" si="11"/>
        <v>0</v>
      </c>
      <c r="AW13" s="19">
        <f t="shared" si="11"/>
        <v>0</v>
      </c>
      <c r="AX13" s="19">
        <f t="shared" si="11"/>
        <v>0</v>
      </c>
      <c r="AY13" s="19">
        <f t="shared" si="11"/>
        <v>0</v>
      </c>
      <c r="AZ13" s="19">
        <f t="shared" si="11"/>
        <v>0</v>
      </c>
      <c r="BA13" s="19">
        <f t="shared" si="11"/>
        <v>0</v>
      </c>
    </row>
    <row r="14" spans="1:53" s="36" customFormat="1" ht="20.25" customHeight="1" x14ac:dyDescent="0.25">
      <c r="A14" s="1"/>
      <c r="B14" s="1"/>
      <c r="C14" s="1"/>
      <c r="D14" s="3"/>
      <c r="E14" s="1"/>
      <c r="F14" s="1"/>
      <c r="G14" s="1"/>
      <c r="H14" s="1"/>
      <c r="I14" s="1"/>
      <c r="J14" s="87"/>
      <c r="K14" s="87"/>
      <c r="L14" s="56">
        <f t="shared" ref="L14:S14" si="12">SUMPRODUCT($J$4:$J$12,L4:L12)</f>
        <v>2680.2</v>
      </c>
      <c r="M14" s="56">
        <f t="shared" si="12"/>
        <v>2680.2</v>
      </c>
      <c r="N14" s="56">
        <f t="shared" si="12"/>
        <v>2680.2</v>
      </c>
      <c r="O14" s="56">
        <f t="shared" si="12"/>
        <v>0</v>
      </c>
      <c r="P14" s="56">
        <f t="shared" si="12"/>
        <v>628.48</v>
      </c>
      <c r="Q14" s="56">
        <f t="shared" si="12"/>
        <v>0</v>
      </c>
      <c r="R14" s="56">
        <f t="shared" si="12"/>
        <v>0</v>
      </c>
      <c r="S14" s="56">
        <f t="shared" si="12"/>
        <v>0</v>
      </c>
      <c r="T14" s="11"/>
      <c r="U14" s="5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s="36" customFormat="1" ht="20.25" customHeight="1" thickBot="1" x14ac:dyDescent="0.3">
      <c r="A15" s="1"/>
      <c r="B15" s="1"/>
      <c r="C15" s="1"/>
      <c r="D15" s="3"/>
      <c r="E15" s="1"/>
      <c r="F15" s="1"/>
      <c r="G15" s="1"/>
      <c r="H15" s="1"/>
      <c r="I15" s="1"/>
      <c r="J15" s="87"/>
      <c r="K15" s="87"/>
      <c r="L15" s="56"/>
      <c r="M15" s="4"/>
      <c r="N15" s="4"/>
      <c r="O15" s="30"/>
      <c r="P15" s="30"/>
      <c r="Q15" s="30"/>
      <c r="R15" s="30"/>
      <c r="S15" s="30"/>
      <c r="T15" s="11"/>
      <c r="U15" s="5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ht="17.25" customHeight="1" x14ac:dyDescent="0.25">
      <c r="A16" s="2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1"/>
      <c r="M16" s="30"/>
      <c r="N16" s="30"/>
      <c r="O16" s="30"/>
      <c r="P16" s="30"/>
      <c r="Q16" s="30"/>
      <c r="R16" s="30"/>
      <c r="S16" s="30"/>
      <c r="W16" s="23"/>
      <c r="X16" s="23"/>
      <c r="Y16" s="23"/>
    </row>
    <row r="17" spans="1:25" ht="16.5" customHeight="1" x14ac:dyDescent="0.25">
      <c r="A17" s="2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4"/>
      <c r="S17" s="24"/>
      <c r="W17" s="23"/>
      <c r="X17" s="23"/>
      <c r="Y17" s="23"/>
    </row>
    <row r="18" spans="1:25" ht="15.75" customHeight="1" thickBot="1" x14ac:dyDescent="0.3">
      <c r="A18" s="2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7"/>
      <c r="S18" s="24"/>
      <c r="W18" s="23"/>
      <c r="X18" s="23"/>
      <c r="Y18" s="23"/>
    </row>
  </sheetData>
  <autoFilter ref="A3:BA14" xr:uid="{00000000-0001-0000-0000-000000000000}"/>
  <customSheetViews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2">
    <mergeCell ref="B16:L16"/>
    <mergeCell ref="B17:L17"/>
    <mergeCell ref="B18:L18"/>
    <mergeCell ref="L1:U1"/>
    <mergeCell ref="A1:C1"/>
    <mergeCell ref="D1:J1"/>
    <mergeCell ref="A2:J2"/>
    <mergeCell ref="L2:U2"/>
    <mergeCell ref="A4:A6"/>
    <mergeCell ref="B4:B6"/>
    <mergeCell ref="A7:A12"/>
    <mergeCell ref="B7:B12"/>
  </mergeCells>
  <conditionalFormatting sqref="U1 U3:U1048576">
    <cfRule type="cellIs" dxfId="145" priority="33" operator="equal">
      <formula>"ATENÇÃO"</formula>
    </cfRule>
  </conditionalFormatting>
  <conditionalFormatting sqref="V4:BA12">
    <cfRule type="cellIs" dxfId="144" priority="29" operator="greaterThan">
      <formula>0</formula>
    </cfRule>
  </conditionalFormatting>
  <conditionalFormatting sqref="T4:T12">
    <cfRule type="cellIs" dxfId="143" priority="28" operator="lessThan">
      <formula>0</formula>
    </cfRule>
  </conditionalFormatting>
  <conditionalFormatting sqref="U4:U12">
    <cfRule type="containsText" dxfId="142" priority="27" operator="containsText" text="ATENÇÃO">
      <formula>NOT(ISERROR(SEARCH("ATENÇÃO",U4)))</formula>
    </cfRule>
  </conditionalFormatting>
  <conditionalFormatting sqref="D12">
    <cfRule type="duplicateValues" dxfId="141" priority="14"/>
  </conditionalFormatting>
  <conditionalFormatting sqref="D8">
    <cfRule type="duplicateValues" dxfId="140" priority="43"/>
  </conditionalFormatting>
  <conditionalFormatting sqref="D10:D11">
    <cfRule type="duplicateValues" dxfId="139" priority="44"/>
  </conditionalFormatting>
  <conditionalFormatting sqref="D9">
    <cfRule type="duplicateValues" dxfId="138" priority="45"/>
  </conditionalFormatting>
  <conditionalFormatting sqref="D4:D7">
    <cfRule type="duplicateValues" dxfId="137" priority="46"/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5" max="1048575" man="1"/>
  </colBreaks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A4BB-53CC-4307-A798-18ABA289EFA8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I21" sqref="I21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40.710937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24" t="s">
        <v>78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129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25" t="s">
        <v>81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62" t="s">
        <v>47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6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70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17</v>
      </c>
      <c r="P5" s="26"/>
      <c r="Q5" s="26"/>
      <c r="R5" s="26"/>
      <c r="S5" s="37">
        <f t="shared" si="2"/>
        <v>70</v>
      </c>
      <c r="T5" s="18" t="str">
        <f t="shared" ref="T5:T12" si="4">IF(S5&lt;0,"ATENÇÃO","OK")</f>
        <v>OK</v>
      </c>
      <c r="U5" s="16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6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60</v>
      </c>
      <c r="L7" s="25">
        <f t="shared" si="0"/>
        <v>0</v>
      </c>
      <c r="M7" s="25">
        <f t="shared" si="1"/>
        <v>0</v>
      </c>
      <c r="N7" s="26"/>
      <c r="O7" s="27">
        <f t="shared" si="3"/>
        <v>15</v>
      </c>
      <c r="P7" s="26"/>
      <c r="Q7" s="26"/>
      <c r="R7" s="26"/>
      <c r="S7" s="37">
        <f t="shared" si="2"/>
        <v>60</v>
      </c>
      <c r="T7" s="18" t="str">
        <f t="shared" si="4"/>
        <v>OK</v>
      </c>
      <c r="U7" s="16"/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50</v>
      </c>
      <c r="L8" s="25">
        <f t="shared" si="0"/>
        <v>0</v>
      </c>
      <c r="M8" s="25">
        <f t="shared" si="1"/>
        <v>0</v>
      </c>
      <c r="N8" s="26"/>
      <c r="O8" s="27">
        <f t="shared" si="3"/>
        <v>12</v>
      </c>
      <c r="P8" s="26"/>
      <c r="Q8" s="26"/>
      <c r="R8" s="26"/>
      <c r="S8" s="37">
        <f t="shared" si="2"/>
        <v>50</v>
      </c>
      <c r="T8" s="18" t="str">
        <f t="shared" si="4"/>
        <v>OK</v>
      </c>
      <c r="U8" s="16"/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30</v>
      </c>
      <c r="L9" s="25">
        <f t="shared" si="0"/>
        <v>0</v>
      </c>
      <c r="M9" s="25">
        <f t="shared" si="1"/>
        <v>0</v>
      </c>
      <c r="N9" s="26"/>
      <c r="O9" s="27">
        <f t="shared" si="3"/>
        <v>7</v>
      </c>
      <c r="P9" s="26"/>
      <c r="Q9" s="26"/>
      <c r="R9" s="26"/>
      <c r="S9" s="37">
        <f t="shared" si="2"/>
        <v>30</v>
      </c>
      <c r="T9" s="18" t="str">
        <f t="shared" si="4"/>
        <v>OK</v>
      </c>
      <c r="U9" s="16"/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15</v>
      </c>
      <c r="L10" s="25">
        <f t="shared" si="0"/>
        <v>0</v>
      </c>
      <c r="M10" s="25">
        <f t="shared" si="1"/>
        <v>0</v>
      </c>
      <c r="N10" s="26"/>
      <c r="O10" s="27">
        <f t="shared" si="3"/>
        <v>3</v>
      </c>
      <c r="P10" s="26"/>
      <c r="Q10" s="26"/>
      <c r="R10" s="26"/>
      <c r="S10" s="37">
        <f t="shared" si="2"/>
        <v>15</v>
      </c>
      <c r="T10" s="18" t="str">
        <f t="shared" si="4"/>
        <v>OK</v>
      </c>
      <c r="U10" s="16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6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5</v>
      </c>
      <c r="L12" s="25">
        <f t="shared" ref="L12" si="5">IF(SUM(U12:AZ12)&gt;K12+N12,K12+N12,SUM(U12:AZ12))</f>
        <v>0</v>
      </c>
      <c r="M12" s="25">
        <f t="shared" ref="M12" si="6">(SUM(U12:AZ12))</f>
        <v>0</v>
      </c>
      <c r="N12" s="26"/>
      <c r="O12" s="27">
        <f t="shared" si="3"/>
        <v>1</v>
      </c>
      <c r="P12" s="26"/>
      <c r="Q12" s="26"/>
      <c r="R12" s="26"/>
      <c r="S12" s="37">
        <f t="shared" ref="S12" si="7">K12-SUM(U12:AZ12)+N12</f>
        <v>5</v>
      </c>
      <c r="T12" s="18" t="str">
        <f t="shared" si="4"/>
        <v>OK</v>
      </c>
      <c r="U12" s="16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230</v>
      </c>
      <c r="L13" s="50">
        <f t="shared" si="8"/>
        <v>0</v>
      </c>
      <c r="M13" s="50">
        <f t="shared" si="8"/>
        <v>0</v>
      </c>
      <c r="N13" s="50">
        <f t="shared" si="8"/>
        <v>0</v>
      </c>
      <c r="O13" s="50">
        <f t="shared" si="8"/>
        <v>55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230</v>
      </c>
      <c r="U13" s="19">
        <f t="shared" ref="U13:AZ13" si="9">SUMPRODUCT($J$4:$J$12,U4:U12)</f>
        <v>0</v>
      </c>
      <c r="V13" s="19">
        <f t="shared" si="9"/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2199.15</v>
      </c>
      <c r="L14" s="56">
        <f t="shared" si="10"/>
        <v>0</v>
      </c>
      <c r="M14" s="56">
        <f t="shared" si="10"/>
        <v>0</v>
      </c>
      <c r="N14" s="56">
        <f t="shared" si="10"/>
        <v>0</v>
      </c>
      <c r="O14" s="56">
        <f t="shared" si="10"/>
        <v>517.13000000000011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56" priority="6" operator="equal">
      <formula>"ATENÇÃO"</formula>
    </cfRule>
  </conditionalFormatting>
  <conditionalFormatting sqref="U4:AZ12">
    <cfRule type="cellIs" dxfId="55" priority="5" operator="greaterThan">
      <formula>0</formula>
    </cfRule>
  </conditionalFormatting>
  <conditionalFormatting sqref="S4:S12">
    <cfRule type="cellIs" dxfId="54" priority="4" operator="lessThan">
      <formula>0</formula>
    </cfRule>
  </conditionalFormatting>
  <conditionalFormatting sqref="T4:T12">
    <cfRule type="containsText" dxfId="53" priority="3" operator="containsText" text="ATENÇÃO">
      <formula>NOT(ISERROR(SEARCH("ATENÇÃO",T4)))</formula>
    </cfRule>
  </conditionalFormatting>
  <conditionalFormatting sqref="D12">
    <cfRule type="duplicateValues" dxfId="52" priority="2"/>
  </conditionalFormatting>
  <conditionalFormatting sqref="D8">
    <cfRule type="duplicateValues" dxfId="51" priority="7"/>
  </conditionalFormatting>
  <conditionalFormatting sqref="D10:D11">
    <cfRule type="duplicateValues" dxfId="50" priority="8"/>
  </conditionalFormatting>
  <conditionalFormatting sqref="D9">
    <cfRule type="duplicateValues" dxfId="49" priority="9"/>
  </conditionalFormatting>
  <conditionalFormatting sqref="D4:D7">
    <cfRule type="duplicateValues" dxfId="48" priority="10"/>
  </conditionalFormatting>
  <conditionalFormatting sqref="T1">
    <cfRule type="cellIs" dxfId="4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EF9B-4524-43E6-AFAC-96268E160F82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I22" sqref="I22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40.710937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24" t="s">
        <v>78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130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25" t="s">
        <v>81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62" t="s">
        <v>47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12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3</v>
      </c>
      <c r="P4" s="26"/>
      <c r="Q4" s="26"/>
      <c r="R4" s="26"/>
      <c r="S4" s="37">
        <f t="shared" ref="S4:S11" si="2">K4-SUM(U4:AZ4)+N4</f>
        <v>12</v>
      </c>
      <c r="T4" s="18" t="str">
        <f>IF(S4&lt;0,"ATENÇÃO","OK")</f>
        <v>OK</v>
      </c>
      <c r="U4" s="16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36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9</v>
      </c>
      <c r="P5" s="26"/>
      <c r="Q5" s="26"/>
      <c r="R5" s="26"/>
      <c r="S5" s="37">
        <f t="shared" si="2"/>
        <v>36</v>
      </c>
      <c r="T5" s="18" t="str">
        <f t="shared" ref="T5:T12" si="4">IF(S5&lt;0,"ATENÇÃO","OK")</f>
        <v>OK</v>
      </c>
      <c r="U5" s="16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40</v>
      </c>
      <c r="L6" s="25">
        <f t="shared" si="0"/>
        <v>0</v>
      </c>
      <c r="M6" s="25">
        <f t="shared" si="1"/>
        <v>0</v>
      </c>
      <c r="N6" s="26"/>
      <c r="O6" s="27">
        <f t="shared" si="3"/>
        <v>10</v>
      </c>
      <c r="P6" s="26"/>
      <c r="Q6" s="26"/>
      <c r="R6" s="26"/>
      <c r="S6" s="37">
        <f t="shared" si="2"/>
        <v>40</v>
      </c>
      <c r="T6" s="18" t="str">
        <f t="shared" si="4"/>
        <v>OK</v>
      </c>
      <c r="U6" s="16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52</v>
      </c>
      <c r="L7" s="25">
        <f t="shared" si="0"/>
        <v>0</v>
      </c>
      <c r="M7" s="25">
        <f t="shared" si="1"/>
        <v>0</v>
      </c>
      <c r="N7" s="26"/>
      <c r="O7" s="27">
        <f t="shared" si="3"/>
        <v>13</v>
      </c>
      <c r="P7" s="26"/>
      <c r="Q7" s="26"/>
      <c r="R7" s="26"/>
      <c r="S7" s="37">
        <f t="shared" si="2"/>
        <v>52</v>
      </c>
      <c r="T7" s="18" t="str">
        <f t="shared" si="4"/>
        <v>OK</v>
      </c>
      <c r="U7" s="16"/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82</v>
      </c>
      <c r="L8" s="25">
        <f t="shared" si="0"/>
        <v>0</v>
      </c>
      <c r="M8" s="25">
        <f t="shared" si="1"/>
        <v>0</v>
      </c>
      <c r="N8" s="26"/>
      <c r="O8" s="27">
        <f t="shared" si="3"/>
        <v>20</v>
      </c>
      <c r="P8" s="26"/>
      <c r="Q8" s="26"/>
      <c r="R8" s="26"/>
      <c r="S8" s="37">
        <f t="shared" si="2"/>
        <v>82</v>
      </c>
      <c r="T8" s="18" t="str">
        <f t="shared" si="4"/>
        <v>OK</v>
      </c>
      <c r="U8" s="16"/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95</v>
      </c>
      <c r="L9" s="25">
        <f t="shared" si="0"/>
        <v>0</v>
      </c>
      <c r="M9" s="25">
        <f t="shared" si="1"/>
        <v>0</v>
      </c>
      <c r="N9" s="26"/>
      <c r="O9" s="27">
        <f t="shared" si="3"/>
        <v>23</v>
      </c>
      <c r="P9" s="26"/>
      <c r="Q9" s="26"/>
      <c r="R9" s="26"/>
      <c r="S9" s="37">
        <f t="shared" si="2"/>
        <v>95</v>
      </c>
      <c r="T9" s="18" t="str">
        <f t="shared" si="4"/>
        <v>OK</v>
      </c>
      <c r="U9" s="16"/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12</v>
      </c>
      <c r="L10" s="25">
        <f t="shared" si="0"/>
        <v>0</v>
      </c>
      <c r="M10" s="25">
        <f t="shared" si="1"/>
        <v>0</v>
      </c>
      <c r="N10" s="26"/>
      <c r="O10" s="27">
        <f t="shared" si="3"/>
        <v>3</v>
      </c>
      <c r="P10" s="26"/>
      <c r="Q10" s="26"/>
      <c r="R10" s="26"/>
      <c r="S10" s="37">
        <f t="shared" si="2"/>
        <v>12</v>
      </c>
      <c r="T10" s="18" t="str">
        <f t="shared" si="4"/>
        <v>OK</v>
      </c>
      <c r="U10" s="16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3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3</v>
      </c>
      <c r="T11" s="18" t="str">
        <f t="shared" si="4"/>
        <v>OK</v>
      </c>
      <c r="U11" s="16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14</v>
      </c>
      <c r="L12" s="25">
        <f t="shared" ref="L12" si="5">IF(SUM(U12:AZ12)&gt;K12+N12,K12+N12,SUM(U12:AZ12))</f>
        <v>0</v>
      </c>
      <c r="M12" s="25">
        <f t="shared" ref="M12" si="6">(SUM(U12:AZ12))</f>
        <v>0</v>
      </c>
      <c r="N12" s="26"/>
      <c r="O12" s="27">
        <f t="shared" si="3"/>
        <v>3</v>
      </c>
      <c r="P12" s="26"/>
      <c r="Q12" s="26"/>
      <c r="R12" s="26"/>
      <c r="S12" s="37">
        <f t="shared" ref="S12" si="7">K12-SUM(U12:AZ12)+N12</f>
        <v>14</v>
      </c>
      <c r="T12" s="18" t="str">
        <f t="shared" si="4"/>
        <v>OK</v>
      </c>
      <c r="U12" s="16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346</v>
      </c>
      <c r="L13" s="50">
        <f t="shared" si="8"/>
        <v>0</v>
      </c>
      <c r="M13" s="50">
        <f t="shared" si="8"/>
        <v>0</v>
      </c>
      <c r="N13" s="50">
        <f t="shared" si="8"/>
        <v>0</v>
      </c>
      <c r="O13" s="50">
        <f t="shared" si="8"/>
        <v>84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346</v>
      </c>
      <c r="U13" s="19">
        <f t="shared" ref="U13:AZ13" si="9">SUMPRODUCT($J$4:$J$12,U4:U12)</f>
        <v>0</v>
      </c>
      <c r="V13" s="19">
        <f t="shared" si="9"/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3096.72</v>
      </c>
      <c r="L14" s="56">
        <f t="shared" si="10"/>
        <v>0</v>
      </c>
      <c r="M14" s="56">
        <f t="shared" si="10"/>
        <v>0</v>
      </c>
      <c r="N14" s="56">
        <f t="shared" si="10"/>
        <v>0</v>
      </c>
      <c r="O14" s="56">
        <f t="shared" si="10"/>
        <v>725.62999999999988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46" priority="6" operator="equal">
      <formula>"ATENÇÃO"</formula>
    </cfRule>
  </conditionalFormatting>
  <conditionalFormatting sqref="U4:AZ12">
    <cfRule type="cellIs" dxfId="45" priority="5" operator="greaterThan">
      <formula>0</formula>
    </cfRule>
  </conditionalFormatting>
  <conditionalFormatting sqref="S4:S12">
    <cfRule type="cellIs" dxfId="44" priority="4" operator="lessThan">
      <formula>0</formula>
    </cfRule>
  </conditionalFormatting>
  <conditionalFormatting sqref="T4:T12">
    <cfRule type="containsText" dxfId="43" priority="3" operator="containsText" text="ATENÇÃO">
      <formula>NOT(ISERROR(SEARCH("ATENÇÃO",T4)))</formula>
    </cfRule>
  </conditionalFormatting>
  <conditionalFormatting sqref="D12">
    <cfRule type="duplicateValues" dxfId="42" priority="2"/>
  </conditionalFormatting>
  <conditionalFormatting sqref="D8">
    <cfRule type="duplicateValues" dxfId="41" priority="7"/>
  </conditionalFormatting>
  <conditionalFormatting sqref="D10:D11">
    <cfRule type="duplicateValues" dxfId="40" priority="8"/>
  </conditionalFormatting>
  <conditionalFormatting sqref="D9">
    <cfRule type="duplicateValues" dxfId="39" priority="9"/>
  </conditionalFormatting>
  <conditionalFormatting sqref="D4:D7">
    <cfRule type="duplicateValues" dxfId="38" priority="10"/>
  </conditionalFormatting>
  <conditionalFormatting sqref="T1">
    <cfRule type="cellIs" dxfId="3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13F38-A6E3-4339-9804-9D30F9A62C83}">
  <sheetPr>
    <tabColor rgb="FF92D050"/>
  </sheetPr>
  <dimension ref="A1:AZ18"/>
  <sheetViews>
    <sheetView zoomScaleNormal="100" workbookViewId="0">
      <pane xSplit="20" topLeftCell="U1" activePane="topRight" state="frozen"/>
      <selection pane="topRight" activeCell="U14" sqref="U14"/>
    </sheetView>
  </sheetViews>
  <sheetFormatPr defaultColWidth="11.85546875" defaultRowHeight="24.75" customHeight="1" x14ac:dyDescent="0.25"/>
  <cols>
    <col min="1" max="1" width="10.42578125" style="1" customWidth="1"/>
    <col min="2" max="2" width="7.140625" style="1" customWidth="1"/>
    <col min="3" max="3" width="6.5703125" style="1" customWidth="1"/>
    <col min="4" max="4" width="16.28515625" style="3" customWidth="1"/>
    <col min="5" max="5" width="9.28515625" style="1" customWidth="1"/>
    <col min="6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154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131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81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45946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2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48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12</v>
      </c>
      <c r="P5" s="26"/>
      <c r="Q5" s="26"/>
      <c r="R5" s="26"/>
      <c r="S5" s="37">
        <f t="shared" si="2"/>
        <v>48</v>
      </c>
      <c r="T5" s="18" t="str">
        <f t="shared" ref="T5:T12" si="4">IF(S5&lt;0,"ATENÇÃO","OK")</f>
        <v>OK</v>
      </c>
      <c r="U5" s="142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60</v>
      </c>
      <c r="L7" s="25">
        <f t="shared" si="0"/>
        <v>30</v>
      </c>
      <c r="M7" s="25">
        <f t="shared" si="1"/>
        <v>30</v>
      </c>
      <c r="N7" s="26"/>
      <c r="O7" s="27">
        <f t="shared" si="3"/>
        <v>15</v>
      </c>
      <c r="P7" s="26"/>
      <c r="Q7" s="26"/>
      <c r="R7" s="26"/>
      <c r="S7" s="37">
        <f t="shared" si="2"/>
        <v>30</v>
      </c>
      <c r="T7" s="18" t="str">
        <f t="shared" si="4"/>
        <v>OK</v>
      </c>
      <c r="U7" s="143">
        <v>30</v>
      </c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108</v>
      </c>
      <c r="L8" s="25">
        <f t="shared" si="0"/>
        <v>54</v>
      </c>
      <c r="M8" s="25">
        <f t="shared" si="1"/>
        <v>54</v>
      </c>
      <c r="N8" s="26"/>
      <c r="O8" s="27">
        <f t="shared" si="3"/>
        <v>27</v>
      </c>
      <c r="P8" s="26"/>
      <c r="Q8" s="26"/>
      <c r="R8" s="26"/>
      <c r="S8" s="37">
        <f t="shared" si="2"/>
        <v>54</v>
      </c>
      <c r="T8" s="18" t="str">
        <f t="shared" si="4"/>
        <v>OK</v>
      </c>
      <c r="U8" s="143">
        <v>54</v>
      </c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12</v>
      </c>
      <c r="L9" s="25">
        <f t="shared" si="0"/>
        <v>12</v>
      </c>
      <c r="M9" s="25">
        <f t="shared" si="1"/>
        <v>12</v>
      </c>
      <c r="N9" s="26"/>
      <c r="O9" s="27">
        <f t="shared" si="3"/>
        <v>3</v>
      </c>
      <c r="P9" s="26"/>
      <c r="Q9" s="26"/>
      <c r="R9" s="26"/>
      <c r="S9" s="37">
        <f t="shared" si="2"/>
        <v>0</v>
      </c>
      <c r="T9" s="18" t="str">
        <f t="shared" si="4"/>
        <v>OK</v>
      </c>
      <c r="U9" s="143">
        <v>12</v>
      </c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18</v>
      </c>
      <c r="L10" s="25">
        <f t="shared" si="0"/>
        <v>18</v>
      </c>
      <c r="M10" s="25">
        <f t="shared" si="1"/>
        <v>18</v>
      </c>
      <c r="N10" s="26"/>
      <c r="O10" s="27">
        <f t="shared" si="3"/>
        <v>4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3">
        <v>18</v>
      </c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6</v>
      </c>
      <c r="L12" s="25">
        <f t="shared" ref="L12" si="5">IF(SUM(U12:AZ12)&gt;K12+N12,K12+N12,SUM(U12:AZ12))</f>
        <v>6</v>
      </c>
      <c r="M12" s="25">
        <f t="shared" ref="M12" si="6">(SUM(U12:AZ12))</f>
        <v>6</v>
      </c>
      <c r="N12" s="26"/>
      <c r="O12" s="27">
        <f t="shared" si="3"/>
        <v>1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43">
        <v>6</v>
      </c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252</v>
      </c>
      <c r="L13" s="50">
        <f t="shared" si="8"/>
        <v>120</v>
      </c>
      <c r="M13" s="50">
        <f t="shared" si="8"/>
        <v>120</v>
      </c>
      <c r="N13" s="50">
        <f t="shared" si="8"/>
        <v>0</v>
      </c>
      <c r="O13" s="50">
        <f t="shared" si="8"/>
        <v>62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132</v>
      </c>
      <c r="U13" s="144">
        <f>SUMPRODUCT($J$4:$J$12,U4:U12)</f>
        <v>977.04</v>
      </c>
      <c r="V13" s="19">
        <f t="shared" ref="V13:AZ13" si="9">SUMPRODUCT($J$4:$J$12,V4:V12)</f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2090.1000000000004</v>
      </c>
      <c r="L14" s="56">
        <f t="shared" si="10"/>
        <v>977.04</v>
      </c>
      <c r="M14" s="56">
        <f t="shared" si="10"/>
        <v>977.04</v>
      </c>
      <c r="N14" s="56">
        <f t="shared" si="10"/>
        <v>0</v>
      </c>
      <c r="O14" s="56">
        <f t="shared" si="10"/>
        <v>479.15000000000003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45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36" priority="6" operator="equal">
      <formula>"ATENÇÃO"</formula>
    </cfRule>
  </conditionalFormatting>
  <conditionalFormatting sqref="V4:AZ12">
    <cfRule type="cellIs" dxfId="35" priority="5" operator="greaterThan">
      <formula>0</formula>
    </cfRule>
  </conditionalFormatting>
  <conditionalFormatting sqref="S4:S12">
    <cfRule type="cellIs" dxfId="34" priority="4" operator="lessThan">
      <formula>0</formula>
    </cfRule>
  </conditionalFormatting>
  <conditionalFormatting sqref="T4:T12">
    <cfRule type="containsText" dxfId="33" priority="3" operator="containsText" text="ATENÇÃO">
      <formula>NOT(ISERROR(SEARCH("ATENÇÃO",T4)))</formula>
    </cfRule>
  </conditionalFormatting>
  <conditionalFormatting sqref="D12">
    <cfRule type="duplicateValues" dxfId="32" priority="2"/>
  </conditionalFormatting>
  <conditionalFormatting sqref="D8">
    <cfRule type="duplicateValues" dxfId="31" priority="7"/>
  </conditionalFormatting>
  <conditionalFormatting sqref="D10:D11">
    <cfRule type="duplicateValues" dxfId="30" priority="8"/>
  </conditionalFormatting>
  <conditionalFormatting sqref="D9">
    <cfRule type="duplicateValues" dxfId="29" priority="9"/>
  </conditionalFormatting>
  <conditionalFormatting sqref="D4:D7">
    <cfRule type="duplicateValues" dxfId="28" priority="10"/>
  </conditionalFormatting>
  <conditionalFormatting sqref="T1">
    <cfRule type="cellIs" dxfId="2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F99F-7402-4263-B9A5-58F0FCD6B9C7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U13" sqref="U13:V13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27.4257812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161</v>
      </c>
      <c r="V1" s="139" t="s">
        <v>162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132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81</v>
      </c>
      <c r="V2" s="140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45947</v>
      </c>
      <c r="V3" s="141">
        <v>46090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2"/>
      <c r="V4" s="146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20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5</v>
      </c>
      <c r="P5" s="26"/>
      <c r="Q5" s="26"/>
      <c r="R5" s="26"/>
      <c r="S5" s="37">
        <f t="shared" si="2"/>
        <v>20</v>
      </c>
      <c r="T5" s="18" t="str">
        <f t="shared" ref="T5:T12" si="4">IF(S5&lt;0,"ATENÇÃO","OK")</f>
        <v>OK</v>
      </c>
      <c r="U5" s="142"/>
      <c r="V5" s="146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42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150</v>
      </c>
      <c r="L7" s="25">
        <f t="shared" si="0"/>
        <v>110</v>
      </c>
      <c r="M7" s="25">
        <f t="shared" si="1"/>
        <v>110</v>
      </c>
      <c r="N7" s="26"/>
      <c r="O7" s="27">
        <f t="shared" si="3"/>
        <v>37</v>
      </c>
      <c r="P7" s="26"/>
      <c r="Q7" s="26"/>
      <c r="R7" s="26"/>
      <c r="S7" s="37">
        <f t="shared" si="2"/>
        <v>40</v>
      </c>
      <c r="T7" s="18" t="str">
        <f t="shared" si="4"/>
        <v>OK</v>
      </c>
      <c r="U7" s="143">
        <v>60</v>
      </c>
      <c r="V7" s="147">
        <v>50</v>
      </c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120</v>
      </c>
      <c r="L8" s="25">
        <f t="shared" si="0"/>
        <v>120</v>
      </c>
      <c r="M8" s="25">
        <f t="shared" si="1"/>
        <v>120</v>
      </c>
      <c r="N8" s="26"/>
      <c r="O8" s="27">
        <f t="shared" si="3"/>
        <v>30</v>
      </c>
      <c r="P8" s="26"/>
      <c r="Q8" s="26"/>
      <c r="R8" s="26"/>
      <c r="S8" s="37">
        <f t="shared" si="2"/>
        <v>0</v>
      </c>
      <c r="T8" s="18" t="str">
        <f t="shared" si="4"/>
        <v>OK</v>
      </c>
      <c r="U8" s="143">
        <v>60</v>
      </c>
      <c r="V8" s="143">
        <v>60</v>
      </c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15</v>
      </c>
      <c r="L9" s="25">
        <f t="shared" si="0"/>
        <v>15</v>
      </c>
      <c r="M9" s="25">
        <f t="shared" si="1"/>
        <v>15</v>
      </c>
      <c r="N9" s="26"/>
      <c r="O9" s="27">
        <f t="shared" si="3"/>
        <v>3</v>
      </c>
      <c r="P9" s="26"/>
      <c r="Q9" s="26"/>
      <c r="R9" s="26"/>
      <c r="S9" s="37">
        <f t="shared" si="2"/>
        <v>0</v>
      </c>
      <c r="T9" s="18" t="str">
        <f t="shared" si="4"/>
        <v>OK</v>
      </c>
      <c r="U9" s="143">
        <v>15</v>
      </c>
      <c r="V9" s="146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0</v>
      </c>
      <c r="L10" s="25">
        <f t="shared" si="0"/>
        <v>0</v>
      </c>
      <c r="M10" s="25">
        <f t="shared" si="1"/>
        <v>0</v>
      </c>
      <c r="N10" s="26"/>
      <c r="O10" s="27">
        <f t="shared" si="3"/>
        <v>0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2"/>
      <c r="V10" s="146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46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0</v>
      </c>
      <c r="L12" s="25">
        <f t="shared" ref="L12" si="5">IF(SUM(U12:AZ12)&gt;K12+N12,K12+N12,SUM(U12:AZ12))</f>
        <v>0</v>
      </c>
      <c r="M12" s="25">
        <f t="shared" ref="M12" si="6">(SUM(U12:AZ12))</f>
        <v>0</v>
      </c>
      <c r="N12" s="26"/>
      <c r="O12" s="27">
        <f t="shared" si="3"/>
        <v>0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42"/>
      <c r="V12" s="146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305</v>
      </c>
      <c r="L13" s="50">
        <f t="shared" si="8"/>
        <v>245</v>
      </c>
      <c r="M13" s="50">
        <f t="shared" si="8"/>
        <v>245</v>
      </c>
      <c r="N13" s="50">
        <f t="shared" si="8"/>
        <v>0</v>
      </c>
      <c r="O13" s="50">
        <f t="shared" si="8"/>
        <v>75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60</v>
      </c>
      <c r="U13" s="144">
        <f>SUMPRODUCT($J$4:$J$12,U4:U12)</f>
        <v>696.90000000000009</v>
      </c>
      <c r="V13" s="144">
        <f>SUMPRODUCT($J$4:$J$12,V4:V12)</f>
        <v>596.5</v>
      </c>
      <c r="W13" s="19">
        <f t="shared" ref="W13:AZ13" si="9">SUMPRODUCT($J$4:$J$12,W4:W12)</f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1957.6000000000001</v>
      </c>
      <c r="L14" s="56">
        <f t="shared" si="10"/>
        <v>1293.4000000000001</v>
      </c>
      <c r="M14" s="56">
        <f t="shared" si="10"/>
        <v>1293.4000000000001</v>
      </c>
      <c r="N14" s="56">
        <f t="shared" si="10"/>
        <v>0</v>
      </c>
      <c r="O14" s="56">
        <f t="shared" si="10"/>
        <v>484.38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44"/>
      <c r="V14" s="144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4"/>
      <c r="V15" s="144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4"/>
      <c r="V16" s="148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148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148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26" priority="6" operator="equal">
      <formula>"ATENÇÃO"</formula>
    </cfRule>
  </conditionalFormatting>
  <conditionalFormatting sqref="W4:AZ12">
    <cfRule type="cellIs" dxfId="25" priority="5" operator="greaterThan">
      <formula>0</formula>
    </cfRule>
  </conditionalFormatting>
  <conditionalFormatting sqref="S4:S12">
    <cfRule type="cellIs" dxfId="24" priority="4" operator="lessThan">
      <formula>0</formula>
    </cfRule>
  </conditionalFormatting>
  <conditionalFormatting sqref="T4:T12">
    <cfRule type="containsText" dxfId="23" priority="3" operator="containsText" text="ATENÇÃO">
      <formula>NOT(ISERROR(SEARCH("ATENÇÃO",T4)))</formula>
    </cfRule>
  </conditionalFormatting>
  <conditionalFormatting sqref="D12">
    <cfRule type="duplicateValues" dxfId="22" priority="2"/>
  </conditionalFormatting>
  <conditionalFormatting sqref="D8">
    <cfRule type="duplicateValues" dxfId="21" priority="7"/>
  </conditionalFormatting>
  <conditionalFormatting sqref="D10:D11">
    <cfRule type="duplicateValues" dxfId="20" priority="8"/>
  </conditionalFormatting>
  <conditionalFormatting sqref="D9">
    <cfRule type="duplicateValues" dxfId="19" priority="9"/>
  </conditionalFormatting>
  <conditionalFormatting sqref="D4:D7">
    <cfRule type="duplicateValues" dxfId="18" priority="10"/>
  </conditionalFormatting>
  <conditionalFormatting sqref="T1">
    <cfRule type="cellIs" dxfId="1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S33"/>
  <sheetViews>
    <sheetView tabSelected="1" topLeftCell="H1" zoomScale="80" zoomScaleNormal="80" workbookViewId="0">
      <pane ySplit="3" topLeftCell="A28" activePane="bottomLeft" state="frozen"/>
      <selection activeCell="H1" sqref="H1"/>
      <selection pane="bottomLeft" activeCell="J34" sqref="J34"/>
    </sheetView>
  </sheetViews>
  <sheetFormatPr defaultColWidth="9.7109375" defaultRowHeight="38.25" customHeight="1" x14ac:dyDescent="0.25"/>
  <cols>
    <col min="1" max="1" width="16.5703125" style="1" customWidth="1"/>
    <col min="2" max="2" width="7.5703125" style="1" customWidth="1"/>
    <col min="3" max="3" width="7.85546875" style="1" customWidth="1"/>
    <col min="4" max="4" width="31.28515625" style="1" customWidth="1"/>
    <col min="5" max="5" width="20.28515625" style="3" customWidth="1"/>
    <col min="6" max="7" width="16.28515625" style="1" customWidth="1"/>
    <col min="8" max="8" width="11.42578125" style="1" customWidth="1"/>
    <col min="9" max="9" width="15.5703125" style="1" customWidth="1"/>
    <col min="10" max="10" width="15.85546875" style="3" customWidth="1"/>
    <col min="11" max="11" width="20.28515625" style="4" customWidth="1"/>
    <col min="12" max="12" width="17.5703125" style="11" customWidth="1"/>
    <col min="13" max="13" width="15" style="11" customWidth="1"/>
    <col min="14" max="14" width="14.42578125" style="11" customWidth="1"/>
    <col min="15" max="15" width="13.28515625" style="11" customWidth="1"/>
    <col min="16" max="16" width="12.42578125" style="5" customWidth="1"/>
    <col min="17" max="17" width="22" style="2" bestFit="1" customWidth="1"/>
    <col min="18" max="18" width="20" style="2" customWidth="1"/>
    <col min="19" max="19" width="28.85546875" style="2" customWidth="1"/>
    <col min="20" max="16384" width="9.7109375" style="2"/>
  </cols>
  <sheetData>
    <row r="1" spans="1:19" ht="39.75" customHeight="1" x14ac:dyDescent="0.25">
      <c r="A1" s="189" t="s">
        <v>133</v>
      </c>
      <c r="B1" s="190"/>
      <c r="C1" s="191"/>
      <c r="D1" s="184" t="s">
        <v>134</v>
      </c>
      <c r="E1" s="185"/>
      <c r="F1" s="185"/>
      <c r="G1" s="185"/>
      <c r="H1" s="185"/>
      <c r="I1" s="185"/>
      <c r="J1" s="192"/>
      <c r="K1" s="184" t="s">
        <v>135</v>
      </c>
      <c r="L1" s="185"/>
      <c r="M1" s="185"/>
      <c r="N1" s="185"/>
      <c r="O1" s="185"/>
      <c r="P1" s="185"/>
      <c r="Q1" s="185"/>
      <c r="R1" s="185"/>
      <c r="S1" s="185"/>
    </row>
    <row r="2" spans="1:19" ht="25.5" customHeight="1" x14ac:dyDescent="0.25">
      <c r="A2" s="186" t="s">
        <v>48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/>
    </row>
    <row r="3" spans="1:19" s="3" customFormat="1" ht="49.5" customHeight="1" x14ac:dyDescent="0.2">
      <c r="A3" s="9" t="s">
        <v>8</v>
      </c>
      <c r="B3" s="9" t="s">
        <v>2</v>
      </c>
      <c r="C3" s="9" t="s">
        <v>7</v>
      </c>
      <c r="D3" s="9" t="s">
        <v>9</v>
      </c>
      <c r="E3" s="9" t="s">
        <v>94</v>
      </c>
      <c r="F3" s="9" t="s">
        <v>93</v>
      </c>
      <c r="G3" s="9" t="s">
        <v>10</v>
      </c>
      <c r="H3" s="9" t="s">
        <v>4</v>
      </c>
      <c r="I3" s="9" t="s">
        <v>11</v>
      </c>
      <c r="J3" s="9" t="s">
        <v>6</v>
      </c>
      <c r="K3" s="9" t="s">
        <v>58</v>
      </c>
      <c r="L3" s="22" t="s">
        <v>19</v>
      </c>
      <c r="M3" s="10" t="s">
        <v>20</v>
      </c>
      <c r="N3" s="10" t="s">
        <v>21</v>
      </c>
      <c r="O3" s="7" t="s">
        <v>22</v>
      </c>
      <c r="P3" s="7" t="s">
        <v>23</v>
      </c>
      <c r="Q3" s="122" t="s">
        <v>24</v>
      </c>
      <c r="R3" s="122" t="s">
        <v>18</v>
      </c>
      <c r="S3" s="122" t="s">
        <v>150</v>
      </c>
    </row>
    <row r="4" spans="1:19" ht="38.2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13">
        <f>REITORIA!L4+CESFI!K4+CEFID!K4+CAV!K4+CCT!K4+CEART!K4+ESAG!K4+CEAD!K4+CEPLAN!K4+CEAVI!K4+CERES!K4+FAED!K4+CEO!K4</f>
        <v>44</v>
      </c>
      <c r="L4" s="12">
        <f>REITORIA!M4+CESFI!L4+CEFID!L4+CAV!L4+CCT!L4+CEART!L4+ESAG!L4+CEAD!L4+CEPLAN!L4+CEAVI!L4+CERES!L4+FAED!L4+CEO!L4</f>
        <v>12</v>
      </c>
      <c r="M4" s="34">
        <f>REITORIA!N4+CESFI!M4+CEFID!M4+CAV!M4+CCT!M4+CEART!M4+ESAG!M4+CEAD!M4+CEPLAN!M4+CEAVI!M4+CERES!M4+FAED!M4+CEO!M4</f>
        <v>12</v>
      </c>
      <c r="N4" s="31">
        <f>K4*0.25-0.5-O4</f>
        <v>10.5</v>
      </c>
      <c r="O4" s="32">
        <f>REITORIA!Q4+REITORIA!R4+CESFI!P4+CESFI!Q4+CEFID!P4+CEFID!Q4+CAV!P4+CAV!Q4+CCT!P4+CCT!Q4+CEART!P4+CEART!Q4+ESAG!P4+ESAG!Q4+CEAD!P4+CEAD!Q4+CEPLAN!P4+CEPLAN!Q4+CEAVI!P4+CEAVI!Q4+CERES!P4+CERES!Q4+FAED!P4+FAED!Q4+CEO!P4+CEO!Q4</f>
        <v>0</v>
      </c>
      <c r="P4" s="14">
        <f t="shared" ref="P4:P11" si="0">K4-L4+O4</f>
        <v>32</v>
      </c>
      <c r="Q4" s="15">
        <f t="shared" ref="Q4:Q11" si="1">J4*K4</f>
        <v>1364</v>
      </c>
      <c r="R4" s="15">
        <f t="shared" ref="R4:R11" si="2">J4*O4</f>
        <v>0</v>
      </c>
      <c r="S4" s="15">
        <f>J4*L4+R4</f>
        <v>372</v>
      </c>
    </row>
    <row r="5" spans="1:19" ht="38.2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13">
        <f>REITORIA!L5+CESFI!K5+CEFID!K5+CAV!K5+CCT!K5+CEART!K5+ESAG!K5+CEAD!K5+CEPLAN!K5+CEAVI!K5+CERES!K5+FAED!K5+CEO!K5</f>
        <v>531</v>
      </c>
      <c r="L5" s="12">
        <f>REITORIA!M5+CESFI!L5+CEFID!L5+CAV!L5+CCT!L5+CEART!L5+ESAG!L5+CEAD!L5+CEPLAN!L5+CEAVI!L5+CERES!L5+FAED!L5+CEO!L5</f>
        <v>222</v>
      </c>
      <c r="M5" s="34">
        <f>REITORIA!N5+CESFI!M5+CEFID!M5+CAV!M5+CCT!M5+CEART!M5+ESAG!M5+CEAD!M5+CEPLAN!M5+CEAVI!M5+CERES!M5+FAED!M5+CEO!M5</f>
        <v>222</v>
      </c>
      <c r="N5" s="31">
        <f t="shared" ref="N5:N11" si="3">K5*0.25-0.5-O5</f>
        <v>132.25</v>
      </c>
      <c r="O5" s="32">
        <f>REITORIA!Q5+REITORIA!R5+CESFI!P5+CESFI!Q5+CEFID!P5+CEFID!Q5+CAV!P5+CAV!Q5+CCT!P5+CCT!Q5+CEART!P5+CEART!Q5+ESAG!P5+ESAG!Q5+CEAD!P5+CEAD!Q5+CEPLAN!P5+CEPLAN!Q5+CEAVI!P5+CEAVI!Q5+CERES!P5+CERES!Q5+FAED!P5+FAED!Q5+CEO!P5+CEO!Q5</f>
        <v>0</v>
      </c>
      <c r="P5" s="14">
        <f t="shared" si="0"/>
        <v>309</v>
      </c>
      <c r="Q5" s="15">
        <f t="shared" si="1"/>
        <v>7895.9699999999993</v>
      </c>
      <c r="R5" s="15">
        <f t="shared" si="2"/>
        <v>0</v>
      </c>
      <c r="S5" s="15">
        <f t="shared" ref="S5:S12" si="4">J5*L5+R5</f>
        <v>3301.14</v>
      </c>
    </row>
    <row r="6" spans="1:19" ht="38.2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13">
        <f>REITORIA!L6+CESFI!K6+CEFID!K6+CAV!K6+CCT!K6+CEART!K6+ESAG!K6+CEAD!K6+CEPLAN!K6+CEAVI!K6+CERES!K6+FAED!K6+CEO!K6</f>
        <v>40</v>
      </c>
      <c r="L6" s="12">
        <f>REITORIA!M6+CESFI!L6+CEFID!L6+CAV!L6+CCT!L6+CEART!L6+ESAG!L6+CEAD!L6+CEPLAN!L6+CEAVI!L6+CERES!L6+FAED!L6+CEO!L6</f>
        <v>0</v>
      </c>
      <c r="M6" s="34">
        <f>REITORIA!N6+CESFI!M6+CEFID!M6+CAV!M6+CCT!M6+CEART!M6+ESAG!M6+CEAD!M6+CEPLAN!M6+CEAVI!M6+CERES!M6+FAED!M6+CEO!M6</f>
        <v>0</v>
      </c>
      <c r="N6" s="31">
        <f t="shared" si="3"/>
        <v>9.5</v>
      </c>
      <c r="O6" s="32">
        <f>REITORIA!Q6+REITORIA!R6+CESFI!P6+CESFI!Q6+CEFID!P6+CEFID!Q6+CAV!P6+CAV!Q6+CCT!P6+CCT!Q6+CEART!P6+CEART!Q6+ESAG!P6+ESAG!Q6+CEAD!P6+CEAD!Q6+CEPLAN!P6+CEPLAN!Q6+CEAVI!P6+CEAVI!Q6+CERES!P6+CERES!Q6+FAED!P6+FAED!Q6+CEO!P6+CEO!Q6</f>
        <v>0</v>
      </c>
      <c r="P6" s="14">
        <f t="shared" si="0"/>
        <v>40</v>
      </c>
      <c r="Q6" s="15">
        <f t="shared" si="1"/>
        <v>240</v>
      </c>
      <c r="R6" s="15">
        <f t="shared" si="2"/>
        <v>0</v>
      </c>
      <c r="S6" s="15">
        <f t="shared" si="4"/>
        <v>0</v>
      </c>
    </row>
    <row r="7" spans="1:19" ht="38.2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13">
        <f>REITORIA!L7+CESFI!K7+CEFID!K7+CAV!K7+CCT!K7+CEART!K7+ESAG!K7+CEAD!K7+CEPLAN!K7+CEAVI!K7+CERES!K7+FAED!K7+CEO!K7</f>
        <v>1097</v>
      </c>
      <c r="L7" s="12">
        <f>REITORIA!M7+CESFI!L7+CEFID!L7+CAV!L7+CCT!L7+CEART!L7+ESAG!L7+CEAD!L7+CEPLAN!L7+CEAVI!L7+CERES!L7+FAED!L7+CEO!L7</f>
        <v>700</v>
      </c>
      <c r="M7" s="34">
        <f>REITORIA!N7+CESFI!M7+CEFID!M7+CAV!M7+CCT!M7+CEART!M7+ESAG!M7+CEAD!M7+CEPLAN!M7+CEAVI!M7+CERES!M7+FAED!M7+CEO!M7</f>
        <v>700</v>
      </c>
      <c r="N7" s="31">
        <f t="shared" si="3"/>
        <v>273.75</v>
      </c>
      <c r="O7" s="32">
        <f>REITORIA!Q7+REITORIA!R7+CESFI!P7+CESFI!Q7+CEFID!P7+CEFID!Q7+CAV!P7+CAV!Q7+CCT!P7+CCT!Q7+CEART!P7+CEART!Q7+ESAG!P7+ESAG!Q7+CEAD!P7+CEAD!Q7+CEPLAN!P7+CEPLAN!Q7+CEAVI!P7+CEAVI!Q7+CERES!P7+CERES!Q7+FAED!P7+FAED!Q7+CEO!P7+CEO!Q7</f>
        <v>0</v>
      </c>
      <c r="P7" s="14">
        <f t="shared" si="0"/>
        <v>397</v>
      </c>
      <c r="Q7" s="15">
        <f t="shared" si="1"/>
        <v>10059.49</v>
      </c>
      <c r="R7" s="15">
        <f t="shared" si="2"/>
        <v>0</v>
      </c>
      <c r="S7" s="15">
        <f t="shared" si="4"/>
        <v>6419</v>
      </c>
    </row>
    <row r="8" spans="1:19" ht="38.2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13">
        <f>REITORIA!L8+CESFI!K8+CEFID!K8+CAV!K8+CCT!K8+CEART!K8+ESAG!K8+CEAD!K8+CEPLAN!K8+CEAVI!K8+CERES!K8+FAED!K8+CEO!K8</f>
        <v>1184</v>
      </c>
      <c r="L8" s="12">
        <f>REITORIA!M8+CESFI!L8+CEFID!L8+CAV!L8+CCT!L8+CEART!L8+ESAG!L8+CEAD!L8+CEPLAN!L8+CEAVI!L8+CERES!L8+FAED!L8+CEO!L8</f>
        <v>728</v>
      </c>
      <c r="M8" s="34">
        <f>REITORIA!N8+CESFI!M8+CEFID!M8+CAV!M8+CCT!M8+CEART!M8+ESAG!M8+CEAD!M8+CEPLAN!M8+CEAVI!M8+CERES!M8+FAED!M8+CEO!M8</f>
        <v>728</v>
      </c>
      <c r="N8" s="31">
        <f t="shared" si="3"/>
        <v>295.5</v>
      </c>
      <c r="O8" s="32">
        <f>REITORIA!Q8+REITORIA!R8+CESFI!P8+CESFI!Q8+CEFID!P8+CEFID!Q8+CAV!P8+CAV!Q8+CCT!P8+CCT!Q8+CEART!P8+CEART!Q8+ESAG!P8+ESAG!Q8+CEAD!P8+CEAD!Q8+CEPLAN!P8+CEPLAN!Q8+CEAVI!P8+CEAVI!Q8+CERES!P8+CERES!Q8+FAED!P8+FAED!Q8+CEO!P8+CEO!Q8</f>
        <v>0</v>
      </c>
      <c r="P8" s="14">
        <f t="shared" si="0"/>
        <v>456</v>
      </c>
      <c r="Q8" s="15">
        <f t="shared" si="1"/>
        <v>2723.2</v>
      </c>
      <c r="R8" s="15">
        <f t="shared" si="2"/>
        <v>0</v>
      </c>
      <c r="S8" s="15">
        <f t="shared" si="4"/>
        <v>1674.3999999999999</v>
      </c>
    </row>
    <row r="9" spans="1:19" ht="38.2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13">
        <f>REITORIA!L9+CESFI!K9+CEFID!K9+CAV!K9+CCT!K9+CEART!K9+ESAG!K9+CEAD!K9+CEPLAN!K9+CEAVI!K9+CERES!K9+FAED!K9+CEO!K9</f>
        <v>502</v>
      </c>
      <c r="L9" s="12">
        <f>REITORIA!M9+CESFI!L9+CEFID!L9+CAV!L9+CCT!L9+CEART!L9+ESAG!L9+CEAD!L9+CEPLAN!L9+CEAVI!L9+CERES!L9+FAED!L9+CEO!L9</f>
        <v>247</v>
      </c>
      <c r="M9" s="34">
        <f>REITORIA!N9+CESFI!M9+CEFID!M9+CAV!M9+CCT!M9+CEART!M9+ESAG!M9+CEAD!M9+CEPLAN!M9+CEAVI!M9+CERES!M9+FAED!M9+CEO!M9</f>
        <v>247</v>
      </c>
      <c r="N9" s="31">
        <f t="shared" si="3"/>
        <v>125</v>
      </c>
      <c r="O9" s="32">
        <f>REITORIA!Q9+REITORIA!R9+CESFI!P9+CESFI!Q9+CEFID!P9+CEFID!Q9+CAV!P9+CAV!Q9+CCT!P9+CCT!Q9+CEART!P9+CEART!Q9+ESAG!P9+ESAG!Q9+CEAD!P9+CEAD!Q9+CEPLAN!P9+CEPLAN!Q9+CEAVI!P9+CEAVI!Q9+CERES!P9+CERES!Q9+FAED!P9+FAED!Q9+CEO!P9+CEO!Q9</f>
        <v>0</v>
      </c>
      <c r="P9" s="14">
        <f t="shared" si="0"/>
        <v>255</v>
      </c>
      <c r="Q9" s="15">
        <f t="shared" si="1"/>
        <v>291.15999999999997</v>
      </c>
      <c r="R9" s="15">
        <f t="shared" si="2"/>
        <v>0</v>
      </c>
      <c r="S9" s="15">
        <f t="shared" si="4"/>
        <v>143.26</v>
      </c>
    </row>
    <row r="10" spans="1:19" ht="38.2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13">
        <f>REITORIA!L10+CESFI!K10+CEFID!K10+CAV!K10+CCT!K10+CEART!K10+ESAG!K10+CEAD!K10+CEPLAN!K10+CEAVI!K10+CERES!K10+FAED!K10+CEO!K10</f>
        <v>226</v>
      </c>
      <c r="L10" s="12">
        <f>REITORIA!M10+CESFI!L10+CEFID!L10+CAV!L10+CCT!L10+CEART!L10+ESAG!L10+CEAD!L10+CEPLAN!L10+CEAVI!L10+CERES!L10+FAED!L10+CEO!L10</f>
        <v>159</v>
      </c>
      <c r="M10" s="34">
        <f>REITORIA!N10+CESFI!M10+CEFID!M10+CAV!M10+CCT!M10+CEART!M10+ESAG!M10+CEAD!M10+CEPLAN!M10+CEAVI!M10+CERES!M10+FAED!M10+CEO!M10</f>
        <v>159</v>
      </c>
      <c r="N10" s="31">
        <f t="shared" si="3"/>
        <v>56</v>
      </c>
      <c r="O10" s="32">
        <f>REITORIA!Q10+REITORIA!R10+CESFI!P10+CESFI!Q10+CEFID!P10+CEFID!Q10+CAV!P10+CAV!Q10+CCT!P10+CCT!Q10+CEART!P10+CEART!Q10+ESAG!P10+ESAG!Q10+CEAD!P10+CEAD!Q10+CEPLAN!P10+CEPLAN!Q10+CEAVI!P10+CEAVI!Q10+CERES!P10+CERES!Q10+FAED!P10+FAED!Q10+CEO!P10+CEO!Q10</f>
        <v>0</v>
      </c>
      <c r="P10" s="14">
        <f t="shared" si="0"/>
        <v>67</v>
      </c>
      <c r="Q10" s="15">
        <f t="shared" si="1"/>
        <v>946.94</v>
      </c>
      <c r="R10" s="15">
        <f t="shared" si="2"/>
        <v>0</v>
      </c>
      <c r="S10" s="15">
        <f t="shared" si="4"/>
        <v>666.21</v>
      </c>
    </row>
    <row r="11" spans="1:19" ht="38.2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13">
        <f>REITORIA!L11+CESFI!K11+CEFID!K11+CAV!K11+CCT!K11+CEART!K11+ESAG!K11+CEAD!K11+CEPLAN!K11+CEAVI!K11+CERES!K11+FAED!K11+CEO!K11</f>
        <v>3</v>
      </c>
      <c r="L11" s="12">
        <f>REITORIA!M11+CESFI!L11+CEFID!L11+CAV!L11+CCT!L11+CEART!L11+ESAG!L11+CEAD!L11+CEPLAN!L11+CEAVI!L11+CERES!L11+FAED!L11+CEO!L11</f>
        <v>0</v>
      </c>
      <c r="M11" s="34">
        <f>REITORIA!N11+CESFI!M11+CEFID!M11+CAV!M11+CCT!M11+CEART!M11+ESAG!M11+CEAD!M11+CEPLAN!M11+CEAVI!M11+CERES!M11+FAED!M11+CEO!M11</f>
        <v>0</v>
      </c>
      <c r="N11" s="31">
        <f t="shared" si="3"/>
        <v>0.25</v>
      </c>
      <c r="O11" s="32">
        <f>REITORIA!Q11+REITORIA!R11+CESFI!P11+CESFI!Q11+CEFID!P11+CEFID!Q11+CAV!P11+CAV!Q11+CCT!P11+CCT!Q11+CEART!P11+CEART!Q11+ESAG!P11+ESAG!Q11+CEAD!P11+CEAD!Q11+CEPLAN!P11+CEPLAN!Q11+CEAVI!P11+CEAVI!Q11+CERES!P11+CERES!Q11+FAED!P11+FAED!Q11+CEO!P11+CEO!Q11</f>
        <v>0</v>
      </c>
      <c r="P11" s="14">
        <f t="shared" si="0"/>
        <v>3</v>
      </c>
      <c r="Q11" s="15">
        <f t="shared" si="1"/>
        <v>22.740000000000002</v>
      </c>
      <c r="R11" s="15">
        <f t="shared" si="2"/>
        <v>0</v>
      </c>
      <c r="S11" s="15">
        <f t="shared" si="4"/>
        <v>0</v>
      </c>
    </row>
    <row r="12" spans="1:19" ht="38.2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13">
        <f>REITORIA!L12+CESFI!K12+CEFID!K12+CAV!K12+CCT!K12+CEART!K12+ESAG!K12+CEAD!K12+CEPLAN!K12+CEAVI!K12+CERES!K12+FAED!K12+CEO!K12</f>
        <v>87</v>
      </c>
      <c r="L12" s="12">
        <f>REITORIA!M12+CESFI!L12+CEFID!L12+CAV!L12+CCT!L12+CEART!L12+ESAG!L12+CEAD!L12+CEPLAN!L12+CEAVI!L12+CERES!L12+FAED!L12+CEO!L12</f>
        <v>43</v>
      </c>
      <c r="M12" s="34">
        <f>REITORIA!N12+CESFI!M12+CEFID!M12+CAV!M12+CCT!M12+CEART!M12+ESAG!M12+CEAD!M12+CEPLAN!M12+CEAVI!M12+CERES!M12+FAED!M12+CEO!M12</f>
        <v>43</v>
      </c>
      <c r="N12" s="31">
        <f t="shared" ref="N12" si="5">K12*0.25-0.5-O12</f>
        <v>21.25</v>
      </c>
      <c r="O12" s="32">
        <f>REITORIA!Q12+REITORIA!R12+CESFI!P12+CESFI!Q12+CEFID!P12+CEFID!Q12+CAV!P12+CAV!Q12+CCT!P12+CCT!Q12+CEART!P12+CEART!Q12+ESAG!P12+ESAG!Q12+CEAD!P12+CEAD!Q12+CEPLAN!P12+CEPLAN!Q12+CEAVI!P12+CEAVI!Q12+CERES!P12+CERES!Q12+FAED!P12+FAED!Q12+CEO!P12+CEO!Q12</f>
        <v>0</v>
      </c>
      <c r="P12" s="14">
        <f t="shared" ref="P12" si="6">K12-L12+O12</f>
        <v>44</v>
      </c>
      <c r="Q12" s="15">
        <f t="shared" ref="Q12" si="7">J12*K12</f>
        <v>7182.72</v>
      </c>
      <c r="R12" s="15">
        <f t="shared" ref="R12" si="8">J12*O12</f>
        <v>0</v>
      </c>
      <c r="S12" s="15">
        <f t="shared" si="4"/>
        <v>3550.08</v>
      </c>
    </row>
    <row r="13" spans="1:19" ht="38.25" customHeight="1" thickBot="1" x14ac:dyDescent="0.3">
      <c r="I13" s="20" t="s">
        <v>5</v>
      </c>
      <c r="J13" s="82">
        <f>SUM(J4:J12)</f>
        <v>158.25</v>
      </c>
      <c r="K13" s="20">
        <f>SUM(K4:K12)</f>
        <v>3714</v>
      </c>
      <c r="L13" s="20"/>
      <c r="M13" s="20"/>
      <c r="N13" s="20"/>
      <c r="O13" s="20"/>
      <c r="P13" s="20"/>
      <c r="Q13" s="138">
        <f>SUM(Q4:Q12)</f>
        <v>30726.22</v>
      </c>
      <c r="R13" s="138">
        <f>SUM(R4:R12)</f>
        <v>0</v>
      </c>
      <c r="S13" s="138">
        <f>SUM(S4:S12)</f>
        <v>16126.089999999998</v>
      </c>
    </row>
    <row r="14" spans="1:19" ht="38.25" customHeight="1" thickTop="1" x14ac:dyDescent="0.25">
      <c r="J14" s="85"/>
      <c r="K14" s="45"/>
      <c r="L14" s="45"/>
      <c r="M14" s="45"/>
      <c r="N14" s="45"/>
      <c r="O14" s="45"/>
      <c r="P14" s="45"/>
    </row>
    <row r="15" spans="1:19" ht="29.25" customHeight="1" x14ac:dyDescent="0.25">
      <c r="J15" s="180" t="str">
        <f>D1</f>
        <v>OBJETO: AQUISIÇÃO DE MATERIAIS DE EXPEDIENTE PARA A UDESC - RELANÇAMENTO</v>
      </c>
      <c r="K15" s="181"/>
      <c r="L15" s="181"/>
      <c r="M15" s="181"/>
      <c r="N15" s="181"/>
      <c r="O15" s="181"/>
      <c r="P15" s="181"/>
      <c r="Q15" s="181"/>
      <c r="R15" s="181"/>
      <c r="S15" s="182"/>
    </row>
    <row r="16" spans="1:19" ht="28.5" customHeight="1" x14ac:dyDescent="0.25">
      <c r="J16" s="183" t="str">
        <f>K1</f>
        <v xml:space="preserve"> VIGÊNCIA DA ATA:  11/10/2025 até 11/10/2026</v>
      </c>
      <c r="K16" s="181"/>
      <c r="L16" s="181"/>
      <c r="M16" s="181"/>
      <c r="N16" s="181"/>
      <c r="O16" s="181"/>
      <c r="P16" s="181"/>
      <c r="Q16" s="181"/>
      <c r="R16" s="181"/>
      <c r="S16" s="182"/>
    </row>
    <row r="17" spans="1:19" ht="48.75" customHeight="1" x14ac:dyDescent="0.25">
      <c r="J17" s="83" t="s">
        <v>25</v>
      </c>
      <c r="K17" s="83" t="s">
        <v>26</v>
      </c>
      <c r="L17" s="83" t="s">
        <v>27</v>
      </c>
      <c r="M17" s="84" t="s">
        <v>28</v>
      </c>
      <c r="N17" s="83" t="s">
        <v>46</v>
      </c>
      <c r="O17" s="83" t="s">
        <v>29</v>
      </c>
      <c r="P17" s="128" t="s">
        <v>30</v>
      </c>
      <c r="Q17" s="83" t="s">
        <v>31</v>
      </c>
      <c r="R17" s="83" t="s">
        <v>32</v>
      </c>
      <c r="S17" s="83" t="s">
        <v>33</v>
      </c>
    </row>
    <row r="18" spans="1:19" s="36" customFormat="1" ht="41.1" hidden="1" customHeight="1" x14ac:dyDescent="0.25">
      <c r="A18" s="1"/>
      <c r="B18" s="1"/>
      <c r="C18" s="1"/>
      <c r="D18" s="1"/>
      <c r="E18" s="3"/>
      <c r="F18" s="1"/>
      <c r="G18" s="1"/>
      <c r="H18" s="1"/>
      <c r="I18" s="1"/>
      <c r="J18" s="81"/>
      <c r="K18" s="131" t="s">
        <v>141</v>
      </c>
      <c r="L18" s="131" t="s">
        <v>142</v>
      </c>
      <c r="M18" s="80"/>
      <c r="N18" s="131" t="s">
        <v>143</v>
      </c>
      <c r="O18" s="131" t="s">
        <v>144</v>
      </c>
      <c r="P18" s="79"/>
      <c r="Q18" s="131" t="s">
        <v>145</v>
      </c>
      <c r="R18" s="79"/>
      <c r="S18" s="79"/>
    </row>
    <row r="19" spans="1:19" ht="38.25" customHeight="1" x14ac:dyDescent="0.25">
      <c r="J19" s="53" t="s">
        <v>59</v>
      </c>
      <c r="K19" s="39">
        <f>REITORIA!L14</f>
        <v>2680.2</v>
      </c>
      <c r="L19" s="52">
        <f>REITORIA!M14</f>
        <v>2680.2</v>
      </c>
      <c r="M19" s="40">
        <f>L19/K19</f>
        <v>1</v>
      </c>
      <c r="N19" s="57">
        <f>REITORIA!O14</f>
        <v>0</v>
      </c>
      <c r="O19" s="60">
        <f>REITORIA!Q14+REITORIA!R14</f>
        <v>0</v>
      </c>
      <c r="P19" s="40">
        <f>O19/K19</f>
        <v>0</v>
      </c>
      <c r="Q19" s="55">
        <f>REITORIA!N14</f>
        <v>2680.2</v>
      </c>
      <c r="R19" s="47">
        <f>Q19/K19</f>
        <v>1</v>
      </c>
      <c r="S19" s="41">
        <f>O19+K19</f>
        <v>2680.2</v>
      </c>
    </row>
    <row r="20" spans="1:19" ht="38.25" customHeight="1" x14ac:dyDescent="0.25">
      <c r="J20" s="53" t="s">
        <v>34</v>
      </c>
      <c r="K20" s="39">
        <f>CESFI!K14</f>
        <v>2082.0499999999997</v>
      </c>
      <c r="L20" s="52">
        <f>CESFI!L14</f>
        <v>2082.0499999999997</v>
      </c>
      <c r="M20" s="40">
        <f t="shared" ref="M20:M31" si="9">L20/K20</f>
        <v>1</v>
      </c>
      <c r="N20" s="57">
        <f>CESFI!N14</f>
        <v>0</v>
      </c>
      <c r="O20" s="60">
        <f>CESFI!P14+CESFI!Q14</f>
        <v>0</v>
      </c>
      <c r="P20" s="40">
        <f t="shared" ref="P20:P31" si="10">O20/K20</f>
        <v>0</v>
      </c>
      <c r="Q20" s="55">
        <f>CESFI!M14</f>
        <v>2082.0499999999997</v>
      </c>
      <c r="R20" s="47">
        <f t="shared" ref="R20:R31" si="11">Q20/K20</f>
        <v>1</v>
      </c>
      <c r="S20" s="41">
        <f t="shared" ref="S20:S31" si="12">O20+K20</f>
        <v>2082.0499999999997</v>
      </c>
    </row>
    <row r="21" spans="1:19" ht="38.25" customHeight="1" x14ac:dyDescent="0.25">
      <c r="J21" s="53" t="s">
        <v>39</v>
      </c>
      <c r="K21" s="39">
        <f>CEFID!K14</f>
        <v>3609</v>
      </c>
      <c r="L21" s="52">
        <f>CEFID!L14</f>
        <v>1538.1</v>
      </c>
      <c r="M21" s="40">
        <f t="shared" si="9"/>
        <v>0.42618453865336658</v>
      </c>
      <c r="N21" s="57">
        <f>CEFID!N14</f>
        <v>0</v>
      </c>
      <c r="O21" s="60">
        <f>CEFID!P14+CEFID!Q14</f>
        <v>0</v>
      </c>
      <c r="P21" s="40">
        <f t="shared" si="10"/>
        <v>0</v>
      </c>
      <c r="Q21" s="55">
        <f>CEFID!M14</f>
        <v>1538.1</v>
      </c>
      <c r="R21" s="47">
        <f t="shared" si="11"/>
        <v>0.42618453865336658</v>
      </c>
      <c r="S21" s="41">
        <f t="shared" si="12"/>
        <v>3609</v>
      </c>
    </row>
    <row r="22" spans="1:19" ht="38.25" customHeight="1" x14ac:dyDescent="0.25">
      <c r="J22" s="53" t="s">
        <v>44</v>
      </c>
      <c r="K22" s="39">
        <f>CAV!K14</f>
        <v>2429.2999999999997</v>
      </c>
      <c r="L22" s="52">
        <f>CAV!L14</f>
        <v>2188.85</v>
      </c>
      <c r="M22" s="40">
        <f t="shared" si="9"/>
        <v>0.90102087020952548</v>
      </c>
      <c r="N22" s="57">
        <f>CAV!N14</f>
        <v>0</v>
      </c>
      <c r="O22" s="60">
        <f>CAV!P14+CAV!Q14</f>
        <v>0</v>
      </c>
      <c r="P22" s="40">
        <f t="shared" si="10"/>
        <v>0</v>
      </c>
      <c r="Q22" s="55">
        <f>CAV!M14</f>
        <v>2188.85</v>
      </c>
      <c r="R22" s="47">
        <f t="shared" si="11"/>
        <v>0.90102087020952548</v>
      </c>
      <c r="S22" s="41">
        <f t="shared" si="12"/>
        <v>2429.2999999999997</v>
      </c>
    </row>
    <row r="23" spans="1:19" ht="38.25" customHeight="1" x14ac:dyDescent="0.25">
      <c r="J23" s="54" t="s">
        <v>41</v>
      </c>
      <c r="K23" s="39">
        <f>CCT!K14</f>
        <v>3429.2000000000003</v>
      </c>
      <c r="L23" s="52">
        <f>CCT!L14</f>
        <v>2419.75</v>
      </c>
      <c r="M23" s="40">
        <f t="shared" si="9"/>
        <v>0.70563105097398804</v>
      </c>
      <c r="N23" s="57">
        <f>CCT!N14</f>
        <v>0</v>
      </c>
      <c r="O23" s="60">
        <f>CCT!P14+CCT!Q14</f>
        <v>0</v>
      </c>
      <c r="P23" s="40">
        <f t="shared" si="10"/>
        <v>0</v>
      </c>
      <c r="Q23" s="55">
        <f>CCT!M14</f>
        <v>2419.75</v>
      </c>
      <c r="R23" s="47">
        <f t="shared" si="11"/>
        <v>0.70563105097398804</v>
      </c>
      <c r="S23" s="41">
        <f t="shared" si="12"/>
        <v>3429.2000000000003</v>
      </c>
    </row>
    <row r="24" spans="1:19" ht="38.25" customHeight="1" x14ac:dyDescent="0.25">
      <c r="J24" s="54" t="s">
        <v>36</v>
      </c>
      <c r="K24" s="39">
        <f>CEART!K14</f>
        <v>4143.7</v>
      </c>
      <c r="L24" s="52">
        <f>CEART!L14</f>
        <v>1345.2</v>
      </c>
      <c r="M24" s="40">
        <f t="shared" si="9"/>
        <v>0.32463740135627583</v>
      </c>
      <c r="N24" s="57">
        <f>CEART!N14</f>
        <v>0</v>
      </c>
      <c r="O24" s="60">
        <f>CEART!P14+CEART!Q14</f>
        <v>0</v>
      </c>
      <c r="P24" s="40">
        <f t="shared" si="10"/>
        <v>0</v>
      </c>
      <c r="Q24" s="55">
        <f>CEART!M14</f>
        <v>1345.2</v>
      </c>
      <c r="R24" s="47">
        <f t="shared" si="11"/>
        <v>0.32463740135627583</v>
      </c>
      <c r="S24" s="41">
        <f t="shared" si="12"/>
        <v>4143.7</v>
      </c>
    </row>
    <row r="25" spans="1:19" ht="38.25" customHeight="1" x14ac:dyDescent="0.25">
      <c r="J25" s="54" t="s">
        <v>35</v>
      </c>
      <c r="K25" s="39">
        <f>ESAG!K14</f>
        <v>790.90000000000009</v>
      </c>
      <c r="L25" s="52">
        <f>ESAG!L14</f>
        <v>642.20000000000005</v>
      </c>
      <c r="M25" s="40">
        <f t="shared" si="9"/>
        <v>0.81198634467062836</v>
      </c>
      <c r="N25" s="57">
        <f>ESAG!N14</f>
        <v>0</v>
      </c>
      <c r="O25" s="60">
        <f>ESAG!P14+ESAG!Q14</f>
        <v>0</v>
      </c>
      <c r="P25" s="40">
        <f t="shared" si="10"/>
        <v>0</v>
      </c>
      <c r="Q25" s="55">
        <f>ESAG!M14</f>
        <v>642.20000000000005</v>
      </c>
      <c r="R25" s="47">
        <f t="shared" si="11"/>
        <v>0.81198634467062836</v>
      </c>
      <c r="S25" s="41">
        <f t="shared" si="12"/>
        <v>790.90000000000009</v>
      </c>
    </row>
    <row r="26" spans="1:19" ht="38.25" customHeight="1" x14ac:dyDescent="0.25">
      <c r="J26" s="53" t="s">
        <v>38</v>
      </c>
      <c r="K26" s="39">
        <f>CEAD!K14</f>
        <v>959.3</v>
      </c>
      <c r="L26" s="52">
        <f>CEAD!L14</f>
        <v>959.3</v>
      </c>
      <c r="M26" s="40">
        <f t="shared" si="9"/>
        <v>1</v>
      </c>
      <c r="N26" s="57">
        <f>CEAD!N14</f>
        <v>0</v>
      </c>
      <c r="O26" s="60">
        <f>CEAD!P14+CEAD!Q14</f>
        <v>0</v>
      </c>
      <c r="P26" s="40">
        <f t="shared" si="10"/>
        <v>0</v>
      </c>
      <c r="Q26" s="55">
        <f>CEAD!M14</f>
        <v>959.3</v>
      </c>
      <c r="R26" s="47">
        <f t="shared" si="11"/>
        <v>1</v>
      </c>
      <c r="S26" s="41">
        <f t="shared" si="12"/>
        <v>959.3</v>
      </c>
    </row>
    <row r="27" spans="1:19" ht="38.25" customHeight="1" x14ac:dyDescent="0.25">
      <c r="J27" s="53" t="s">
        <v>42</v>
      </c>
      <c r="K27" s="39">
        <f>CEPLAN!K14</f>
        <v>1259</v>
      </c>
      <c r="L27" s="52">
        <f>CEPLAN!L14</f>
        <v>0</v>
      </c>
      <c r="M27" s="40">
        <f t="shared" si="9"/>
        <v>0</v>
      </c>
      <c r="N27" s="57">
        <f>CEPLAN!N14</f>
        <v>0</v>
      </c>
      <c r="O27" s="60">
        <f>CEPLAN!P14+CEPLAN!Q14</f>
        <v>0</v>
      </c>
      <c r="P27" s="40">
        <f t="shared" si="10"/>
        <v>0</v>
      </c>
      <c r="Q27" s="55">
        <f>CEPLAN!M14</f>
        <v>0</v>
      </c>
      <c r="R27" s="47">
        <f t="shared" si="11"/>
        <v>0</v>
      </c>
      <c r="S27" s="41">
        <f t="shared" si="12"/>
        <v>1259</v>
      </c>
    </row>
    <row r="28" spans="1:19" ht="38.25" customHeight="1" x14ac:dyDescent="0.25">
      <c r="J28" s="53" t="s">
        <v>43</v>
      </c>
      <c r="K28" s="39">
        <f>CEAVI!K14</f>
        <v>2199.15</v>
      </c>
      <c r="L28" s="52">
        <f>CEAVI!L14</f>
        <v>0</v>
      </c>
      <c r="M28" s="40">
        <f t="shared" si="9"/>
        <v>0</v>
      </c>
      <c r="N28" s="57">
        <f>CEAVI!N14</f>
        <v>0</v>
      </c>
      <c r="O28" s="60">
        <f>CEAVI!P14+CEAVI!Q14</f>
        <v>0</v>
      </c>
      <c r="P28" s="40">
        <f t="shared" si="10"/>
        <v>0</v>
      </c>
      <c r="Q28" s="55">
        <f>CEAVI!M14</f>
        <v>0</v>
      </c>
      <c r="R28" s="47">
        <f t="shared" si="11"/>
        <v>0</v>
      </c>
      <c r="S28" s="41">
        <f t="shared" si="12"/>
        <v>2199.15</v>
      </c>
    </row>
    <row r="29" spans="1:19" ht="38.25" customHeight="1" x14ac:dyDescent="0.25">
      <c r="J29" s="53" t="s">
        <v>40</v>
      </c>
      <c r="K29" s="39">
        <f>CERES!K14</f>
        <v>3096.72</v>
      </c>
      <c r="L29" s="52">
        <f>CERES!L14</f>
        <v>0</v>
      </c>
      <c r="M29" s="40">
        <f t="shared" si="9"/>
        <v>0</v>
      </c>
      <c r="N29" s="57">
        <f>CERES!N14</f>
        <v>0</v>
      </c>
      <c r="O29" s="60">
        <f>CERES!P14+CERES!Q14</f>
        <v>0</v>
      </c>
      <c r="P29" s="40">
        <f t="shared" si="10"/>
        <v>0</v>
      </c>
      <c r="Q29" s="55">
        <f>CERES!M14</f>
        <v>0</v>
      </c>
      <c r="R29" s="47">
        <f t="shared" si="11"/>
        <v>0</v>
      </c>
      <c r="S29" s="41">
        <f t="shared" si="12"/>
        <v>3096.72</v>
      </c>
    </row>
    <row r="30" spans="1:19" ht="38.25" customHeight="1" x14ac:dyDescent="0.25">
      <c r="J30" s="54" t="s">
        <v>37</v>
      </c>
      <c r="K30" s="39">
        <f>FAED!K14</f>
        <v>2090.1000000000004</v>
      </c>
      <c r="L30" s="52">
        <f>FAED!L14</f>
        <v>977.04</v>
      </c>
      <c r="M30" s="40">
        <f t="shared" si="9"/>
        <v>0.46746088703889754</v>
      </c>
      <c r="N30" s="57">
        <f>FAED!N14</f>
        <v>0</v>
      </c>
      <c r="O30" s="60">
        <f>FAED!P14+FAED!Q14</f>
        <v>0</v>
      </c>
      <c r="P30" s="40">
        <f t="shared" si="10"/>
        <v>0</v>
      </c>
      <c r="Q30" s="55">
        <f>FAED!M14</f>
        <v>977.04</v>
      </c>
      <c r="R30" s="47">
        <f t="shared" si="11"/>
        <v>0.46746088703889754</v>
      </c>
      <c r="S30" s="41">
        <f t="shared" si="12"/>
        <v>2090.1000000000004</v>
      </c>
    </row>
    <row r="31" spans="1:19" s="36" customFormat="1" ht="38.25" customHeight="1" x14ac:dyDescent="0.25">
      <c r="A31" s="1"/>
      <c r="B31" s="1"/>
      <c r="C31" s="1"/>
      <c r="D31" s="1"/>
      <c r="E31" s="3"/>
      <c r="F31" s="1"/>
      <c r="G31" s="1"/>
      <c r="H31" s="1"/>
      <c r="I31" s="1"/>
      <c r="J31" s="53" t="s">
        <v>45</v>
      </c>
      <c r="K31" s="39">
        <f>CEO!K14</f>
        <v>1957.6000000000001</v>
      </c>
      <c r="L31" s="52">
        <f>CEO!L14</f>
        <v>1293.4000000000001</v>
      </c>
      <c r="M31" s="59">
        <f t="shared" si="9"/>
        <v>0.66070698814875362</v>
      </c>
      <c r="N31" s="57">
        <f>CEO!N14</f>
        <v>0</v>
      </c>
      <c r="O31" s="60">
        <f>CEO!P14+CEO!Q14</f>
        <v>0</v>
      </c>
      <c r="P31" s="59">
        <f t="shared" si="10"/>
        <v>0</v>
      </c>
      <c r="Q31" s="55">
        <f>CEO!M14</f>
        <v>1293.4000000000001</v>
      </c>
      <c r="R31" s="47">
        <f t="shared" si="11"/>
        <v>0.66070698814875362</v>
      </c>
      <c r="S31" s="49">
        <f t="shared" si="12"/>
        <v>1957.6000000000001</v>
      </c>
    </row>
    <row r="32" spans="1:19" ht="38.25" customHeight="1" x14ac:dyDescent="0.25">
      <c r="J32" s="42" t="s">
        <v>5</v>
      </c>
      <c r="K32" s="43">
        <f>SUM(K19:K31)</f>
        <v>30726.22</v>
      </c>
      <c r="L32" s="43">
        <f>SUM(L19:L31)</f>
        <v>16126.090000000002</v>
      </c>
      <c r="M32" s="58">
        <f t="shared" ref="M32" si="13">L32/K32</f>
        <v>0.52483156079726045</v>
      </c>
      <c r="N32" s="46">
        <f>SUM(N19:N31)</f>
        <v>0</v>
      </c>
      <c r="O32" s="44">
        <f>SUM(O19:O31)</f>
        <v>0</v>
      </c>
      <c r="P32" s="58">
        <f>O32/L32</f>
        <v>0</v>
      </c>
      <c r="Q32" s="44">
        <f>SUM(Q19:Q31)</f>
        <v>16126.090000000002</v>
      </c>
      <c r="R32" s="38">
        <f>Q32/L32</f>
        <v>1</v>
      </c>
      <c r="S32" s="48">
        <f t="shared" ref="S32" si="14">O32+K32</f>
        <v>30726.22</v>
      </c>
    </row>
    <row r="33" spans="10:19" ht="21.75" customHeight="1" x14ac:dyDescent="0.25">
      <c r="J33" s="177" t="s">
        <v>170</v>
      </c>
      <c r="K33" s="178"/>
      <c r="L33" s="178"/>
      <c r="M33" s="178"/>
      <c r="N33" s="178"/>
      <c r="O33" s="178"/>
      <c r="P33" s="178"/>
      <c r="Q33" s="178"/>
      <c r="R33" s="178"/>
      <c r="S33" s="179"/>
    </row>
  </sheetData>
  <sortState xmlns:xlrd2="http://schemas.microsoft.com/office/spreadsheetml/2017/richdata2" ref="J19:S31">
    <sortCondition descending="1" ref="M19:M31"/>
  </sortState>
  <customSheetViews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1">
    <mergeCell ref="J33:S33"/>
    <mergeCell ref="J15:S15"/>
    <mergeCell ref="J16:S16"/>
    <mergeCell ref="K1:S1"/>
    <mergeCell ref="A2:S2"/>
    <mergeCell ref="A1:C1"/>
    <mergeCell ref="D1:J1"/>
    <mergeCell ref="A4:A6"/>
    <mergeCell ref="B4:B6"/>
    <mergeCell ref="A7:A12"/>
    <mergeCell ref="B7:B12"/>
  </mergeCells>
  <conditionalFormatting sqref="P34:P1048576 P17:P32 P4:P12">
    <cfRule type="cellIs" dxfId="16" priority="21" operator="equal">
      <formula>"ATENÇÃO"</formula>
    </cfRule>
  </conditionalFormatting>
  <conditionalFormatting sqref="D12">
    <cfRule type="duplicateValues" dxfId="15" priority="1"/>
  </conditionalFormatting>
  <conditionalFormatting sqref="D8">
    <cfRule type="duplicateValues" dxfId="14" priority="2"/>
  </conditionalFormatting>
  <conditionalFormatting sqref="D10:D11">
    <cfRule type="duplicateValues" dxfId="13" priority="3"/>
  </conditionalFormatting>
  <conditionalFormatting sqref="D9">
    <cfRule type="duplicateValues" dxfId="12" priority="4"/>
  </conditionalFormatting>
  <conditionalFormatting sqref="D4:D7">
    <cfRule type="duplicateValues" dxfId="11" priority="5"/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58ED-CC76-41DD-BD42-C085F05EB183}">
  <sheetPr>
    <tabColor theme="8" tint="-0.249977111117893"/>
  </sheetPr>
  <dimension ref="A1:AS22"/>
  <sheetViews>
    <sheetView zoomScale="60" zoomScaleNormal="6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K21" sqref="K21"/>
    </sheetView>
  </sheetViews>
  <sheetFormatPr defaultColWidth="9.7109375" defaultRowHeight="15" x14ac:dyDescent="0.25"/>
  <cols>
    <col min="1" max="1" width="9.140625" style="108" customWidth="1"/>
    <col min="2" max="2" width="14.140625" style="109" customWidth="1"/>
    <col min="3" max="3" width="33.28515625" style="109" customWidth="1"/>
    <col min="4" max="4" width="13.85546875" style="109" customWidth="1"/>
    <col min="5" max="5" width="14.42578125" style="109" customWidth="1"/>
    <col min="6" max="6" width="13.140625" style="109" customWidth="1"/>
    <col min="7" max="7" width="12" style="6" customWidth="1"/>
    <col min="8" max="8" width="12.85546875" style="6" customWidth="1"/>
    <col min="9" max="9" width="12.5703125" style="6" customWidth="1"/>
    <col min="10" max="10" width="11.85546875" style="6" customWidth="1"/>
    <col min="11" max="23" width="12.5703125" style="6" customWidth="1"/>
    <col min="24" max="24" width="16" style="36" customWidth="1"/>
    <col min="25" max="25" width="17.42578125" style="36" customWidth="1"/>
    <col min="26" max="45" width="20.5703125" style="6" customWidth="1"/>
    <col min="46" max="16384" width="9.7109375" style="36"/>
  </cols>
  <sheetData>
    <row r="1" spans="1:45" ht="46.5" customHeight="1" x14ac:dyDescent="0.25">
      <c r="A1" s="193" t="s">
        <v>133</v>
      </c>
      <c r="B1" s="194"/>
      <c r="C1" s="195" t="s">
        <v>138</v>
      </c>
      <c r="D1" s="196"/>
      <c r="E1" s="196"/>
      <c r="F1" s="196"/>
      <c r="G1" s="196"/>
      <c r="H1" s="196"/>
      <c r="I1" s="196"/>
      <c r="J1" s="196"/>
      <c r="K1" s="197" t="s">
        <v>139</v>
      </c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9"/>
      <c r="Z1" s="89" t="s">
        <v>60</v>
      </c>
      <c r="AA1" s="89" t="s">
        <v>60</v>
      </c>
      <c r="AB1" s="89" t="s">
        <v>60</v>
      </c>
      <c r="AC1" s="89" t="s">
        <v>60</v>
      </c>
      <c r="AD1" s="89" t="s">
        <v>60</v>
      </c>
      <c r="AE1" s="89" t="s">
        <v>60</v>
      </c>
      <c r="AF1" s="89" t="s">
        <v>60</v>
      </c>
      <c r="AG1" s="89" t="s">
        <v>60</v>
      </c>
      <c r="AH1" s="89" t="s">
        <v>60</v>
      </c>
      <c r="AI1" s="89" t="s">
        <v>60</v>
      </c>
      <c r="AJ1" s="89" t="s">
        <v>60</v>
      </c>
      <c r="AK1" s="89" t="s">
        <v>60</v>
      </c>
      <c r="AL1" s="89" t="s">
        <v>60</v>
      </c>
      <c r="AM1" s="89" t="s">
        <v>60</v>
      </c>
      <c r="AN1" s="89" t="s">
        <v>60</v>
      </c>
      <c r="AO1" s="89" t="s">
        <v>60</v>
      </c>
      <c r="AP1" s="89" t="s">
        <v>60</v>
      </c>
      <c r="AQ1" s="89" t="s">
        <v>60</v>
      </c>
      <c r="AR1" s="89" t="s">
        <v>60</v>
      </c>
      <c r="AS1" s="89" t="s">
        <v>60</v>
      </c>
    </row>
    <row r="2" spans="1:45" ht="33.75" customHeight="1" x14ac:dyDescent="0.25">
      <c r="A2" s="207" t="s">
        <v>136</v>
      </c>
      <c r="B2" s="208"/>
      <c r="C2" s="208"/>
      <c r="D2" s="208"/>
      <c r="E2" s="208"/>
      <c r="F2" s="208"/>
      <c r="G2" s="209"/>
      <c r="H2" s="200" t="s">
        <v>137</v>
      </c>
      <c r="I2" s="200"/>
      <c r="J2" s="200"/>
      <c r="K2" s="201" t="s">
        <v>61</v>
      </c>
      <c r="L2" s="201"/>
      <c r="M2" s="201"/>
      <c r="N2" s="202" t="s">
        <v>62</v>
      </c>
      <c r="O2" s="202"/>
      <c r="P2" s="202"/>
      <c r="Q2" s="203" t="s">
        <v>63</v>
      </c>
      <c r="R2" s="203"/>
      <c r="S2" s="203"/>
      <c r="T2" s="204" t="s">
        <v>5</v>
      </c>
      <c r="U2" s="204"/>
      <c r="V2" s="204"/>
      <c r="W2" s="204"/>
      <c r="X2" s="205" t="s">
        <v>64</v>
      </c>
      <c r="Y2" s="206"/>
      <c r="Z2" s="90" t="s">
        <v>65</v>
      </c>
      <c r="AA2" s="90" t="s">
        <v>65</v>
      </c>
      <c r="AB2" s="90" t="s">
        <v>65</v>
      </c>
      <c r="AC2" s="90" t="s">
        <v>65</v>
      </c>
      <c r="AD2" s="90" t="s">
        <v>65</v>
      </c>
      <c r="AE2" s="90" t="s">
        <v>65</v>
      </c>
      <c r="AF2" s="90" t="s">
        <v>65</v>
      </c>
      <c r="AG2" s="90" t="s">
        <v>65</v>
      </c>
      <c r="AH2" s="90" t="s">
        <v>65</v>
      </c>
      <c r="AI2" s="90" t="s">
        <v>65</v>
      </c>
      <c r="AJ2" s="90" t="s">
        <v>65</v>
      </c>
      <c r="AK2" s="90" t="s">
        <v>65</v>
      </c>
      <c r="AL2" s="90" t="s">
        <v>65</v>
      </c>
      <c r="AM2" s="90" t="s">
        <v>65</v>
      </c>
      <c r="AN2" s="90" t="s">
        <v>65</v>
      </c>
      <c r="AO2" s="90" t="s">
        <v>65</v>
      </c>
      <c r="AP2" s="90" t="s">
        <v>65</v>
      </c>
      <c r="AQ2" s="90" t="s">
        <v>65</v>
      </c>
      <c r="AR2" s="90" t="s">
        <v>65</v>
      </c>
      <c r="AS2" s="90" t="s">
        <v>65</v>
      </c>
    </row>
    <row r="3" spans="1:45" s="99" customFormat="1" ht="60" x14ac:dyDescent="0.2">
      <c r="A3" s="91" t="s">
        <v>7</v>
      </c>
      <c r="B3" s="91" t="s">
        <v>8</v>
      </c>
      <c r="C3" s="91" t="s">
        <v>66</v>
      </c>
      <c r="D3" s="130" t="s">
        <v>94</v>
      </c>
      <c r="E3" s="130" t="s">
        <v>93</v>
      </c>
      <c r="F3" s="91" t="s">
        <v>10</v>
      </c>
      <c r="G3" s="92" t="s">
        <v>67</v>
      </c>
      <c r="H3" s="93" t="s">
        <v>68</v>
      </c>
      <c r="I3" s="94" t="s">
        <v>69</v>
      </c>
      <c r="J3" s="94" t="s">
        <v>70</v>
      </c>
      <c r="K3" s="95" t="s">
        <v>68</v>
      </c>
      <c r="L3" s="95" t="s">
        <v>69</v>
      </c>
      <c r="M3" s="95" t="s">
        <v>70</v>
      </c>
      <c r="N3" s="96" t="s">
        <v>68</v>
      </c>
      <c r="O3" s="96" t="s">
        <v>69</v>
      </c>
      <c r="P3" s="96" t="s">
        <v>70</v>
      </c>
      <c r="Q3" s="97" t="s">
        <v>68</v>
      </c>
      <c r="R3" s="97" t="s">
        <v>69</v>
      </c>
      <c r="S3" s="97" t="s">
        <v>70</v>
      </c>
      <c r="T3" s="98" t="s">
        <v>68</v>
      </c>
      <c r="U3" s="98" t="s">
        <v>71</v>
      </c>
      <c r="V3" s="98" t="s">
        <v>72</v>
      </c>
      <c r="W3" s="121" t="s">
        <v>70</v>
      </c>
      <c r="X3" s="122" t="s">
        <v>73</v>
      </c>
      <c r="Y3" s="33" t="s">
        <v>24</v>
      </c>
      <c r="Z3" s="62" t="s">
        <v>74</v>
      </c>
      <c r="AA3" s="62" t="s">
        <v>74</v>
      </c>
      <c r="AB3" s="62" t="s">
        <v>74</v>
      </c>
      <c r="AC3" s="62" t="s">
        <v>74</v>
      </c>
      <c r="AD3" s="62" t="s">
        <v>74</v>
      </c>
      <c r="AE3" s="62" t="s">
        <v>74</v>
      </c>
      <c r="AF3" s="62" t="s">
        <v>74</v>
      </c>
      <c r="AG3" s="62" t="s">
        <v>74</v>
      </c>
      <c r="AH3" s="62" t="s">
        <v>74</v>
      </c>
      <c r="AI3" s="62" t="s">
        <v>74</v>
      </c>
      <c r="AJ3" s="62" t="s">
        <v>74</v>
      </c>
      <c r="AK3" s="62" t="s">
        <v>74</v>
      </c>
      <c r="AL3" s="62" t="s">
        <v>74</v>
      </c>
      <c r="AM3" s="62" t="s">
        <v>74</v>
      </c>
      <c r="AN3" s="62" t="s">
        <v>74</v>
      </c>
      <c r="AO3" s="62" t="s">
        <v>74</v>
      </c>
      <c r="AP3" s="62" t="s">
        <v>74</v>
      </c>
      <c r="AQ3" s="62" t="s">
        <v>74</v>
      </c>
      <c r="AR3" s="62" t="s">
        <v>74</v>
      </c>
      <c r="AS3" s="62" t="s">
        <v>74</v>
      </c>
    </row>
    <row r="4" spans="1:45" ht="35.1" customHeight="1" x14ac:dyDescent="0.25">
      <c r="A4" s="61">
        <v>1</v>
      </c>
      <c r="B4" s="171" t="s">
        <v>82</v>
      </c>
      <c r="C4" s="63" t="s">
        <v>84</v>
      </c>
      <c r="D4" s="78" t="s">
        <v>95</v>
      </c>
      <c r="E4" s="78" t="s">
        <v>96</v>
      </c>
      <c r="F4" s="119" t="s">
        <v>3</v>
      </c>
      <c r="G4" s="13">
        <v>44</v>
      </c>
      <c r="H4" s="100">
        <f t="shared" ref="H4:H11" si="0">IF(ROUNDDOWN($G4*0.5,0)&gt;$W4,$W4+I4,ROUNDDOWN($G4*0.5,0))</f>
        <v>22</v>
      </c>
      <c r="I4" s="100">
        <f t="shared" ref="I4:I11" si="1">SUMIF($X$2:$AG$2,$H$2,X4:AG4)</f>
        <v>0</v>
      </c>
      <c r="J4" s="100">
        <f>H4-I4</f>
        <v>22</v>
      </c>
      <c r="K4" s="101">
        <f t="shared" ref="K4:K11" si="2">IF(ROUNDDOWN($G4*0.5,0)&gt;$W4,$W4+L4,ROUNDDOWN($G4*0.5,0))</f>
        <v>22</v>
      </c>
      <c r="L4" s="101">
        <f t="shared" ref="L4:L11" si="3">SUMIF($X$2:$AG$2,$K$2,X4:AG4)</f>
        <v>0</v>
      </c>
      <c r="M4" s="101">
        <f>K4-L4</f>
        <v>22</v>
      </c>
      <c r="N4" s="102">
        <f t="shared" ref="N4:N11" si="4">IF(ROUNDDOWN($G4*0.5,0)&gt;$W4,$W4+O4,ROUNDDOWN($G4*0.5,0))</f>
        <v>22</v>
      </c>
      <c r="O4" s="102">
        <f t="shared" ref="O4:O11" si="5">SUMIF($X$2:$AG$2,$N$2,X4:AG4)</f>
        <v>0</v>
      </c>
      <c r="P4" s="102">
        <f>N4-O4</f>
        <v>22</v>
      </c>
      <c r="Q4" s="103">
        <f t="shared" ref="Q4:Q11" si="6">IF(ROUNDDOWN($G4*0.5,0)&gt;$W4,$W4+R4,ROUNDDOWN($G4*0.5,0))</f>
        <v>22</v>
      </c>
      <c r="R4" s="103">
        <f t="shared" ref="R4:R11" si="7">SUMIF($X$2:$AG$2,$Q$2,X4:AG4)</f>
        <v>0</v>
      </c>
      <c r="S4" s="103">
        <f>Q4-R4</f>
        <v>22</v>
      </c>
      <c r="T4" s="104">
        <f>G4*2</f>
        <v>88</v>
      </c>
      <c r="U4" s="104">
        <v>0</v>
      </c>
      <c r="V4" s="104">
        <f>(SUM(Z4:AS4))</f>
        <v>0</v>
      </c>
      <c r="W4" s="104">
        <f>T4-V4-U4</f>
        <v>88</v>
      </c>
      <c r="X4" s="105">
        <v>31</v>
      </c>
      <c r="Y4" s="105">
        <f t="shared" ref="Y4:Y11" si="8">X4*G4</f>
        <v>1364</v>
      </c>
      <c r="Z4" s="106"/>
      <c r="AA4" s="107"/>
      <c r="AB4" s="106"/>
      <c r="AC4" s="107"/>
      <c r="AD4" s="106"/>
      <c r="AE4" s="107"/>
      <c r="AF4" s="106"/>
      <c r="AG4" s="107"/>
      <c r="AH4" s="106"/>
      <c r="AI4" s="107"/>
      <c r="AJ4" s="106"/>
      <c r="AK4" s="107"/>
      <c r="AL4" s="106"/>
      <c r="AM4" s="107"/>
      <c r="AN4" s="106"/>
      <c r="AO4" s="107"/>
      <c r="AP4" s="106"/>
      <c r="AQ4" s="107"/>
      <c r="AR4" s="106"/>
      <c r="AS4" s="107"/>
    </row>
    <row r="5" spans="1:45" ht="35.1" customHeight="1" x14ac:dyDescent="0.25">
      <c r="A5" s="61">
        <v>2</v>
      </c>
      <c r="B5" s="172"/>
      <c r="C5" s="64" t="s">
        <v>85</v>
      </c>
      <c r="D5" s="78" t="s">
        <v>97</v>
      </c>
      <c r="E5" s="78" t="s">
        <v>98</v>
      </c>
      <c r="F5" s="70" t="s">
        <v>3</v>
      </c>
      <c r="G5" s="13">
        <v>531</v>
      </c>
      <c r="H5" s="100">
        <f t="shared" si="0"/>
        <v>265</v>
      </c>
      <c r="I5" s="100">
        <f t="shared" si="1"/>
        <v>0</v>
      </c>
      <c r="J5" s="100">
        <f t="shared" ref="J5:J11" si="9">H5-I5</f>
        <v>265</v>
      </c>
      <c r="K5" s="101">
        <f t="shared" si="2"/>
        <v>265</v>
      </c>
      <c r="L5" s="101">
        <f t="shared" si="3"/>
        <v>0</v>
      </c>
      <c r="M5" s="101">
        <f t="shared" ref="M5:M11" si="10">K5-L5</f>
        <v>265</v>
      </c>
      <c r="N5" s="102">
        <f t="shared" si="4"/>
        <v>265</v>
      </c>
      <c r="O5" s="102">
        <f t="shared" si="5"/>
        <v>0</v>
      </c>
      <c r="P5" s="102">
        <f t="shared" ref="P5:P11" si="11">N5-O5</f>
        <v>265</v>
      </c>
      <c r="Q5" s="103">
        <f t="shared" si="6"/>
        <v>265</v>
      </c>
      <c r="R5" s="103">
        <f t="shared" si="7"/>
        <v>0</v>
      </c>
      <c r="S5" s="103">
        <f t="shared" ref="S5:S11" si="12">Q5-R5</f>
        <v>265</v>
      </c>
      <c r="T5" s="104">
        <f t="shared" ref="T5:T11" si="13">G5*2</f>
        <v>1062</v>
      </c>
      <c r="U5" s="104">
        <v>0</v>
      </c>
      <c r="V5" s="104">
        <f t="shared" ref="V5:V11" si="14">(SUM(Z5:AS5))</f>
        <v>0</v>
      </c>
      <c r="W5" s="104">
        <f t="shared" ref="W5:W11" si="15">T5-V5-U5</f>
        <v>1062</v>
      </c>
      <c r="X5" s="105">
        <v>14.87</v>
      </c>
      <c r="Y5" s="105">
        <f t="shared" si="8"/>
        <v>7895.9699999999993</v>
      </c>
      <c r="Z5" s="106"/>
      <c r="AA5" s="107"/>
      <c r="AB5" s="106"/>
      <c r="AC5" s="107"/>
      <c r="AD5" s="106"/>
      <c r="AE5" s="107"/>
      <c r="AF5" s="106"/>
      <c r="AG5" s="107"/>
      <c r="AH5" s="106"/>
      <c r="AI5" s="107"/>
      <c r="AJ5" s="106"/>
      <c r="AK5" s="107"/>
      <c r="AL5" s="106"/>
      <c r="AM5" s="107"/>
      <c r="AN5" s="106"/>
      <c r="AO5" s="107"/>
      <c r="AP5" s="106"/>
      <c r="AQ5" s="107"/>
      <c r="AR5" s="106"/>
      <c r="AS5" s="107"/>
    </row>
    <row r="6" spans="1:45" ht="35.1" customHeight="1" x14ac:dyDescent="0.25">
      <c r="A6" s="61">
        <v>3</v>
      </c>
      <c r="B6" s="173"/>
      <c r="C6" s="64" t="s">
        <v>86</v>
      </c>
      <c r="D6" s="78" t="s">
        <v>99</v>
      </c>
      <c r="E6" s="78" t="s">
        <v>100</v>
      </c>
      <c r="F6" s="70" t="s">
        <v>3</v>
      </c>
      <c r="G6" s="13">
        <v>40</v>
      </c>
      <c r="H6" s="100">
        <f t="shared" si="0"/>
        <v>20</v>
      </c>
      <c r="I6" s="100">
        <f t="shared" si="1"/>
        <v>0</v>
      </c>
      <c r="J6" s="100">
        <f t="shared" si="9"/>
        <v>20</v>
      </c>
      <c r="K6" s="101">
        <f t="shared" si="2"/>
        <v>20</v>
      </c>
      <c r="L6" s="101">
        <f t="shared" si="3"/>
        <v>0</v>
      </c>
      <c r="M6" s="101">
        <f t="shared" si="10"/>
        <v>20</v>
      </c>
      <c r="N6" s="102">
        <f t="shared" si="4"/>
        <v>20</v>
      </c>
      <c r="O6" s="102">
        <f t="shared" si="5"/>
        <v>0</v>
      </c>
      <c r="P6" s="102">
        <f t="shared" si="11"/>
        <v>20</v>
      </c>
      <c r="Q6" s="103">
        <f t="shared" si="6"/>
        <v>20</v>
      </c>
      <c r="R6" s="103">
        <f t="shared" si="7"/>
        <v>0</v>
      </c>
      <c r="S6" s="103">
        <f t="shared" si="12"/>
        <v>20</v>
      </c>
      <c r="T6" s="104">
        <f t="shared" si="13"/>
        <v>80</v>
      </c>
      <c r="U6" s="104">
        <v>0</v>
      </c>
      <c r="V6" s="104">
        <f t="shared" si="14"/>
        <v>0</v>
      </c>
      <c r="W6" s="104">
        <f t="shared" si="15"/>
        <v>80</v>
      </c>
      <c r="X6" s="105">
        <v>6</v>
      </c>
      <c r="Y6" s="105">
        <f t="shared" si="8"/>
        <v>240</v>
      </c>
      <c r="Z6" s="106"/>
      <c r="AA6" s="107"/>
      <c r="AB6" s="106"/>
      <c r="AC6" s="107"/>
      <c r="AD6" s="106"/>
      <c r="AE6" s="107"/>
      <c r="AF6" s="106"/>
      <c r="AG6" s="107"/>
      <c r="AH6" s="106"/>
      <c r="AI6" s="107"/>
      <c r="AJ6" s="106"/>
      <c r="AK6" s="107"/>
      <c r="AL6" s="106"/>
      <c r="AM6" s="107"/>
      <c r="AN6" s="106"/>
      <c r="AO6" s="107"/>
      <c r="AP6" s="106"/>
      <c r="AQ6" s="107"/>
      <c r="AR6" s="106"/>
      <c r="AS6" s="107"/>
    </row>
    <row r="7" spans="1:45" ht="35.1" customHeight="1" x14ac:dyDescent="0.25">
      <c r="A7" s="61">
        <v>4</v>
      </c>
      <c r="B7" s="171" t="s">
        <v>83</v>
      </c>
      <c r="C7" s="64" t="s">
        <v>87</v>
      </c>
      <c r="D7" s="78" t="s">
        <v>101</v>
      </c>
      <c r="E7" s="78" t="s">
        <v>102</v>
      </c>
      <c r="F7" s="70" t="s">
        <v>57</v>
      </c>
      <c r="G7" s="13">
        <v>1097</v>
      </c>
      <c r="H7" s="100">
        <f t="shared" si="0"/>
        <v>548</v>
      </c>
      <c r="I7" s="100">
        <f t="shared" si="1"/>
        <v>0</v>
      </c>
      <c r="J7" s="100">
        <f t="shared" si="9"/>
        <v>548</v>
      </c>
      <c r="K7" s="101">
        <f t="shared" si="2"/>
        <v>548</v>
      </c>
      <c r="L7" s="101">
        <f t="shared" si="3"/>
        <v>0</v>
      </c>
      <c r="M7" s="101">
        <f t="shared" si="10"/>
        <v>548</v>
      </c>
      <c r="N7" s="102">
        <f t="shared" si="4"/>
        <v>548</v>
      </c>
      <c r="O7" s="102">
        <f t="shared" si="5"/>
        <v>0</v>
      </c>
      <c r="P7" s="102">
        <f t="shared" si="11"/>
        <v>548</v>
      </c>
      <c r="Q7" s="103">
        <f t="shared" si="6"/>
        <v>548</v>
      </c>
      <c r="R7" s="103">
        <f t="shared" si="7"/>
        <v>0</v>
      </c>
      <c r="S7" s="103">
        <f t="shared" si="12"/>
        <v>548</v>
      </c>
      <c r="T7" s="104">
        <f t="shared" si="13"/>
        <v>2194</v>
      </c>
      <c r="U7" s="104">
        <v>0</v>
      </c>
      <c r="V7" s="104">
        <f t="shared" si="14"/>
        <v>0</v>
      </c>
      <c r="W7" s="104">
        <f t="shared" si="15"/>
        <v>2194</v>
      </c>
      <c r="X7" s="105">
        <v>9.17</v>
      </c>
      <c r="Y7" s="105">
        <f t="shared" si="8"/>
        <v>10059.49</v>
      </c>
      <c r="Z7" s="106"/>
      <c r="AA7" s="107"/>
      <c r="AB7" s="106"/>
      <c r="AC7" s="107"/>
      <c r="AD7" s="106"/>
      <c r="AE7" s="107"/>
      <c r="AF7" s="106"/>
      <c r="AG7" s="107"/>
      <c r="AH7" s="106"/>
      <c r="AI7" s="107"/>
      <c r="AJ7" s="106"/>
      <c r="AK7" s="107"/>
      <c r="AL7" s="106"/>
      <c r="AM7" s="107"/>
      <c r="AN7" s="106"/>
      <c r="AO7" s="107"/>
      <c r="AP7" s="106"/>
      <c r="AQ7" s="107"/>
      <c r="AR7" s="106"/>
      <c r="AS7" s="107"/>
    </row>
    <row r="8" spans="1:45" ht="35.1" customHeight="1" x14ac:dyDescent="0.25">
      <c r="A8" s="61">
        <v>5</v>
      </c>
      <c r="B8" s="172"/>
      <c r="C8" s="65" t="s">
        <v>88</v>
      </c>
      <c r="D8" s="78" t="s">
        <v>103</v>
      </c>
      <c r="E8" s="78" t="s">
        <v>104</v>
      </c>
      <c r="F8" s="88" t="s">
        <v>3</v>
      </c>
      <c r="G8" s="13">
        <v>1184</v>
      </c>
      <c r="H8" s="100">
        <f t="shared" si="0"/>
        <v>592</v>
      </c>
      <c r="I8" s="100">
        <f t="shared" si="1"/>
        <v>0</v>
      </c>
      <c r="J8" s="100">
        <f t="shared" si="9"/>
        <v>592</v>
      </c>
      <c r="K8" s="101">
        <f t="shared" si="2"/>
        <v>592</v>
      </c>
      <c r="L8" s="101">
        <f t="shared" si="3"/>
        <v>0</v>
      </c>
      <c r="M8" s="101">
        <f t="shared" si="10"/>
        <v>592</v>
      </c>
      <c r="N8" s="102">
        <f t="shared" si="4"/>
        <v>592</v>
      </c>
      <c r="O8" s="102">
        <f t="shared" si="5"/>
        <v>0</v>
      </c>
      <c r="P8" s="102">
        <f t="shared" si="11"/>
        <v>592</v>
      </c>
      <c r="Q8" s="103">
        <f t="shared" si="6"/>
        <v>592</v>
      </c>
      <c r="R8" s="103">
        <f t="shared" si="7"/>
        <v>0</v>
      </c>
      <c r="S8" s="103">
        <f t="shared" si="12"/>
        <v>592</v>
      </c>
      <c r="T8" s="104">
        <f t="shared" si="13"/>
        <v>2368</v>
      </c>
      <c r="U8" s="104">
        <v>0</v>
      </c>
      <c r="V8" s="104">
        <f t="shared" si="14"/>
        <v>0</v>
      </c>
      <c r="W8" s="104">
        <f t="shared" si="15"/>
        <v>2368</v>
      </c>
      <c r="X8" s="105">
        <v>2.2999999999999998</v>
      </c>
      <c r="Y8" s="105">
        <f t="shared" si="8"/>
        <v>2723.2</v>
      </c>
      <c r="Z8" s="106"/>
      <c r="AA8" s="107"/>
      <c r="AB8" s="106"/>
      <c r="AC8" s="107"/>
      <c r="AD8" s="106"/>
      <c r="AE8" s="107"/>
      <c r="AF8" s="106"/>
      <c r="AG8" s="107"/>
      <c r="AH8" s="106"/>
      <c r="AI8" s="107"/>
      <c r="AJ8" s="106"/>
      <c r="AK8" s="107"/>
      <c r="AL8" s="106"/>
      <c r="AM8" s="107"/>
      <c r="AN8" s="106"/>
      <c r="AO8" s="107"/>
      <c r="AP8" s="106"/>
      <c r="AQ8" s="107"/>
      <c r="AR8" s="106"/>
      <c r="AS8" s="107"/>
    </row>
    <row r="9" spans="1:45" ht="35.1" customHeight="1" x14ac:dyDescent="0.25">
      <c r="A9" s="61">
        <v>6</v>
      </c>
      <c r="B9" s="172"/>
      <c r="C9" s="65" t="s">
        <v>89</v>
      </c>
      <c r="D9" s="78" t="s">
        <v>103</v>
      </c>
      <c r="E9" s="78" t="s">
        <v>105</v>
      </c>
      <c r="F9" s="88" t="s">
        <v>57</v>
      </c>
      <c r="G9" s="13">
        <v>502</v>
      </c>
      <c r="H9" s="100">
        <f t="shared" si="0"/>
        <v>251</v>
      </c>
      <c r="I9" s="100">
        <f t="shared" si="1"/>
        <v>0</v>
      </c>
      <c r="J9" s="100">
        <f t="shared" si="9"/>
        <v>251</v>
      </c>
      <c r="K9" s="101">
        <f t="shared" si="2"/>
        <v>251</v>
      </c>
      <c r="L9" s="101">
        <f t="shared" si="3"/>
        <v>0</v>
      </c>
      <c r="M9" s="101">
        <f t="shared" si="10"/>
        <v>251</v>
      </c>
      <c r="N9" s="102">
        <f t="shared" si="4"/>
        <v>251</v>
      </c>
      <c r="O9" s="102">
        <f t="shared" si="5"/>
        <v>0</v>
      </c>
      <c r="P9" s="102">
        <f t="shared" si="11"/>
        <v>251</v>
      </c>
      <c r="Q9" s="103">
        <f t="shared" si="6"/>
        <v>251</v>
      </c>
      <c r="R9" s="103">
        <f t="shared" si="7"/>
        <v>0</v>
      </c>
      <c r="S9" s="103">
        <f t="shared" si="12"/>
        <v>251</v>
      </c>
      <c r="T9" s="104">
        <f t="shared" si="13"/>
        <v>1004</v>
      </c>
      <c r="U9" s="104">
        <v>0</v>
      </c>
      <c r="V9" s="104">
        <f t="shared" si="14"/>
        <v>0</v>
      </c>
      <c r="W9" s="104">
        <f t="shared" si="15"/>
        <v>1004</v>
      </c>
      <c r="X9" s="105">
        <v>0.57999999999999996</v>
      </c>
      <c r="Y9" s="105">
        <f t="shared" si="8"/>
        <v>291.15999999999997</v>
      </c>
      <c r="Z9" s="106"/>
      <c r="AA9" s="107"/>
      <c r="AB9" s="106"/>
      <c r="AC9" s="107"/>
      <c r="AD9" s="106"/>
      <c r="AE9" s="107"/>
      <c r="AF9" s="106"/>
      <c r="AG9" s="107"/>
      <c r="AH9" s="106"/>
      <c r="AI9" s="107"/>
      <c r="AJ9" s="106"/>
      <c r="AK9" s="107"/>
      <c r="AL9" s="106"/>
      <c r="AM9" s="107"/>
      <c r="AN9" s="106"/>
      <c r="AO9" s="107"/>
      <c r="AP9" s="106"/>
      <c r="AQ9" s="107"/>
      <c r="AR9" s="106"/>
      <c r="AS9" s="107"/>
    </row>
    <row r="10" spans="1:45" ht="35.1" customHeight="1" x14ac:dyDescent="0.25">
      <c r="A10" s="61">
        <v>7</v>
      </c>
      <c r="B10" s="172"/>
      <c r="C10" s="65" t="s">
        <v>90</v>
      </c>
      <c r="D10" s="78" t="s">
        <v>103</v>
      </c>
      <c r="E10" s="78" t="s">
        <v>106</v>
      </c>
      <c r="F10" s="88" t="s">
        <v>3</v>
      </c>
      <c r="G10" s="13">
        <v>226</v>
      </c>
      <c r="H10" s="100">
        <f t="shared" si="0"/>
        <v>113</v>
      </c>
      <c r="I10" s="100">
        <f t="shared" si="1"/>
        <v>0</v>
      </c>
      <c r="J10" s="100">
        <f t="shared" si="9"/>
        <v>113</v>
      </c>
      <c r="K10" s="101">
        <f t="shared" si="2"/>
        <v>113</v>
      </c>
      <c r="L10" s="101">
        <f t="shared" si="3"/>
        <v>0</v>
      </c>
      <c r="M10" s="101">
        <f t="shared" si="10"/>
        <v>113</v>
      </c>
      <c r="N10" s="102">
        <f t="shared" si="4"/>
        <v>113</v>
      </c>
      <c r="O10" s="102">
        <f t="shared" si="5"/>
        <v>0</v>
      </c>
      <c r="P10" s="102">
        <f t="shared" si="11"/>
        <v>113</v>
      </c>
      <c r="Q10" s="103">
        <f t="shared" si="6"/>
        <v>113</v>
      </c>
      <c r="R10" s="103">
        <f t="shared" si="7"/>
        <v>0</v>
      </c>
      <c r="S10" s="103">
        <f t="shared" si="12"/>
        <v>113</v>
      </c>
      <c r="T10" s="104">
        <f t="shared" si="13"/>
        <v>452</v>
      </c>
      <c r="U10" s="104">
        <v>0</v>
      </c>
      <c r="V10" s="104">
        <f t="shared" si="14"/>
        <v>0</v>
      </c>
      <c r="W10" s="104">
        <f t="shared" si="15"/>
        <v>452</v>
      </c>
      <c r="X10" s="105">
        <v>4.1900000000000004</v>
      </c>
      <c r="Y10" s="105">
        <f t="shared" si="8"/>
        <v>946.94</v>
      </c>
      <c r="Z10" s="106"/>
      <c r="AA10" s="107"/>
      <c r="AB10" s="106"/>
      <c r="AC10" s="107"/>
      <c r="AD10" s="106"/>
      <c r="AE10" s="107"/>
      <c r="AF10" s="106"/>
      <c r="AG10" s="107"/>
      <c r="AH10" s="106"/>
      <c r="AI10" s="107"/>
      <c r="AJ10" s="106"/>
      <c r="AK10" s="107"/>
      <c r="AL10" s="106"/>
      <c r="AM10" s="107"/>
      <c r="AN10" s="106"/>
      <c r="AO10" s="107"/>
      <c r="AP10" s="106"/>
      <c r="AQ10" s="107"/>
      <c r="AR10" s="106"/>
      <c r="AS10" s="107"/>
    </row>
    <row r="11" spans="1:45" ht="35.1" customHeight="1" x14ac:dyDescent="0.25">
      <c r="A11" s="61">
        <v>8</v>
      </c>
      <c r="B11" s="172"/>
      <c r="C11" s="65" t="s">
        <v>91</v>
      </c>
      <c r="D11" s="78" t="s">
        <v>107</v>
      </c>
      <c r="E11" s="78" t="s">
        <v>108</v>
      </c>
      <c r="F11" s="88" t="s">
        <v>3</v>
      </c>
      <c r="G11" s="13">
        <v>3</v>
      </c>
      <c r="H11" s="100">
        <f t="shared" si="0"/>
        <v>1</v>
      </c>
      <c r="I11" s="100">
        <f t="shared" si="1"/>
        <v>0</v>
      </c>
      <c r="J11" s="100">
        <f t="shared" si="9"/>
        <v>1</v>
      </c>
      <c r="K11" s="101">
        <f t="shared" si="2"/>
        <v>1</v>
      </c>
      <c r="L11" s="101">
        <f t="shared" si="3"/>
        <v>0</v>
      </c>
      <c r="M11" s="101">
        <f t="shared" si="10"/>
        <v>1</v>
      </c>
      <c r="N11" s="102">
        <f t="shared" si="4"/>
        <v>1</v>
      </c>
      <c r="O11" s="102">
        <f t="shared" si="5"/>
        <v>0</v>
      </c>
      <c r="P11" s="102">
        <f t="shared" si="11"/>
        <v>1</v>
      </c>
      <c r="Q11" s="103">
        <f t="shared" si="6"/>
        <v>1</v>
      </c>
      <c r="R11" s="103">
        <f t="shared" si="7"/>
        <v>0</v>
      </c>
      <c r="S11" s="103">
        <f t="shared" si="12"/>
        <v>1</v>
      </c>
      <c r="T11" s="104">
        <f t="shared" si="13"/>
        <v>6</v>
      </c>
      <c r="U11" s="104">
        <v>0</v>
      </c>
      <c r="V11" s="104">
        <f t="shared" si="14"/>
        <v>0</v>
      </c>
      <c r="W11" s="104">
        <f t="shared" si="15"/>
        <v>6</v>
      </c>
      <c r="X11" s="105">
        <v>7.58</v>
      </c>
      <c r="Y11" s="105">
        <f t="shared" si="8"/>
        <v>22.740000000000002</v>
      </c>
      <c r="Z11" s="106"/>
      <c r="AA11" s="107"/>
      <c r="AB11" s="106"/>
      <c r="AC11" s="107"/>
      <c r="AD11" s="106"/>
      <c r="AE11" s="107"/>
      <c r="AF11" s="106"/>
      <c r="AG11" s="107"/>
      <c r="AH11" s="106"/>
      <c r="AI11" s="107"/>
      <c r="AJ11" s="106"/>
      <c r="AK11" s="107"/>
      <c r="AL11" s="106"/>
      <c r="AM11" s="107"/>
      <c r="AN11" s="106"/>
      <c r="AO11" s="107"/>
      <c r="AP11" s="106"/>
      <c r="AQ11" s="107"/>
      <c r="AR11" s="106"/>
      <c r="AS11" s="107"/>
    </row>
    <row r="12" spans="1:45" ht="35.1" customHeight="1" x14ac:dyDescent="0.25">
      <c r="A12" s="70">
        <v>9</v>
      </c>
      <c r="B12" s="173"/>
      <c r="C12" s="66" t="s">
        <v>92</v>
      </c>
      <c r="D12" s="78" t="s">
        <v>107</v>
      </c>
      <c r="E12" s="78" t="s">
        <v>109</v>
      </c>
      <c r="F12" s="88" t="s">
        <v>57</v>
      </c>
      <c r="G12" s="13">
        <v>87</v>
      </c>
      <c r="H12" s="100">
        <f t="shared" ref="H12" si="16">IF(ROUNDDOWN($G12*0.5,0)&gt;$W12,$W12+I12,ROUNDDOWN($G12*0.5,0))</f>
        <v>43</v>
      </c>
      <c r="I12" s="100">
        <f t="shared" ref="I12" si="17">SUMIF($X$2:$AG$2,$H$2,X12:AG12)</f>
        <v>0</v>
      </c>
      <c r="J12" s="100">
        <f t="shared" ref="J12" si="18">H12-I12</f>
        <v>43</v>
      </c>
      <c r="K12" s="101">
        <f t="shared" ref="K12" si="19">IF(ROUNDDOWN($G12*0.5,0)&gt;$W12,$W12+L12,ROUNDDOWN($G12*0.5,0))</f>
        <v>43</v>
      </c>
      <c r="L12" s="101">
        <f t="shared" ref="L12" si="20">SUMIF($X$2:$AG$2,$K$2,X12:AG12)</f>
        <v>0</v>
      </c>
      <c r="M12" s="101">
        <f t="shared" ref="M12" si="21">K12-L12</f>
        <v>43</v>
      </c>
      <c r="N12" s="102">
        <f t="shared" ref="N12" si="22">IF(ROUNDDOWN($G12*0.5,0)&gt;$W12,$W12+O12,ROUNDDOWN($G12*0.5,0))</f>
        <v>43</v>
      </c>
      <c r="O12" s="102">
        <f t="shared" ref="O12" si="23">SUMIF($X$2:$AG$2,$N$2,X12:AG12)</f>
        <v>0</v>
      </c>
      <c r="P12" s="102">
        <f t="shared" ref="P12" si="24">N12-O12</f>
        <v>43</v>
      </c>
      <c r="Q12" s="103">
        <f t="shared" ref="Q12" si="25">IF(ROUNDDOWN($G12*0.5,0)&gt;$W12,$W12+R12,ROUNDDOWN($G12*0.5,0))</f>
        <v>43</v>
      </c>
      <c r="R12" s="103">
        <f t="shared" ref="R12" si="26">SUMIF($X$2:$AG$2,$Q$2,X12:AG12)</f>
        <v>0</v>
      </c>
      <c r="S12" s="103">
        <f t="shared" ref="S12" si="27">Q12-R12</f>
        <v>43</v>
      </c>
      <c r="T12" s="104">
        <f t="shared" ref="T12" si="28">G12*2</f>
        <v>174</v>
      </c>
      <c r="U12" s="104">
        <v>0</v>
      </c>
      <c r="V12" s="104">
        <f t="shared" ref="V12" si="29">(SUM(Z12:AS12))</f>
        <v>0</v>
      </c>
      <c r="W12" s="104">
        <f t="shared" ref="W12" si="30">T12-V12-U12</f>
        <v>174</v>
      </c>
      <c r="X12" s="105">
        <v>82.56</v>
      </c>
      <c r="Y12" s="105">
        <f t="shared" ref="Y12" si="31">X12*G12</f>
        <v>7182.72</v>
      </c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</row>
    <row r="13" spans="1:45" x14ac:dyDescent="0.25">
      <c r="X13" s="110"/>
      <c r="Y13" s="110">
        <f>SUM(Y4:Y12)</f>
        <v>30726.22</v>
      </c>
      <c r="Z13" s="111">
        <f t="shared" ref="Z13:AS13" si="32">SUMPRODUCT($X$4:$X$12,Z4:Z12)</f>
        <v>0</v>
      </c>
      <c r="AA13" s="112">
        <f t="shared" si="32"/>
        <v>0</v>
      </c>
      <c r="AB13" s="111">
        <f t="shared" si="32"/>
        <v>0</v>
      </c>
      <c r="AC13" s="111">
        <f t="shared" si="32"/>
        <v>0</v>
      </c>
      <c r="AD13" s="111">
        <f t="shared" si="32"/>
        <v>0</v>
      </c>
      <c r="AE13" s="111">
        <f t="shared" si="32"/>
        <v>0</v>
      </c>
      <c r="AF13" s="111">
        <f t="shared" si="32"/>
        <v>0</v>
      </c>
      <c r="AG13" s="111">
        <f t="shared" si="32"/>
        <v>0</v>
      </c>
      <c r="AH13" s="111">
        <f t="shared" si="32"/>
        <v>0</v>
      </c>
      <c r="AI13" s="111">
        <f t="shared" si="32"/>
        <v>0</v>
      </c>
      <c r="AJ13" s="111">
        <f t="shared" si="32"/>
        <v>0</v>
      </c>
      <c r="AK13" s="111">
        <f t="shared" si="32"/>
        <v>0</v>
      </c>
      <c r="AL13" s="111">
        <f t="shared" si="32"/>
        <v>0</v>
      </c>
      <c r="AM13" s="111">
        <f t="shared" si="32"/>
        <v>0</v>
      </c>
      <c r="AN13" s="111">
        <f t="shared" si="32"/>
        <v>0</v>
      </c>
      <c r="AO13" s="111">
        <f t="shared" si="32"/>
        <v>0</v>
      </c>
      <c r="AP13" s="111">
        <f t="shared" si="32"/>
        <v>0</v>
      </c>
      <c r="AQ13" s="111">
        <f t="shared" si="32"/>
        <v>0</v>
      </c>
      <c r="AR13" s="111">
        <f t="shared" si="32"/>
        <v>0</v>
      </c>
      <c r="AS13" s="111">
        <f t="shared" si="32"/>
        <v>0</v>
      </c>
    </row>
    <row r="16" spans="1:45" x14ac:dyDescent="0.25">
      <c r="C16" s="213" t="str">
        <f>A1</f>
        <v>PE 1564/2025 SRP - (SGPE DE ORIGEM: 19881/2025)</v>
      </c>
      <c r="D16" s="213"/>
      <c r="E16" s="213"/>
      <c r="F16" s="213"/>
      <c r="G16" s="213"/>
    </row>
    <row r="17" spans="3:7" x14ac:dyDescent="0.25">
      <c r="C17" s="213" t="str">
        <f>C1</f>
        <v>OBJETO: AQUISIÇÃO DE MATERIAIS DE EXPEDIENTE PARA A UDESC - RELANÇAMENTO</v>
      </c>
      <c r="D17" s="213"/>
      <c r="E17" s="213"/>
      <c r="F17" s="213"/>
      <c r="G17" s="213"/>
    </row>
    <row r="18" spans="3:7" x14ac:dyDescent="0.25">
      <c r="C18" s="213" t="str">
        <f>K1</f>
        <v xml:space="preserve"> VIGÊNCIA DA ATA:  11/10/2025 até 11/10/2026</v>
      </c>
      <c r="D18" s="213"/>
      <c r="E18" s="213"/>
      <c r="F18" s="213"/>
      <c r="G18" s="213"/>
    </row>
    <row r="19" spans="3:7" x14ac:dyDescent="0.25">
      <c r="C19" s="113" t="s">
        <v>75</v>
      </c>
      <c r="D19" s="114"/>
      <c r="E19" s="114"/>
      <c r="F19" s="214">
        <f>Y13</f>
        <v>30726.22</v>
      </c>
      <c r="G19" s="215"/>
    </row>
    <row r="20" spans="3:7" x14ac:dyDescent="0.25">
      <c r="C20" s="115" t="s">
        <v>76</v>
      </c>
      <c r="D20" s="116"/>
      <c r="E20" s="116"/>
      <c r="F20" s="216">
        <f>SUM(Z13:AS13)</f>
        <v>0</v>
      </c>
      <c r="G20" s="217"/>
    </row>
    <row r="21" spans="3:7" x14ac:dyDescent="0.25">
      <c r="C21" s="120" t="s">
        <v>77</v>
      </c>
      <c r="D21" s="117"/>
      <c r="E21" s="117"/>
      <c r="F21" s="117"/>
      <c r="G21" s="118">
        <f>F20/F19</f>
        <v>0</v>
      </c>
    </row>
    <row r="22" spans="3:7" x14ac:dyDescent="0.25">
      <c r="C22" s="210" t="s">
        <v>140</v>
      </c>
      <c r="D22" s="211"/>
      <c r="E22" s="211"/>
      <c r="F22" s="211"/>
      <c r="G22" s="212"/>
    </row>
  </sheetData>
  <autoFilter ref="A3:AT13" xr:uid="{692F58ED-CC76-41DD-BD42-C085F05EB183}"/>
  <mergeCells count="18">
    <mergeCell ref="B4:B6"/>
    <mergeCell ref="B7:B12"/>
    <mergeCell ref="C22:G22"/>
    <mergeCell ref="C16:G16"/>
    <mergeCell ref="C17:G17"/>
    <mergeCell ref="C18:G18"/>
    <mergeCell ref="F19:G19"/>
    <mergeCell ref="F20:G20"/>
    <mergeCell ref="A1:B1"/>
    <mergeCell ref="C1:J1"/>
    <mergeCell ref="K1:Y1"/>
    <mergeCell ref="H2:J2"/>
    <mergeCell ref="K2:M2"/>
    <mergeCell ref="N2:P2"/>
    <mergeCell ref="Q2:S2"/>
    <mergeCell ref="T2:W2"/>
    <mergeCell ref="X2:Y2"/>
    <mergeCell ref="A2:G2"/>
  </mergeCells>
  <conditionalFormatting sqref="J4:J12">
    <cfRule type="cellIs" dxfId="10" priority="14" operator="lessThan">
      <formula>0</formula>
    </cfRule>
    <cfRule type="cellIs" dxfId="9" priority="15" operator="lessThan">
      <formula>0</formula>
    </cfRule>
  </conditionalFormatting>
  <conditionalFormatting sqref="Z4:AS12">
    <cfRule type="cellIs" dxfId="8" priority="16" operator="greaterThan">
      <formula>10</formula>
    </cfRule>
    <cfRule type="cellIs" dxfId="7" priority="17" operator="greaterThan">
      <formula>0</formula>
    </cfRule>
    <cfRule type="cellIs" dxfId="6" priority="19" stopIfTrue="1" operator="greaterThan">
      <formula>0</formula>
    </cfRule>
    <cfRule type="cellIs" dxfId="5" priority="20" stopIfTrue="1" operator="greaterThan">
      <formula>0</formula>
    </cfRule>
  </conditionalFormatting>
  <conditionalFormatting sqref="C12">
    <cfRule type="duplicateValues" dxfId="4" priority="1"/>
  </conditionalFormatting>
  <conditionalFormatting sqref="C8">
    <cfRule type="duplicateValues" dxfId="3" priority="59"/>
  </conditionalFormatting>
  <conditionalFormatting sqref="C9">
    <cfRule type="duplicateValues" dxfId="2" priority="60"/>
  </conditionalFormatting>
  <conditionalFormatting sqref="C10:C11">
    <cfRule type="duplicateValues" dxfId="1" priority="74"/>
  </conditionalFormatting>
  <conditionalFormatting sqref="C4:C7">
    <cfRule type="duplicateValues" dxfId="0" priority="75"/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11E2-E882-439E-AA31-4EBA469D7AAF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S15" sqref="S15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16.570312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157</v>
      </c>
      <c r="V1" s="139" t="s">
        <v>158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119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159</v>
      </c>
      <c r="V2" s="140" t="s">
        <v>160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45951</v>
      </c>
      <c r="V3" s="141">
        <v>45951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12</v>
      </c>
      <c r="L4" s="25">
        <f t="shared" ref="L4:L11" si="0">IF(SUM(U4:AZ4)&gt;K4+N4,K4+N4,SUM(U4:AZ4))</f>
        <v>12</v>
      </c>
      <c r="M4" s="25">
        <f t="shared" ref="M4:M11" si="1">(SUM(U4:AZ4))</f>
        <v>12</v>
      </c>
      <c r="N4" s="26"/>
      <c r="O4" s="27">
        <f>ROUND(IF(K4*0.25-0.5&lt;0,0,K4*0.25-0.5),0)-R4-P4</f>
        <v>3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3">
        <v>12</v>
      </c>
      <c r="V4" s="146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72</v>
      </c>
      <c r="L5" s="25">
        <f t="shared" si="0"/>
        <v>72</v>
      </c>
      <c r="M5" s="25">
        <f t="shared" si="1"/>
        <v>72</v>
      </c>
      <c r="N5" s="26"/>
      <c r="O5" s="27">
        <f t="shared" ref="O5:O12" si="3">ROUND(IF(K5*0.25-0.5&lt;0,0,K5*0.25-0.5),0)-R5-P5</f>
        <v>18</v>
      </c>
      <c r="P5" s="26"/>
      <c r="Q5" s="26"/>
      <c r="R5" s="26"/>
      <c r="S5" s="37">
        <f t="shared" si="2"/>
        <v>0</v>
      </c>
      <c r="T5" s="18" t="str">
        <f t="shared" ref="T5:T12" si="4">IF(S5&lt;0,"ATENÇÃO","OK")</f>
        <v>OK</v>
      </c>
      <c r="U5" s="143">
        <v>72</v>
      </c>
      <c r="V5" s="146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42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35</v>
      </c>
      <c r="L7" s="25">
        <f t="shared" si="0"/>
        <v>35</v>
      </c>
      <c r="M7" s="25">
        <f t="shared" si="1"/>
        <v>35</v>
      </c>
      <c r="N7" s="26"/>
      <c r="O7" s="27">
        <f t="shared" si="3"/>
        <v>8</v>
      </c>
      <c r="P7" s="26"/>
      <c r="Q7" s="26"/>
      <c r="R7" s="26"/>
      <c r="S7" s="37">
        <f t="shared" si="2"/>
        <v>0</v>
      </c>
      <c r="T7" s="18" t="str">
        <f t="shared" si="4"/>
        <v>OK</v>
      </c>
      <c r="U7" s="142"/>
      <c r="V7" s="147">
        <v>35</v>
      </c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6" t="s">
        <v>3</v>
      </c>
      <c r="H8" s="72" t="s">
        <v>114</v>
      </c>
      <c r="I8" s="74" t="s">
        <v>49</v>
      </c>
      <c r="J8" s="75">
        <v>2.2999999999999998</v>
      </c>
      <c r="K8" s="77">
        <v>35</v>
      </c>
      <c r="L8" s="25">
        <f t="shared" si="0"/>
        <v>35</v>
      </c>
      <c r="M8" s="25">
        <f t="shared" si="1"/>
        <v>35</v>
      </c>
      <c r="N8" s="26"/>
      <c r="O8" s="27">
        <f t="shared" si="3"/>
        <v>8</v>
      </c>
      <c r="P8" s="26"/>
      <c r="Q8" s="26"/>
      <c r="R8" s="26"/>
      <c r="S8" s="37">
        <f t="shared" si="2"/>
        <v>0</v>
      </c>
      <c r="T8" s="18" t="str">
        <f t="shared" si="4"/>
        <v>OK</v>
      </c>
      <c r="U8" s="142"/>
      <c r="V8" s="143">
        <v>35</v>
      </c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6" t="s">
        <v>57</v>
      </c>
      <c r="H9" s="72" t="s">
        <v>115</v>
      </c>
      <c r="I9" s="74" t="s">
        <v>49</v>
      </c>
      <c r="J9" s="75">
        <v>0.57999999999999996</v>
      </c>
      <c r="K9" s="77">
        <v>10</v>
      </c>
      <c r="L9" s="25">
        <f t="shared" si="0"/>
        <v>10</v>
      </c>
      <c r="M9" s="25">
        <f t="shared" si="1"/>
        <v>10</v>
      </c>
      <c r="N9" s="26"/>
      <c r="O9" s="27">
        <f t="shared" si="3"/>
        <v>2</v>
      </c>
      <c r="P9" s="26"/>
      <c r="Q9" s="26"/>
      <c r="R9" s="26"/>
      <c r="S9" s="37">
        <f t="shared" si="2"/>
        <v>0</v>
      </c>
      <c r="T9" s="18" t="str">
        <f t="shared" si="4"/>
        <v>OK</v>
      </c>
      <c r="U9" s="142"/>
      <c r="V9" s="147">
        <v>10</v>
      </c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6" t="s">
        <v>3</v>
      </c>
      <c r="H10" s="72" t="s">
        <v>116</v>
      </c>
      <c r="I10" s="74" t="s">
        <v>49</v>
      </c>
      <c r="J10" s="75">
        <v>4.1900000000000004</v>
      </c>
      <c r="K10" s="77">
        <v>16</v>
      </c>
      <c r="L10" s="25">
        <f t="shared" si="0"/>
        <v>16</v>
      </c>
      <c r="M10" s="25">
        <f t="shared" si="1"/>
        <v>16</v>
      </c>
      <c r="N10" s="26"/>
      <c r="O10" s="27">
        <f t="shared" si="3"/>
        <v>4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2"/>
      <c r="V10" s="147">
        <v>16</v>
      </c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6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46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6" t="s">
        <v>57</v>
      </c>
      <c r="H12" s="73" t="s">
        <v>118</v>
      </c>
      <c r="I12" s="74" t="s">
        <v>49</v>
      </c>
      <c r="J12" s="75">
        <v>82.56</v>
      </c>
      <c r="K12" s="77">
        <v>2</v>
      </c>
      <c r="L12" s="25">
        <f t="shared" ref="L12" si="5">IF(SUM(U12:AZ12)&gt;K12+N12,K12+N12,SUM(U12:AZ12))</f>
        <v>2</v>
      </c>
      <c r="M12" s="25">
        <f t="shared" ref="M12" si="6">(SUM(U12:AZ12))</f>
        <v>2</v>
      </c>
      <c r="N12" s="26"/>
      <c r="O12" s="27">
        <f t="shared" si="3"/>
        <v>0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42"/>
      <c r="V12" s="147">
        <v>2</v>
      </c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182</v>
      </c>
      <c r="L13" s="50">
        <f t="shared" si="8"/>
        <v>182</v>
      </c>
      <c r="M13" s="50">
        <f t="shared" si="8"/>
        <v>182</v>
      </c>
      <c r="N13" s="50">
        <f t="shared" si="8"/>
        <v>0</v>
      </c>
      <c r="O13" s="50">
        <f t="shared" si="8"/>
        <v>43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0</v>
      </c>
      <c r="U13" s="144">
        <f>SUMPRODUCT($J$4:$J$12,U4:U12)</f>
        <v>1442.6399999999999</v>
      </c>
      <c r="V13" s="144">
        <f t="shared" ref="V13:X13" si="9">SUMPRODUCT($J$4:$J$12,V4:V12)</f>
        <v>639.41000000000008</v>
      </c>
      <c r="W13" s="144">
        <f t="shared" si="9"/>
        <v>0</v>
      </c>
      <c r="X13" s="144">
        <f t="shared" si="9"/>
        <v>0</v>
      </c>
      <c r="Y13" s="19">
        <f t="shared" ref="Y13:AZ13" si="10">SUMPRODUCT($J$4:$J$12,Y4:Y12)</f>
        <v>0</v>
      </c>
      <c r="Z13" s="19">
        <f t="shared" si="10"/>
        <v>0</v>
      </c>
      <c r="AA13" s="19">
        <f t="shared" si="10"/>
        <v>0</v>
      </c>
      <c r="AB13" s="19">
        <f t="shared" si="10"/>
        <v>0</v>
      </c>
      <c r="AC13" s="19">
        <f t="shared" si="10"/>
        <v>0</v>
      </c>
      <c r="AD13" s="19">
        <f t="shared" si="10"/>
        <v>0</v>
      </c>
      <c r="AE13" s="19">
        <f t="shared" si="10"/>
        <v>0</v>
      </c>
      <c r="AF13" s="19">
        <f t="shared" si="10"/>
        <v>0</v>
      </c>
      <c r="AG13" s="19">
        <f t="shared" si="10"/>
        <v>0</v>
      </c>
      <c r="AH13" s="19">
        <f t="shared" si="10"/>
        <v>0</v>
      </c>
      <c r="AI13" s="19">
        <f t="shared" si="10"/>
        <v>0</v>
      </c>
      <c r="AJ13" s="19">
        <f t="shared" si="10"/>
        <v>0</v>
      </c>
      <c r="AK13" s="19">
        <f t="shared" si="10"/>
        <v>0</v>
      </c>
      <c r="AL13" s="19">
        <f t="shared" si="10"/>
        <v>0</v>
      </c>
      <c r="AM13" s="19">
        <f t="shared" si="10"/>
        <v>0</v>
      </c>
      <c r="AN13" s="19">
        <f t="shared" si="10"/>
        <v>0</v>
      </c>
      <c r="AO13" s="19">
        <f t="shared" si="10"/>
        <v>0</v>
      </c>
      <c r="AP13" s="19">
        <f t="shared" si="10"/>
        <v>0</v>
      </c>
      <c r="AQ13" s="19">
        <f t="shared" si="10"/>
        <v>0</v>
      </c>
      <c r="AR13" s="19">
        <f t="shared" si="10"/>
        <v>0</v>
      </c>
      <c r="AS13" s="19">
        <f t="shared" si="10"/>
        <v>0</v>
      </c>
      <c r="AT13" s="19">
        <f t="shared" si="10"/>
        <v>0</v>
      </c>
      <c r="AU13" s="19">
        <f t="shared" si="10"/>
        <v>0</v>
      </c>
      <c r="AV13" s="19">
        <f t="shared" si="10"/>
        <v>0</v>
      </c>
      <c r="AW13" s="19">
        <f t="shared" si="10"/>
        <v>0</v>
      </c>
      <c r="AX13" s="19">
        <f t="shared" si="10"/>
        <v>0</v>
      </c>
      <c r="AY13" s="19">
        <f t="shared" si="10"/>
        <v>0</v>
      </c>
      <c r="AZ13" s="19">
        <f t="shared" si="10"/>
        <v>0</v>
      </c>
    </row>
    <row r="14" spans="1:52" ht="20.25" customHeight="1" x14ac:dyDescent="0.25">
      <c r="K14" s="56">
        <f t="shared" ref="K14:R14" si="11">SUMPRODUCT($J$4:$J$12,K4:K12)</f>
        <v>2082.0499999999997</v>
      </c>
      <c r="L14" s="56">
        <f t="shared" si="11"/>
        <v>2082.0499999999997</v>
      </c>
      <c r="M14" s="56">
        <f t="shared" si="11"/>
        <v>2082.0499999999997</v>
      </c>
      <c r="N14" s="56">
        <f t="shared" si="11"/>
        <v>0</v>
      </c>
      <c r="O14" s="56">
        <f t="shared" si="11"/>
        <v>470.34</v>
      </c>
      <c r="P14" s="56">
        <f t="shared" si="11"/>
        <v>0</v>
      </c>
      <c r="Q14" s="56">
        <f t="shared" si="11"/>
        <v>0</v>
      </c>
      <c r="R14" s="56">
        <f t="shared" si="11"/>
        <v>0</v>
      </c>
      <c r="U14" s="145"/>
      <c r="V14" s="145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4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148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148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148"/>
      <c r="W18" s="23"/>
      <c r="X18" s="23"/>
    </row>
  </sheetData>
  <autoFilter ref="A3:AZ14" xr:uid="{00000000-0001-0000-0000-000000000000}"/>
  <mergeCells count="12">
    <mergeCell ref="A1:C1"/>
    <mergeCell ref="D1:J1"/>
    <mergeCell ref="K1:T1"/>
    <mergeCell ref="A2:J2"/>
    <mergeCell ref="K2:T2"/>
    <mergeCell ref="B17:K17"/>
    <mergeCell ref="B18:K18"/>
    <mergeCell ref="A4:A6"/>
    <mergeCell ref="B4:B6"/>
    <mergeCell ref="A7:A12"/>
    <mergeCell ref="B7:B12"/>
    <mergeCell ref="B16:K16"/>
  </mergeCells>
  <conditionalFormatting sqref="T3:T1048576">
    <cfRule type="cellIs" dxfId="136" priority="6" operator="equal">
      <formula>"ATENÇÃO"</formula>
    </cfRule>
  </conditionalFormatting>
  <conditionalFormatting sqref="W4:AZ12">
    <cfRule type="cellIs" dxfId="135" priority="5" operator="greaterThan">
      <formula>0</formula>
    </cfRule>
  </conditionalFormatting>
  <conditionalFormatting sqref="S4:S12">
    <cfRule type="cellIs" dxfId="134" priority="4" operator="lessThan">
      <formula>0</formula>
    </cfRule>
  </conditionalFormatting>
  <conditionalFormatting sqref="T4:T12">
    <cfRule type="containsText" dxfId="133" priority="3" operator="containsText" text="ATENÇÃO">
      <formula>NOT(ISERROR(SEARCH("ATENÇÃO",T4)))</formula>
    </cfRule>
  </conditionalFormatting>
  <conditionalFormatting sqref="D12">
    <cfRule type="duplicateValues" dxfId="132" priority="2"/>
  </conditionalFormatting>
  <conditionalFormatting sqref="D8">
    <cfRule type="duplicateValues" dxfId="131" priority="7"/>
  </conditionalFormatting>
  <conditionalFormatting sqref="D10:D11">
    <cfRule type="duplicateValues" dxfId="130" priority="8"/>
  </conditionalFormatting>
  <conditionalFormatting sqref="D9">
    <cfRule type="duplicateValues" dxfId="129" priority="9"/>
  </conditionalFormatting>
  <conditionalFormatting sqref="D4:D7">
    <cfRule type="duplicateValues" dxfId="128" priority="10"/>
  </conditionalFormatting>
  <conditionalFormatting sqref="T1">
    <cfRule type="cellIs" dxfId="12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AA1F-239E-453B-98EF-89C508040474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S14" sqref="S14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21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155</v>
      </c>
      <c r="V1" s="139" t="s">
        <v>156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122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/>
      <c r="V2" s="140"/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45946</v>
      </c>
      <c r="V3" s="141">
        <v>46107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2"/>
      <c r="V4" s="146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50</v>
      </c>
      <c r="L5" s="25">
        <f t="shared" si="0"/>
        <v>50</v>
      </c>
      <c r="M5" s="25">
        <f t="shared" si="1"/>
        <v>50</v>
      </c>
      <c r="N5" s="26"/>
      <c r="O5" s="27">
        <f t="shared" ref="O5:O12" si="3">ROUND(IF(K5*0.25-0.5&lt;0,0,K5*0.25-0.5),0)-R5-P5</f>
        <v>12</v>
      </c>
      <c r="P5" s="26"/>
      <c r="Q5" s="26"/>
      <c r="R5" s="26"/>
      <c r="S5" s="37">
        <f t="shared" si="2"/>
        <v>0</v>
      </c>
      <c r="T5" s="18" t="str">
        <f t="shared" ref="T5:T12" si="4">IF(S5&lt;0,"ATENÇÃO","OK")</f>
        <v>OK</v>
      </c>
      <c r="U5" s="142"/>
      <c r="V5" s="147">
        <v>50</v>
      </c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42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100</v>
      </c>
      <c r="L7" s="25">
        <f t="shared" si="0"/>
        <v>50</v>
      </c>
      <c r="M7" s="25">
        <f t="shared" si="1"/>
        <v>50</v>
      </c>
      <c r="N7" s="26"/>
      <c r="O7" s="27">
        <f t="shared" si="3"/>
        <v>25</v>
      </c>
      <c r="P7" s="26"/>
      <c r="Q7" s="26"/>
      <c r="R7" s="26"/>
      <c r="S7" s="37">
        <f t="shared" si="2"/>
        <v>50</v>
      </c>
      <c r="T7" s="18" t="str">
        <f t="shared" si="4"/>
        <v>OK</v>
      </c>
      <c r="U7" s="143">
        <v>50</v>
      </c>
      <c r="V7" s="146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200</v>
      </c>
      <c r="L8" s="25">
        <f t="shared" si="0"/>
        <v>50</v>
      </c>
      <c r="M8" s="25">
        <f t="shared" si="1"/>
        <v>50</v>
      </c>
      <c r="N8" s="26"/>
      <c r="O8" s="27">
        <f t="shared" si="3"/>
        <v>50</v>
      </c>
      <c r="P8" s="26"/>
      <c r="Q8" s="26"/>
      <c r="R8" s="26"/>
      <c r="S8" s="37">
        <f t="shared" si="2"/>
        <v>150</v>
      </c>
      <c r="T8" s="18" t="str">
        <f t="shared" si="4"/>
        <v>OK</v>
      </c>
      <c r="U8" s="143">
        <v>50</v>
      </c>
      <c r="V8" s="142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70</v>
      </c>
      <c r="L9" s="25">
        <f t="shared" si="0"/>
        <v>20</v>
      </c>
      <c r="M9" s="25">
        <f t="shared" si="1"/>
        <v>20</v>
      </c>
      <c r="N9" s="26"/>
      <c r="O9" s="27">
        <f t="shared" si="3"/>
        <v>17</v>
      </c>
      <c r="P9" s="26"/>
      <c r="Q9" s="26"/>
      <c r="R9" s="26"/>
      <c r="S9" s="37">
        <f t="shared" si="2"/>
        <v>50</v>
      </c>
      <c r="T9" s="18" t="str">
        <f t="shared" si="4"/>
        <v>OK</v>
      </c>
      <c r="U9" s="143">
        <v>20</v>
      </c>
      <c r="V9" s="146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50</v>
      </c>
      <c r="L10" s="25">
        <f t="shared" si="0"/>
        <v>50</v>
      </c>
      <c r="M10" s="25">
        <f t="shared" si="1"/>
        <v>50</v>
      </c>
      <c r="N10" s="26"/>
      <c r="O10" s="27">
        <f t="shared" si="3"/>
        <v>12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3">
        <v>50</v>
      </c>
      <c r="V10" s="146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46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15</v>
      </c>
      <c r="L12" s="25">
        <f t="shared" ref="L12" si="5">IF(SUM(U12:AZ12)&gt;K12+N12,K12+N12,SUM(U12:AZ12))</f>
        <v>0</v>
      </c>
      <c r="M12" s="25">
        <f t="shared" ref="M12" si="6">(SUM(U12:AZ12))</f>
        <v>0</v>
      </c>
      <c r="N12" s="26"/>
      <c r="O12" s="27">
        <f t="shared" si="3"/>
        <v>3</v>
      </c>
      <c r="P12" s="26"/>
      <c r="Q12" s="26"/>
      <c r="R12" s="26"/>
      <c r="S12" s="37">
        <f t="shared" ref="S12" si="7">K12-SUM(U12:AZ12)+N12</f>
        <v>15</v>
      </c>
      <c r="T12" s="18" t="str">
        <f t="shared" si="4"/>
        <v>OK</v>
      </c>
      <c r="U12" s="142"/>
      <c r="V12" s="146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485</v>
      </c>
      <c r="L13" s="50">
        <f t="shared" si="8"/>
        <v>220</v>
      </c>
      <c r="M13" s="50">
        <f t="shared" si="8"/>
        <v>220</v>
      </c>
      <c r="N13" s="50">
        <f t="shared" si="8"/>
        <v>0</v>
      </c>
      <c r="O13" s="50">
        <f t="shared" si="8"/>
        <v>119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265</v>
      </c>
      <c r="U13" s="144">
        <f>SUMPRODUCT($J$4:$J$12,U4:U12)</f>
        <v>794.6</v>
      </c>
      <c r="V13" s="144">
        <f>SUMPRODUCT($J$4:$J$12,V4:V12)</f>
        <v>743.5</v>
      </c>
      <c r="W13" s="19">
        <f t="shared" ref="W13:AZ13" si="9">SUMPRODUCT($J$4:$J$12,W4:W12)</f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3609</v>
      </c>
      <c r="L14" s="56">
        <f t="shared" si="10"/>
        <v>1538.1</v>
      </c>
      <c r="M14" s="56">
        <f t="shared" si="10"/>
        <v>1538.1</v>
      </c>
      <c r="N14" s="56">
        <f t="shared" si="10"/>
        <v>0</v>
      </c>
      <c r="O14" s="56">
        <f t="shared" si="10"/>
        <v>830.51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45"/>
      <c r="V14" s="145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4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148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148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148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126" priority="6" operator="equal">
      <formula>"ATENÇÃO"</formula>
    </cfRule>
  </conditionalFormatting>
  <conditionalFormatting sqref="W4:AZ12">
    <cfRule type="cellIs" dxfId="125" priority="5" operator="greaterThan">
      <formula>0</formula>
    </cfRule>
  </conditionalFormatting>
  <conditionalFormatting sqref="S4:S12">
    <cfRule type="cellIs" dxfId="124" priority="4" operator="lessThan">
      <formula>0</formula>
    </cfRule>
  </conditionalFormatting>
  <conditionalFormatting sqref="T4:T12">
    <cfRule type="containsText" dxfId="123" priority="3" operator="containsText" text="ATENÇÃO">
      <formula>NOT(ISERROR(SEARCH("ATENÇÃO",T4)))</formula>
    </cfRule>
  </conditionalFormatting>
  <conditionalFormatting sqref="D12">
    <cfRule type="duplicateValues" dxfId="122" priority="2"/>
  </conditionalFormatting>
  <conditionalFormatting sqref="D8">
    <cfRule type="duplicateValues" dxfId="121" priority="7"/>
  </conditionalFormatting>
  <conditionalFormatting sqref="D10:D11">
    <cfRule type="duplicateValues" dxfId="120" priority="8"/>
  </conditionalFormatting>
  <conditionalFormatting sqref="D9">
    <cfRule type="duplicateValues" dxfId="119" priority="9"/>
  </conditionalFormatting>
  <conditionalFormatting sqref="D4:D7">
    <cfRule type="duplicateValues" dxfId="118" priority="10"/>
  </conditionalFormatting>
  <conditionalFormatting sqref="T1">
    <cfRule type="cellIs" dxfId="11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3EF0-4840-4AC4-9F23-4A1DD1C4210E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V19" sqref="V19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23.14062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163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123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149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45950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2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15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3</v>
      </c>
      <c r="P5" s="26"/>
      <c r="Q5" s="26"/>
      <c r="R5" s="26"/>
      <c r="S5" s="37">
        <f t="shared" si="2"/>
        <v>15</v>
      </c>
      <c r="T5" s="18" t="str">
        <f t="shared" ref="T5:T12" si="4">IF(S5&lt;0,"ATENÇÃO","OK")</f>
        <v>OK</v>
      </c>
      <c r="U5" s="142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185</v>
      </c>
      <c r="L7" s="25">
        <f t="shared" si="0"/>
        <v>185</v>
      </c>
      <c r="M7" s="25">
        <f t="shared" si="1"/>
        <v>185</v>
      </c>
      <c r="N7" s="26"/>
      <c r="O7" s="27">
        <f t="shared" si="3"/>
        <v>46</v>
      </c>
      <c r="P7" s="26"/>
      <c r="Q7" s="26"/>
      <c r="R7" s="26"/>
      <c r="S7" s="37">
        <f t="shared" si="2"/>
        <v>0</v>
      </c>
      <c r="T7" s="18" t="str">
        <f t="shared" si="4"/>
        <v>OK</v>
      </c>
      <c r="U7" s="143">
        <v>185</v>
      </c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204</v>
      </c>
      <c r="L8" s="25">
        <f t="shared" si="0"/>
        <v>204</v>
      </c>
      <c r="M8" s="25">
        <f t="shared" si="1"/>
        <v>204</v>
      </c>
      <c r="N8" s="26"/>
      <c r="O8" s="27">
        <f t="shared" si="3"/>
        <v>51</v>
      </c>
      <c r="P8" s="26"/>
      <c r="Q8" s="26"/>
      <c r="R8" s="26"/>
      <c r="S8" s="37">
        <f t="shared" si="2"/>
        <v>0</v>
      </c>
      <c r="T8" s="18" t="str">
        <f t="shared" si="4"/>
        <v>OK</v>
      </c>
      <c r="U8" s="143">
        <v>204</v>
      </c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70</v>
      </c>
      <c r="L9" s="25">
        <f t="shared" si="0"/>
        <v>40</v>
      </c>
      <c r="M9" s="25">
        <f t="shared" si="1"/>
        <v>40</v>
      </c>
      <c r="N9" s="26"/>
      <c r="O9" s="27">
        <f t="shared" si="3"/>
        <v>17</v>
      </c>
      <c r="P9" s="26"/>
      <c r="Q9" s="26"/>
      <c r="R9" s="26"/>
      <c r="S9" s="37">
        <f t="shared" si="2"/>
        <v>30</v>
      </c>
      <c r="T9" s="18" t="str">
        <f t="shared" si="4"/>
        <v>OK</v>
      </c>
      <c r="U9" s="143">
        <v>40</v>
      </c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0</v>
      </c>
      <c r="L10" s="25">
        <f t="shared" si="0"/>
        <v>0</v>
      </c>
      <c r="M10" s="25">
        <f t="shared" si="1"/>
        <v>0</v>
      </c>
      <c r="N10" s="26"/>
      <c r="O10" s="27">
        <f t="shared" si="3"/>
        <v>0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2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0</v>
      </c>
      <c r="L12" s="25">
        <f t="shared" ref="L12" si="5">IF(SUM(U12:AZ12)&gt;K12+N12,K12+N12,SUM(U12:AZ12))</f>
        <v>0</v>
      </c>
      <c r="M12" s="25">
        <f t="shared" ref="M12" si="6">(SUM(U12:AZ12))</f>
        <v>0</v>
      </c>
      <c r="N12" s="26"/>
      <c r="O12" s="27">
        <f t="shared" si="3"/>
        <v>0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42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474</v>
      </c>
      <c r="L13" s="50">
        <f t="shared" si="8"/>
        <v>429</v>
      </c>
      <c r="M13" s="50">
        <f t="shared" si="8"/>
        <v>429</v>
      </c>
      <c r="N13" s="50">
        <f t="shared" si="8"/>
        <v>0</v>
      </c>
      <c r="O13" s="50">
        <f t="shared" si="8"/>
        <v>117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45</v>
      </c>
      <c r="U13" s="144">
        <f>SUMPRODUCT($J$4:$J$12,U4:U12)</f>
        <v>2188.85</v>
      </c>
      <c r="V13" s="19">
        <f t="shared" ref="V13:AZ13" si="9">SUMPRODUCT($J$4:$J$12,V4:V12)</f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2429.2999999999997</v>
      </c>
      <c r="L14" s="56">
        <f t="shared" si="10"/>
        <v>2188.85</v>
      </c>
      <c r="M14" s="56">
        <f t="shared" si="10"/>
        <v>2188.85</v>
      </c>
      <c r="N14" s="56">
        <f t="shared" si="10"/>
        <v>0</v>
      </c>
      <c r="O14" s="56">
        <f t="shared" si="10"/>
        <v>593.59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45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116" priority="6" operator="equal">
      <formula>"ATENÇÃO"</formula>
    </cfRule>
  </conditionalFormatting>
  <conditionalFormatting sqref="V4:AZ12">
    <cfRule type="cellIs" dxfId="115" priority="5" operator="greaterThan">
      <formula>0</formula>
    </cfRule>
  </conditionalFormatting>
  <conditionalFormatting sqref="S4:S12">
    <cfRule type="cellIs" dxfId="114" priority="4" operator="lessThan">
      <formula>0</formula>
    </cfRule>
  </conditionalFormatting>
  <conditionalFormatting sqref="T4:T12">
    <cfRule type="containsText" dxfId="113" priority="3" operator="containsText" text="ATENÇÃO">
      <formula>NOT(ISERROR(SEARCH("ATENÇÃO",T4)))</formula>
    </cfRule>
  </conditionalFormatting>
  <conditionalFormatting sqref="D12">
    <cfRule type="duplicateValues" dxfId="112" priority="2"/>
  </conditionalFormatting>
  <conditionalFormatting sqref="D8">
    <cfRule type="duplicateValues" dxfId="111" priority="7"/>
  </conditionalFormatting>
  <conditionalFormatting sqref="D10:D11">
    <cfRule type="duplicateValues" dxfId="110" priority="8"/>
  </conditionalFormatting>
  <conditionalFormatting sqref="D9">
    <cfRule type="duplicateValues" dxfId="109" priority="9"/>
  </conditionalFormatting>
  <conditionalFormatting sqref="D4:D7">
    <cfRule type="duplicateValues" dxfId="108" priority="10"/>
  </conditionalFormatting>
  <conditionalFormatting sqref="T1">
    <cfRule type="cellIs" dxfId="10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F116-57A4-495B-95A3-A787B5C90C75}">
  <sheetPr>
    <tabColor rgb="FF92D050"/>
  </sheetPr>
  <dimension ref="A1:AZ18"/>
  <sheetViews>
    <sheetView zoomScale="85" zoomScaleNormal="85" workbookViewId="0">
      <pane xSplit="20" topLeftCell="U1" activePane="topRight" state="frozen"/>
      <selection pane="topRight" activeCell="V15" sqref="V15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37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166</v>
      </c>
      <c r="V1" s="139" t="s">
        <v>167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124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168</v>
      </c>
      <c r="V2" s="140" t="s">
        <v>169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46071</v>
      </c>
      <c r="V3" s="141">
        <v>46071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2"/>
      <c r="V4" s="146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60</v>
      </c>
      <c r="L5" s="25">
        <f t="shared" si="0"/>
        <v>60</v>
      </c>
      <c r="M5" s="25">
        <f t="shared" si="1"/>
        <v>60</v>
      </c>
      <c r="N5" s="26"/>
      <c r="O5" s="27">
        <f t="shared" ref="O5:O12" si="3">ROUND(IF(K5*0.25-0.5&lt;0,0,K5*0.25-0.5),0)-R5-P5</f>
        <v>15</v>
      </c>
      <c r="P5" s="26"/>
      <c r="Q5" s="26"/>
      <c r="R5" s="26"/>
      <c r="S5" s="37">
        <f t="shared" si="2"/>
        <v>0</v>
      </c>
      <c r="T5" s="18" t="str">
        <f t="shared" ref="T5:T12" si="4">IF(S5&lt;0,"ATENÇÃO","OK")</f>
        <v>OK</v>
      </c>
      <c r="U5" s="147">
        <v>60</v>
      </c>
      <c r="V5" s="146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42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165</v>
      </c>
      <c r="L7" s="25">
        <f t="shared" si="0"/>
        <v>80</v>
      </c>
      <c r="M7" s="25">
        <f t="shared" si="1"/>
        <v>80</v>
      </c>
      <c r="N7" s="26"/>
      <c r="O7" s="27">
        <f t="shared" si="3"/>
        <v>41</v>
      </c>
      <c r="P7" s="26"/>
      <c r="Q7" s="26"/>
      <c r="R7" s="26"/>
      <c r="S7" s="37">
        <f t="shared" si="2"/>
        <v>85</v>
      </c>
      <c r="T7" s="18" t="str">
        <f t="shared" si="4"/>
        <v>OK</v>
      </c>
      <c r="U7" s="142"/>
      <c r="V7" s="147">
        <v>80</v>
      </c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200</v>
      </c>
      <c r="L8" s="25">
        <f t="shared" si="0"/>
        <v>100</v>
      </c>
      <c r="M8" s="25">
        <f t="shared" si="1"/>
        <v>100</v>
      </c>
      <c r="N8" s="26"/>
      <c r="O8" s="27">
        <f t="shared" si="3"/>
        <v>50</v>
      </c>
      <c r="P8" s="26"/>
      <c r="Q8" s="26"/>
      <c r="R8" s="26"/>
      <c r="S8" s="37">
        <f t="shared" si="2"/>
        <v>100</v>
      </c>
      <c r="T8" s="18" t="str">
        <f t="shared" si="4"/>
        <v>OK</v>
      </c>
      <c r="U8" s="142"/>
      <c r="V8" s="147">
        <v>100</v>
      </c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80</v>
      </c>
      <c r="L9" s="25">
        <f t="shared" si="0"/>
        <v>80</v>
      </c>
      <c r="M9" s="25">
        <f t="shared" si="1"/>
        <v>80</v>
      </c>
      <c r="N9" s="26"/>
      <c r="O9" s="27">
        <f t="shared" si="3"/>
        <v>20</v>
      </c>
      <c r="P9" s="26"/>
      <c r="Q9" s="26"/>
      <c r="R9" s="26"/>
      <c r="S9" s="37">
        <f t="shared" si="2"/>
        <v>0</v>
      </c>
      <c r="T9" s="18" t="str">
        <f t="shared" si="4"/>
        <v>OK</v>
      </c>
      <c r="U9" s="142"/>
      <c r="V9" s="147">
        <v>80</v>
      </c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25</v>
      </c>
      <c r="L10" s="25">
        <f t="shared" si="0"/>
        <v>25</v>
      </c>
      <c r="M10" s="25">
        <f t="shared" si="1"/>
        <v>25</v>
      </c>
      <c r="N10" s="26"/>
      <c r="O10" s="27">
        <f t="shared" si="3"/>
        <v>6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2"/>
      <c r="V10" s="147">
        <v>25</v>
      </c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46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5</v>
      </c>
      <c r="L12" s="25">
        <f t="shared" ref="L12" si="5">IF(SUM(U12:AZ12)&gt;K12+N12,K12+N12,SUM(U12:AZ12))</f>
        <v>5</v>
      </c>
      <c r="M12" s="25">
        <f t="shared" ref="M12" si="6">(SUM(U12:AZ12))</f>
        <v>5</v>
      </c>
      <c r="N12" s="26"/>
      <c r="O12" s="27">
        <f t="shared" si="3"/>
        <v>1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42"/>
      <c r="V12" s="147">
        <v>5</v>
      </c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535</v>
      </c>
      <c r="L13" s="50">
        <f t="shared" si="8"/>
        <v>350</v>
      </c>
      <c r="M13" s="50">
        <f t="shared" si="8"/>
        <v>350</v>
      </c>
      <c r="N13" s="50">
        <f t="shared" si="8"/>
        <v>0</v>
      </c>
      <c r="O13" s="50">
        <f t="shared" si="8"/>
        <v>133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185</v>
      </c>
      <c r="U13" s="144">
        <f>SUMPRODUCT($J$4:$J$12,U4:U12)</f>
        <v>892.19999999999993</v>
      </c>
      <c r="V13" s="144">
        <f t="shared" ref="V13:W13" si="9">SUMPRODUCT($J$4:$J$12,V4:V12)</f>
        <v>1527.55</v>
      </c>
      <c r="W13" s="144">
        <f t="shared" si="9"/>
        <v>0</v>
      </c>
      <c r="X13" s="19">
        <f t="shared" ref="U13:AZ13" si="10">SUMPRODUCT($J$4:$J$12,X4:X12)</f>
        <v>0</v>
      </c>
      <c r="Y13" s="19">
        <f t="shared" si="10"/>
        <v>0</v>
      </c>
      <c r="Z13" s="19">
        <f t="shared" si="10"/>
        <v>0</v>
      </c>
      <c r="AA13" s="19">
        <f t="shared" si="10"/>
        <v>0</v>
      </c>
      <c r="AB13" s="19">
        <f t="shared" si="10"/>
        <v>0</v>
      </c>
      <c r="AC13" s="19">
        <f t="shared" si="10"/>
        <v>0</v>
      </c>
      <c r="AD13" s="19">
        <f t="shared" si="10"/>
        <v>0</v>
      </c>
      <c r="AE13" s="19">
        <f t="shared" si="10"/>
        <v>0</v>
      </c>
      <c r="AF13" s="19">
        <f t="shared" si="10"/>
        <v>0</v>
      </c>
      <c r="AG13" s="19">
        <f t="shared" si="10"/>
        <v>0</v>
      </c>
      <c r="AH13" s="19">
        <f t="shared" si="10"/>
        <v>0</v>
      </c>
      <c r="AI13" s="19">
        <f t="shared" si="10"/>
        <v>0</v>
      </c>
      <c r="AJ13" s="19">
        <f t="shared" si="10"/>
        <v>0</v>
      </c>
      <c r="AK13" s="19">
        <f t="shared" si="10"/>
        <v>0</v>
      </c>
      <c r="AL13" s="19">
        <f t="shared" si="10"/>
        <v>0</v>
      </c>
      <c r="AM13" s="19">
        <f t="shared" si="10"/>
        <v>0</v>
      </c>
      <c r="AN13" s="19">
        <f t="shared" si="10"/>
        <v>0</v>
      </c>
      <c r="AO13" s="19">
        <f t="shared" si="10"/>
        <v>0</v>
      </c>
      <c r="AP13" s="19">
        <f t="shared" si="10"/>
        <v>0</v>
      </c>
      <c r="AQ13" s="19">
        <f t="shared" si="10"/>
        <v>0</v>
      </c>
      <c r="AR13" s="19">
        <f t="shared" si="10"/>
        <v>0</v>
      </c>
      <c r="AS13" s="19">
        <f t="shared" si="10"/>
        <v>0</v>
      </c>
      <c r="AT13" s="19">
        <f t="shared" si="10"/>
        <v>0</v>
      </c>
      <c r="AU13" s="19">
        <f t="shared" si="10"/>
        <v>0</v>
      </c>
      <c r="AV13" s="19">
        <f t="shared" si="10"/>
        <v>0</v>
      </c>
      <c r="AW13" s="19">
        <f t="shared" si="10"/>
        <v>0</v>
      </c>
      <c r="AX13" s="19">
        <f t="shared" si="10"/>
        <v>0</v>
      </c>
      <c r="AY13" s="19">
        <f t="shared" si="10"/>
        <v>0</v>
      </c>
      <c r="AZ13" s="19">
        <f t="shared" si="10"/>
        <v>0</v>
      </c>
    </row>
    <row r="14" spans="1:52" ht="20.25" customHeight="1" x14ac:dyDescent="0.25">
      <c r="K14" s="56">
        <f t="shared" ref="K14:R14" si="11">SUMPRODUCT($J$4:$J$12,K4:K12)</f>
        <v>3429.2000000000003</v>
      </c>
      <c r="L14" s="56">
        <f t="shared" si="11"/>
        <v>2419.75</v>
      </c>
      <c r="M14" s="56">
        <f t="shared" si="11"/>
        <v>2419.75</v>
      </c>
      <c r="N14" s="56">
        <f t="shared" si="11"/>
        <v>0</v>
      </c>
      <c r="O14" s="56">
        <f t="shared" si="11"/>
        <v>833.31999999999994</v>
      </c>
      <c r="P14" s="56">
        <f t="shared" si="11"/>
        <v>0</v>
      </c>
      <c r="Q14" s="56">
        <f t="shared" si="11"/>
        <v>0</v>
      </c>
      <c r="R14" s="56">
        <f t="shared" si="11"/>
        <v>0</v>
      </c>
      <c r="U14" s="145"/>
      <c r="V14" s="145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4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148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148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148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106" priority="6" operator="equal">
      <formula>"ATENÇÃO"</formula>
    </cfRule>
  </conditionalFormatting>
  <conditionalFormatting sqref="W4:AZ12">
    <cfRule type="cellIs" dxfId="105" priority="5" operator="greaterThan">
      <formula>0</formula>
    </cfRule>
  </conditionalFormatting>
  <conditionalFormatting sqref="S4:S12">
    <cfRule type="cellIs" dxfId="104" priority="4" operator="lessThan">
      <formula>0</formula>
    </cfRule>
  </conditionalFormatting>
  <conditionalFormatting sqref="T4:T12">
    <cfRule type="containsText" dxfId="103" priority="3" operator="containsText" text="ATENÇÃO">
      <formula>NOT(ISERROR(SEARCH("ATENÇÃO",T4)))</formula>
    </cfRule>
  </conditionalFormatting>
  <conditionalFormatting sqref="D12">
    <cfRule type="duplicateValues" dxfId="102" priority="2"/>
  </conditionalFormatting>
  <conditionalFormatting sqref="D8">
    <cfRule type="duplicateValues" dxfId="101" priority="7"/>
  </conditionalFormatting>
  <conditionalFormatting sqref="D10:D11">
    <cfRule type="duplicateValues" dxfId="100" priority="8"/>
  </conditionalFormatting>
  <conditionalFormatting sqref="D9">
    <cfRule type="duplicateValues" dxfId="99" priority="9"/>
  </conditionalFormatting>
  <conditionalFormatting sqref="D4:D7">
    <cfRule type="duplicateValues" dxfId="98" priority="10"/>
  </conditionalFormatting>
  <conditionalFormatting sqref="T1">
    <cfRule type="cellIs" dxfId="9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2D41-C834-4FEB-B38A-BD7D85891B3E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V19" sqref="V19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40.710937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153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125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149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45951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20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5</v>
      </c>
      <c r="P4" s="26"/>
      <c r="Q4" s="26"/>
      <c r="R4" s="26"/>
      <c r="S4" s="37">
        <f t="shared" ref="S4:S11" si="2">K4-SUM(U4:AZ4)+N4</f>
        <v>20</v>
      </c>
      <c r="T4" s="18" t="str">
        <f>IF(S4&lt;0,"ATENÇÃO","OK")</f>
        <v>OK</v>
      </c>
      <c r="U4" s="142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50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12</v>
      </c>
      <c r="P5" s="26"/>
      <c r="Q5" s="26"/>
      <c r="R5" s="26"/>
      <c r="S5" s="37">
        <f t="shared" si="2"/>
        <v>50</v>
      </c>
      <c r="T5" s="18" t="str">
        <f t="shared" ref="T5:T12" si="4">IF(S5&lt;0,"ATENÇÃO","OK")</f>
        <v>OK</v>
      </c>
      <c r="U5" s="142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80</v>
      </c>
      <c r="L7" s="25">
        <f t="shared" si="0"/>
        <v>40</v>
      </c>
      <c r="M7" s="25">
        <f t="shared" si="1"/>
        <v>40</v>
      </c>
      <c r="N7" s="26"/>
      <c r="O7" s="27">
        <f t="shared" si="3"/>
        <v>20</v>
      </c>
      <c r="P7" s="26"/>
      <c r="Q7" s="26"/>
      <c r="R7" s="26"/>
      <c r="S7" s="37">
        <f t="shared" si="2"/>
        <v>40</v>
      </c>
      <c r="T7" s="18" t="str">
        <f t="shared" si="4"/>
        <v>OK</v>
      </c>
      <c r="U7" s="143">
        <v>40</v>
      </c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50</v>
      </c>
      <c r="L8" s="25">
        <f t="shared" si="0"/>
        <v>30</v>
      </c>
      <c r="M8" s="25">
        <f t="shared" si="1"/>
        <v>30</v>
      </c>
      <c r="N8" s="26"/>
      <c r="O8" s="27">
        <f t="shared" si="3"/>
        <v>12</v>
      </c>
      <c r="P8" s="26"/>
      <c r="Q8" s="26"/>
      <c r="R8" s="26"/>
      <c r="S8" s="37">
        <f t="shared" si="2"/>
        <v>20</v>
      </c>
      <c r="T8" s="18" t="str">
        <f t="shared" si="4"/>
        <v>OK</v>
      </c>
      <c r="U8" s="143">
        <v>30</v>
      </c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50</v>
      </c>
      <c r="L9" s="25">
        <f t="shared" si="0"/>
        <v>0</v>
      </c>
      <c r="M9" s="25">
        <f t="shared" si="1"/>
        <v>0</v>
      </c>
      <c r="N9" s="26"/>
      <c r="O9" s="27">
        <f t="shared" si="3"/>
        <v>12</v>
      </c>
      <c r="P9" s="26"/>
      <c r="Q9" s="26"/>
      <c r="R9" s="26"/>
      <c r="S9" s="37">
        <f t="shared" si="2"/>
        <v>50</v>
      </c>
      <c r="T9" s="18" t="str">
        <f t="shared" si="4"/>
        <v>OK</v>
      </c>
      <c r="U9" s="142"/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60</v>
      </c>
      <c r="L10" s="25">
        <f t="shared" si="0"/>
        <v>20</v>
      </c>
      <c r="M10" s="25">
        <f t="shared" si="1"/>
        <v>20</v>
      </c>
      <c r="N10" s="26"/>
      <c r="O10" s="27">
        <f t="shared" si="3"/>
        <v>15</v>
      </c>
      <c r="P10" s="26"/>
      <c r="Q10" s="26"/>
      <c r="R10" s="26"/>
      <c r="S10" s="37">
        <f t="shared" si="2"/>
        <v>40</v>
      </c>
      <c r="T10" s="18" t="str">
        <f t="shared" si="4"/>
        <v>OK</v>
      </c>
      <c r="U10" s="143">
        <v>20</v>
      </c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20</v>
      </c>
      <c r="L12" s="25">
        <f t="shared" ref="L12" si="5">IF(SUM(U12:AZ12)&gt;K12+N12,K12+N12,SUM(U12:AZ12))</f>
        <v>10</v>
      </c>
      <c r="M12" s="25">
        <f t="shared" ref="M12" si="6">(SUM(U12:AZ12))</f>
        <v>10</v>
      </c>
      <c r="N12" s="26"/>
      <c r="O12" s="27">
        <f t="shared" si="3"/>
        <v>5</v>
      </c>
      <c r="P12" s="26"/>
      <c r="Q12" s="26"/>
      <c r="R12" s="26"/>
      <c r="S12" s="37">
        <f t="shared" ref="S12" si="7">K12-SUM(U12:AZ12)+N12</f>
        <v>10</v>
      </c>
      <c r="T12" s="18" t="str">
        <f t="shared" si="4"/>
        <v>OK</v>
      </c>
      <c r="U12" s="143">
        <v>10</v>
      </c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330</v>
      </c>
      <c r="L13" s="50">
        <f t="shared" si="8"/>
        <v>100</v>
      </c>
      <c r="M13" s="50">
        <f t="shared" si="8"/>
        <v>100</v>
      </c>
      <c r="N13" s="50">
        <f t="shared" si="8"/>
        <v>0</v>
      </c>
      <c r="O13" s="50">
        <f t="shared" si="8"/>
        <v>81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230</v>
      </c>
      <c r="U13" s="144">
        <f>SUMPRODUCT($J$4:$J$12,U4:U12)</f>
        <v>1345.2</v>
      </c>
      <c r="V13" s="19">
        <f t="shared" ref="V13:AZ13" si="9">SUMPRODUCT($J$4:$J$12,V4:V12)</f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4143.7</v>
      </c>
      <c r="L14" s="56">
        <f t="shared" si="10"/>
        <v>1345.2</v>
      </c>
      <c r="M14" s="56">
        <f t="shared" si="10"/>
        <v>1345.2</v>
      </c>
      <c r="N14" s="56">
        <f t="shared" si="10"/>
        <v>0</v>
      </c>
      <c r="O14" s="56">
        <f t="shared" si="10"/>
        <v>1027.0500000000002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45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96" priority="6" operator="equal">
      <formula>"ATENÇÃO"</formula>
    </cfRule>
  </conditionalFormatting>
  <conditionalFormatting sqref="V4:AZ12">
    <cfRule type="cellIs" dxfId="95" priority="5" operator="greaterThan">
      <formula>0</formula>
    </cfRule>
  </conditionalFormatting>
  <conditionalFormatting sqref="S4:S12">
    <cfRule type="cellIs" dxfId="94" priority="4" operator="lessThan">
      <formula>0</formula>
    </cfRule>
  </conditionalFormatting>
  <conditionalFormatting sqref="T4:T12">
    <cfRule type="containsText" dxfId="93" priority="3" operator="containsText" text="ATENÇÃO">
      <formula>NOT(ISERROR(SEARCH("ATENÇÃO",T4)))</formula>
    </cfRule>
  </conditionalFormatting>
  <conditionalFormatting sqref="D12">
    <cfRule type="duplicateValues" dxfId="92" priority="2"/>
  </conditionalFormatting>
  <conditionalFormatting sqref="D8">
    <cfRule type="duplicateValues" dxfId="91" priority="7"/>
  </conditionalFormatting>
  <conditionalFormatting sqref="D10:D11">
    <cfRule type="duplicateValues" dxfId="90" priority="8"/>
  </conditionalFormatting>
  <conditionalFormatting sqref="D9">
    <cfRule type="duplicateValues" dxfId="89" priority="9"/>
  </conditionalFormatting>
  <conditionalFormatting sqref="D4:D7">
    <cfRule type="duplicateValues" dxfId="88" priority="10"/>
  </conditionalFormatting>
  <conditionalFormatting sqref="T1">
    <cfRule type="cellIs" dxfId="8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DF77-491E-46F3-BA28-E25E589D43A0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U14" sqref="U14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40.710937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151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126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152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45959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2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10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2</v>
      </c>
      <c r="P5" s="26"/>
      <c r="Q5" s="26"/>
      <c r="R5" s="26"/>
      <c r="S5" s="37">
        <f t="shared" si="2"/>
        <v>10</v>
      </c>
      <c r="T5" s="18" t="str">
        <f t="shared" ref="T5:T12" si="4">IF(S5&lt;0,"ATENÇÃO","OK")</f>
        <v>OK</v>
      </c>
      <c r="U5" s="142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20</v>
      </c>
      <c r="L7" s="25">
        <f t="shared" si="0"/>
        <v>20</v>
      </c>
      <c r="M7" s="25">
        <f t="shared" si="1"/>
        <v>20</v>
      </c>
      <c r="N7" s="26"/>
      <c r="O7" s="27">
        <f t="shared" si="3"/>
        <v>5</v>
      </c>
      <c r="P7" s="26"/>
      <c r="Q7" s="26"/>
      <c r="R7" s="26"/>
      <c r="S7" s="37">
        <f t="shared" si="2"/>
        <v>0</v>
      </c>
      <c r="T7" s="18" t="str">
        <f t="shared" si="4"/>
        <v>OK</v>
      </c>
      <c r="U7" s="143">
        <v>20</v>
      </c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20</v>
      </c>
      <c r="L8" s="25">
        <f t="shared" si="0"/>
        <v>20</v>
      </c>
      <c r="M8" s="25">
        <f t="shared" si="1"/>
        <v>20</v>
      </c>
      <c r="N8" s="26"/>
      <c r="O8" s="27">
        <f t="shared" si="3"/>
        <v>5</v>
      </c>
      <c r="P8" s="26"/>
      <c r="Q8" s="26"/>
      <c r="R8" s="26"/>
      <c r="S8" s="37">
        <f t="shared" si="2"/>
        <v>0</v>
      </c>
      <c r="T8" s="18" t="str">
        <f t="shared" si="4"/>
        <v>OK</v>
      </c>
      <c r="U8" s="143">
        <v>20</v>
      </c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0</v>
      </c>
      <c r="L9" s="25">
        <f t="shared" si="0"/>
        <v>0</v>
      </c>
      <c r="M9" s="25">
        <f t="shared" si="1"/>
        <v>0</v>
      </c>
      <c r="N9" s="26"/>
      <c r="O9" s="27">
        <f t="shared" si="3"/>
        <v>0</v>
      </c>
      <c r="P9" s="26"/>
      <c r="Q9" s="26"/>
      <c r="R9" s="26"/>
      <c r="S9" s="37">
        <f t="shared" si="2"/>
        <v>0</v>
      </c>
      <c r="T9" s="18" t="str">
        <f t="shared" si="4"/>
        <v>OK</v>
      </c>
      <c r="U9" s="142"/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0</v>
      </c>
      <c r="L10" s="25">
        <f t="shared" si="0"/>
        <v>0</v>
      </c>
      <c r="M10" s="25">
        <f t="shared" si="1"/>
        <v>0</v>
      </c>
      <c r="N10" s="26"/>
      <c r="O10" s="27">
        <f t="shared" si="3"/>
        <v>0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2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5</v>
      </c>
      <c r="L12" s="25">
        <f t="shared" ref="L12" si="5">IF(SUM(U12:AZ12)&gt;K12+N12,K12+N12,SUM(U12:AZ12))</f>
        <v>5</v>
      </c>
      <c r="M12" s="25">
        <f t="shared" ref="M12" si="6">(SUM(U12:AZ12))</f>
        <v>5</v>
      </c>
      <c r="N12" s="26"/>
      <c r="O12" s="27">
        <f t="shared" si="3"/>
        <v>1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43">
        <v>5</v>
      </c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55</v>
      </c>
      <c r="L13" s="50">
        <f t="shared" si="8"/>
        <v>45</v>
      </c>
      <c r="M13" s="50">
        <f t="shared" si="8"/>
        <v>45</v>
      </c>
      <c r="N13" s="50">
        <f t="shared" si="8"/>
        <v>0</v>
      </c>
      <c r="O13" s="50">
        <f t="shared" si="8"/>
        <v>13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10</v>
      </c>
      <c r="U13" s="144">
        <f>SUMPRODUCT($J$4:$J$12,U4:U12)</f>
        <v>642.20000000000005</v>
      </c>
      <c r="V13" s="19">
        <f t="shared" ref="V13:AZ13" si="9">SUMPRODUCT($J$4:$J$12,V4:V12)</f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790.90000000000009</v>
      </c>
      <c r="L14" s="56">
        <f t="shared" si="10"/>
        <v>642.20000000000005</v>
      </c>
      <c r="M14" s="56">
        <f t="shared" si="10"/>
        <v>642.20000000000005</v>
      </c>
      <c r="N14" s="56">
        <f t="shared" si="10"/>
        <v>0</v>
      </c>
      <c r="O14" s="56">
        <f t="shared" si="10"/>
        <v>169.65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45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86" priority="6" operator="equal">
      <formula>"ATENÇÃO"</formula>
    </cfRule>
  </conditionalFormatting>
  <conditionalFormatting sqref="V4:AZ12">
    <cfRule type="cellIs" dxfId="85" priority="5" operator="greaterThan">
      <formula>0</formula>
    </cfRule>
  </conditionalFormatting>
  <conditionalFormatting sqref="S4:S12">
    <cfRule type="cellIs" dxfId="84" priority="4" operator="lessThan">
      <formula>0</formula>
    </cfRule>
  </conditionalFormatting>
  <conditionalFormatting sqref="T4:T12">
    <cfRule type="containsText" dxfId="83" priority="3" operator="containsText" text="ATENÇÃO">
      <formula>NOT(ISERROR(SEARCH("ATENÇÃO",T4)))</formula>
    </cfRule>
  </conditionalFormatting>
  <conditionalFormatting sqref="D12">
    <cfRule type="duplicateValues" dxfId="82" priority="2"/>
  </conditionalFormatting>
  <conditionalFormatting sqref="D8">
    <cfRule type="duplicateValues" dxfId="81" priority="7"/>
  </conditionalFormatting>
  <conditionalFormatting sqref="D10:D11">
    <cfRule type="duplicateValues" dxfId="80" priority="8"/>
  </conditionalFormatting>
  <conditionalFormatting sqref="D9">
    <cfRule type="duplicateValues" dxfId="79" priority="9"/>
  </conditionalFormatting>
  <conditionalFormatting sqref="D4:D7">
    <cfRule type="duplicateValues" dxfId="78" priority="10"/>
  </conditionalFormatting>
  <conditionalFormatting sqref="T1">
    <cfRule type="cellIs" dxfId="7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3B1B-8A49-47FA-8A37-EC3D97D23B83}">
  <sheetPr>
    <tabColor rgb="FF92D050"/>
  </sheetPr>
  <dimension ref="A1:AZ18"/>
  <sheetViews>
    <sheetView zoomScale="85" zoomScaleNormal="85" workbookViewId="0">
      <pane xSplit="20" topLeftCell="U1" activePane="topRight" state="frozen"/>
      <selection pane="topRight" activeCell="G23" sqref="G23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40.710937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39" t="s">
        <v>164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127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40" t="s">
        <v>165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141">
        <v>45961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42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0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0</v>
      </c>
      <c r="P5" s="26"/>
      <c r="Q5" s="26"/>
      <c r="R5" s="26"/>
      <c r="S5" s="37">
        <f t="shared" si="2"/>
        <v>0</v>
      </c>
      <c r="T5" s="18" t="str">
        <f t="shared" ref="T5:T12" si="4">IF(S5&lt;0,"ATENÇÃO","OK")</f>
        <v>OK</v>
      </c>
      <c r="U5" s="142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42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50</v>
      </c>
      <c r="L7" s="25">
        <f t="shared" si="0"/>
        <v>50</v>
      </c>
      <c r="M7" s="25">
        <f t="shared" si="1"/>
        <v>50</v>
      </c>
      <c r="N7" s="26"/>
      <c r="O7" s="27">
        <f t="shared" si="3"/>
        <v>12</v>
      </c>
      <c r="P7" s="26"/>
      <c r="Q7" s="26"/>
      <c r="R7" s="26"/>
      <c r="S7" s="37">
        <f t="shared" si="2"/>
        <v>0</v>
      </c>
      <c r="T7" s="18" t="str">
        <f t="shared" si="4"/>
        <v>OK</v>
      </c>
      <c r="U7" s="143">
        <v>50</v>
      </c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15</v>
      </c>
      <c r="L8" s="25">
        <f t="shared" si="0"/>
        <v>15</v>
      </c>
      <c r="M8" s="25">
        <f t="shared" si="1"/>
        <v>15</v>
      </c>
      <c r="N8" s="26"/>
      <c r="O8" s="27">
        <f t="shared" si="3"/>
        <v>3</v>
      </c>
      <c r="P8" s="26"/>
      <c r="Q8" s="26"/>
      <c r="R8" s="26"/>
      <c r="S8" s="37">
        <f t="shared" si="2"/>
        <v>0</v>
      </c>
      <c r="T8" s="18" t="str">
        <f t="shared" si="4"/>
        <v>OK</v>
      </c>
      <c r="U8" s="143">
        <v>15</v>
      </c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20</v>
      </c>
      <c r="L9" s="25">
        <f t="shared" si="0"/>
        <v>20</v>
      </c>
      <c r="M9" s="25">
        <f t="shared" si="1"/>
        <v>20</v>
      </c>
      <c r="N9" s="26"/>
      <c r="O9" s="27">
        <f t="shared" si="3"/>
        <v>5</v>
      </c>
      <c r="P9" s="26"/>
      <c r="Q9" s="26"/>
      <c r="R9" s="26"/>
      <c r="S9" s="37">
        <f t="shared" si="2"/>
        <v>0</v>
      </c>
      <c r="T9" s="18" t="str">
        <f t="shared" si="4"/>
        <v>OK</v>
      </c>
      <c r="U9" s="143">
        <v>20</v>
      </c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10</v>
      </c>
      <c r="L10" s="25">
        <f t="shared" si="0"/>
        <v>10</v>
      </c>
      <c r="M10" s="25">
        <f t="shared" si="1"/>
        <v>10</v>
      </c>
      <c r="N10" s="26"/>
      <c r="O10" s="27">
        <f t="shared" si="3"/>
        <v>2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43">
        <v>10</v>
      </c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42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5</v>
      </c>
      <c r="L12" s="25">
        <f t="shared" ref="L12" si="5">IF(SUM(U12:AZ12)&gt;K12+N12,K12+N12,SUM(U12:AZ12))</f>
        <v>5</v>
      </c>
      <c r="M12" s="25">
        <f t="shared" ref="M12" si="6">(SUM(U12:AZ12))</f>
        <v>5</v>
      </c>
      <c r="N12" s="26"/>
      <c r="O12" s="27">
        <f t="shared" si="3"/>
        <v>1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43">
        <v>5</v>
      </c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100</v>
      </c>
      <c r="L13" s="50">
        <f t="shared" si="8"/>
        <v>100</v>
      </c>
      <c r="M13" s="50">
        <f t="shared" si="8"/>
        <v>100</v>
      </c>
      <c r="N13" s="50">
        <f t="shared" si="8"/>
        <v>0</v>
      </c>
      <c r="O13" s="50">
        <f t="shared" si="8"/>
        <v>23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0</v>
      </c>
      <c r="U13" s="144">
        <f>SUMPRODUCT($J$4:$J$12,U4:U12)</f>
        <v>959.3</v>
      </c>
      <c r="V13" s="19">
        <f t="shared" ref="V13:AZ13" si="9">SUMPRODUCT($J$4:$J$12,V4:V12)</f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959.3</v>
      </c>
      <c r="L14" s="56">
        <f t="shared" si="10"/>
        <v>959.3</v>
      </c>
      <c r="M14" s="56">
        <f t="shared" si="10"/>
        <v>959.3</v>
      </c>
      <c r="N14" s="56">
        <f t="shared" si="10"/>
        <v>0</v>
      </c>
      <c r="O14" s="56">
        <f t="shared" si="10"/>
        <v>210.78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45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45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U16" s="145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U17" s="145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U18" s="145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76" priority="6" operator="equal">
      <formula>"ATENÇÃO"</formula>
    </cfRule>
  </conditionalFormatting>
  <conditionalFormatting sqref="V4:AZ12">
    <cfRule type="cellIs" dxfId="75" priority="5" operator="greaterThan">
      <formula>0</formula>
    </cfRule>
  </conditionalFormatting>
  <conditionalFormatting sqref="S4:S12">
    <cfRule type="cellIs" dxfId="74" priority="4" operator="lessThan">
      <formula>0</formula>
    </cfRule>
  </conditionalFormatting>
  <conditionalFormatting sqref="T4:T12">
    <cfRule type="containsText" dxfId="73" priority="3" operator="containsText" text="ATENÇÃO">
      <formula>NOT(ISERROR(SEARCH("ATENÇÃO",T4)))</formula>
    </cfRule>
  </conditionalFormatting>
  <conditionalFormatting sqref="D12">
    <cfRule type="duplicateValues" dxfId="72" priority="2"/>
  </conditionalFormatting>
  <conditionalFormatting sqref="D8">
    <cfRule type="duplicateValues" dxfId="71" priority="7"/>
  </conditionalFormatting>
  <conditionalFormatting sqref="D10:D11">
    <cfRule type="duplicateValues" dxfId="70" priority="8"/>
  </conditionalFormatting>
  <conditionalFormatting sqref="D9">
    <cfRule type="duplicateValues" dxfId="69" priority="9"/>
  </conditionalFormatting>
  <conditionalFormatting sqref="D4:D7">
    <cfRule type="duplicateValues" dxfId="68" priority="10"/>
  </conditionalFormatting>
  <conditionalFormatting sqref="T1">
    <cfRule type="cellIs" dxfId="6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ABC9-ECA6-42F8-B21B-35917A9F35AE}">
  <sheetPr>
    <tabColor rgb="FF92D050"/>
  </sheetPr>
  <dimension ref="A1:AZ18"/>
  <sheetViews>
    <sheetView zoomScale="60" zoomScaleNormal="60" workbookViewId="0">
      <pane xSplit="20" topLeftCell="U1" activePane="topRight" state="frozen"/>
      <selection pane="topRight" activeCell="J22" sqref="J22"/>
    </sheetView>
  </sheetViews>
  <sheetFormatPr defaultColWidth="11.85546875" defaultRowHeight="24.75" customHeight="1" x14ac:dyDescent="0.25"/>
  <cols>
    <col min="1" max="1" width="15.5703125" style="1" customWidth="1"/>
    <col min="2" max="2" width="7.140625" style="1" customWidth="1"/>
    <col min="3" max="3" width="6.5703125" style="1" customWidth="1"/>
    <col min="4" max="4" width="40.7109375" style="3" customWidth="1"/>
    <col min="5" max="6" width="15.140625" style="1" customWidth="1"/>
    <col min="7" max="7" width="10.140625" style="1" customWidth="1"/>
    <col min="8" max="8" width="13.85546875" style="1" customWidth="1"/>
    <col min="9" max="9" width="17.42578125" style="1" customWidth="1"/>
    <col min="10" max="10" width="12.85546875" style="87" customWidth="1"/>
    <col min="11" max="11" width="13" style="4" customWidth="1"/>
    <col min="12" max="18" width="8.5703125" style="4" customWidth="1"/>
    <col min="19" max="19" width="8.5703125" style="11" customWidth="1"/>
    <col min="20" max="20" width="8.5703125" style="5" customWidth="1"/>
    <col min="21" max="32" width="15" style="6" customWidth="1"/>
    <col min="33" max="52" width="15" style="36" customWidth="1"/>
    <col min="53" max="16384" width="11.85546875" style="36"/>
  </cols>
  <sheetData>
    <row r="1" spans="1:52" ht="54.75" customHeight="1" x14ac:dyDescent="0.25">
      <c r="A1" s="159" t="s">
        <v>79</v>
      </c>
      <c r="B1" s="160"/>
      <c r="C1" s="161"/>
      <c r="D1" s="162" t="s">
        <v>80</v>
      </c>
      <c r="E1" s="163"/>
      <c r="F1" s="163"/>
      <c r="G1" s="163"/>
      <c r="H1" s="163"/>
      <c r="I1" s="163"/>
      <c r="J1" s="164"/>
      <c r="K1" s="158" t="s">
        <v>121</v>
      </c>
      <c r="L1" s="158"/>
      <c r="M1" s="158"/>
      <c r="N1" s="158"/>
      <c r="O1" s="158"/>
      <c r="P1" s="158"/>
      <c r="Q1" s="158"/>
      <c r="R1" s="158"/>
      <c r="S1" s="158"/>
      <c r="T1" s="158"/>
      <c r="U1" s="124" t="s">
        <v>78</v>
      </c>
      <c r="V1" s="124" t="s">
        <v>50</v>
      </c>
      <c r="W1" s="124" t="s">
        <v>50</v>
      </c>
      <c r="X1" s="124" t="s">
        <v>50</v>
      </c>
      <c r="Y1" s="124" t="s">
        <v>50</v>
      </c>
      <c r="Z1" s="124" t="s">
        <v>50</v>
      </c>
      <c r="AA1" s="124" t="s">
        <v>50</v>
      </c>
      <c r="AB1" s="124" t="s">
        <v>50</v>
      </c>
      <c r="AC1" s="124" t="s">
        <v>50</v>
      </c>
      <c r="AD1" s="124" t="s">
        <v>50</v>
      </c>
      <c r="AE1" s="124" t="s">
        <v>50</v>
      </c>
      <c r="AF1" s="124" t="s">
        <v>50</v>
      </c>
      <c r="AG1" s="124" t="s">
        <v>50</v>
      </c>
      <c r="AH1" s="124" t="s">
        <v>50</v>
      </c>
      <c r="AI1" s="124" t="s">
        <v>50</v>
      </c>
      <c r="AJ1" s="124" t="s">
        <v>50</v>
      </c>
      <c r="AK1" s="124" t="s">
        <v>50</v>
      </c>
      <c r="AL1" s="124" t="s">
        <v>50</v>
      </c>
      <c r="AM1" s="124" t="s">
        <v>50</v>
      </c>
      <c r="AN1" s="124" t="s">
        <v>50</v>
      </c>
      <c r="AO1" s="124" t="s">
        <v>50</v>
      </c>
      <c r="AP1" s="124" t="s">
        <v>50</v>
      </c>
      <c r="AQ1" s="124" t="s">
        <v>50</v>
      </c>
      <c r="AR1" s="124" t="s">
        <v>50</v>
      </c>
      <c r="AS1" s="124" t="s">
        <v>50</v>
      </c>
      <c r="AT1" s="124" t="s">
        <v>50</v>
      </c>
      <c r="AU1" s="124" t="s">
        <v>50</v>
      </c>
      <c r="AV1" s="124" t="s">
        <v>50</v>
      </c>
      <c r="AW1" s="124" t="s">
        <v>50</v>
      </c>
      <c r="AX1" s="124" t="s">
        <v>50</v>
      </c>
      <c r="AY1" s="124" t="s">
        <v>50</v>
      </c>
      <c r="AZ1" s="124" t="s">
        <v>50</v>
      </c>
    </row>
    <row r="2" spans="1:52" ht="31.5" customHeight="1" x14ac:dyDescent="0.25">
      <c r="A2" s="165" t="s">
        <v>128</v>
      </c>
      <c r="B2" s="166"/>
      <c r="C2" s="166"/>
      <c r="D2" s="166"/>
      <c r="E2" s="166"/>
      <c r="F2" s="166"/>
      <c r="G2" s="166"/>
      <c r="H2" s="166"/>
      <c r="I2" s="166"/>
      <c r="J2" s="167"/>
      <c r="K2" s="168" t="s">
        <v>51</v>
      </c>
      <c r="L2" s="169"/>
      <c r="M2" s="169"/>
      <c r="N2" s="169"/>
      <c r="O2" s="169"/>
      <c r="P2" s="169"/>
      <c r="Q2" s="169"/>
      <c r="R2" s="169"/>
      <c r="S2" s="169"/>
      <c r="T2" s="170"/>
      <c r="U2" s="125" t="s">
        <v>81</v>
      </c>
      <c r="V2" s="125" t="s">
        <v>81</v>
      </c>
      <c r="W2" s="125" t="s">
        <v>81</v>
      </c>
      <c r="X2" s="125" t="s">
        <v>81</v>
      </c>
      <c r="Y2" s="125" t="s">
        <v>81</v>
      </c>
      <c r="Z2" s="125" t="s">
        <v>81</v>
      </c>
      <c r="AA2" s="125" t="s">
        <v>81</v>
      </c>
      <c r="AB2" s="125" t="s">
        <v>81</v>
      </c>
      <c r="AC2" s="125" t="s">
        <v>81</v>
      </c>
      <c r="AD2" s="125" t="s">
        <v>81</v>
      </c>
      <c r="AE2" s="125" t="s">
        <v>81</v>
      </c>
      <c r="AF2" s="125" t="s">
        <v>81</v>
      </c>
      <c r="AG2" s="125" t="s">
        <v>81</v>
      </c>
      <c r="AH2" s="125" t="s">
        <v>81</v>
      </c>
      <c r="AI2" s="125" t="s">
        <v>81</v>
      </c>
      <c r="AJ2" s="125" t="s">
        <v>81</v>
      </c>
      <c r="AK2" s="125" t="s">
        <v>81</v>
      </c>
      <c r="AL2" s="125" t="s">
        <v>81</v>
      </c>
      <c r="AM2" s="125" t="s">
        <v>81</v>
      </c>
      <c r="AN2" s="125" t="s">
        <v>81</v>
      </c>
      <c r="AO2" s="125" t="s">
        <v>81</v>
      </c>
      <c r="AP2" s="125" t="s">
        <v>81</v>
      </c>
      <c r="AQ2" s="125" t="s">
        <v>81</v>
      </c>
      <c r="AR2" s="125" t="s">
        <v>81</v>
      </c>
      <c r="AS2" s="125" t="s">
        <v>81</v>
      </c>
      <c r="AT2" s="125" t="s">
        <v>81</v>
      </c>
      <c r="AU2" s="125" t="s">
        <v>81</v>
      </c>
      <c r="AV2" s="125" t="s">
        <v>81</v>
      </c>
      <c r="AW2" s="125" t="s">
        <v>81</v>
      </c>
      <c r="AX2" s="125" t="s">
        <v>81</v>
      </c>
      <c r="AY2" s="125" t="s">
        <v>81</v>
      </c>
      <c r="AZ2" s="125" t="s">
        <v>81</v>
      </c>
    </row>
    <row r="3" spans="1:52" s="3" customFormat="1" ht="51" customHeight="1" x14ac:dyDescent="0.2">
      <c r="A3" s="7" t="s">
        <v>8</v>
      </c>
      <c r="B3" s="7" t="s">
        <v>2</v>
      </c>
      <c r="C3" s="7" t="s">
        <v>7</v>
      </c>
      <c r="D3" s="8" t="s">
        <v>9</v>
      </c>
      <c r="E3" s="8" t="s">
        <v>94</v>
      </c>
      <c r="F3" s="8" t="s">
        <v>93</v>
      </c>
      <c r="G3" s="8" t="s">
        <v>10</v>
      </c>
      <c r="H3" s="8" t="s">
        <v>4</v>
      </c>
      <c r="I3" s="8" t="s">
        <v>11</v>
      </c>
      <c r="J3" s="33" t="s">
        <v>6</v>
      </c>
      <c r="K3" s="21" t="s">
        <v>56</v>
      </c>
      <c r="L3" s="21" t="s">
        <v>12</v>
      </c>
      <c r="M3" s="21" t="s">
        <v>13</v>
      </c>
      <c r="N3" s="21" t="s">
        <v>55</v>
      </c>
      <c r="O3" s="21" t="s">
        <v>14</v>
      </c>
      <c r="P3" s="21" t="s">
        <v>15</v>
      </c>
      <c r="Q3" s="21" t="s">
        <v>16</v>
      </c>
      <c r="R3" s="21" t="s">
        <v>17</v>
      </c>
      <c r="S3" s="28" t="s">
        <v>0</v>
      </c>
      <c r="T3" s="29" t="s">
        <v>1</v>
      </c>
      <c r="U3" s="62" t="s">
        <v>47</v>
      </c>
      <c r="V3" s="62" t="s">
        <v>47</v>
      </c>
      <c r="W3" s="62" t="s">
        <v>47</v>
      </c>
      <c r="X3" s="62" t="s">
        <v>47</v>
      </c>
      <c r="Y3" s="62" t="s">
        <v>47</v>
      </c>
      <c r="Z3" s="62" t="s">
        <v>47</v>
      </c>
      <c r="AA3" s="62" t="s">
        <v>47</v>
      </c>
      <c r="AB3" s="62" t="s">
        <v>47</v>
      </c>
      <c r="AC3" s="62" t="s">
        <v>47</v>
      </c>
      <c r="AD3" s="62" t="s">
        <v>47</v>
      </c>
      <c r="AE3" s="62" t="s">
        <v>47</v>
      </c>
      <c r="AF3" s="62" t="s">
        <v>47</v>
      </c>
      <c r="AG3" s="62" t="s">
        <v>47</v>
      </c>
      <c r="AH3" s="62" t="s">
        <v>47</v>
      </c>
      <c r="AI3" s="62" t="s">
        <v>47</v>
      </c>
      <c r="AJ3" s="62" t="s">
        <v>47</v>
      </c>
      <c r="AK3" s="62" t="s">
        <v>47</v>
      </c>
      <c r="AL3" s="62" t="s">
        <v>47</v>
      </c>
      <c r="AM3" s="62" t="s">
        <v>47</v>
      </c>
      <c r="AN3" s="62" t="s">
        <v>47</v>
      </c>
      <c r="AO3" s="62" t="s">
        <v>47</v>
      </c>
      <c r="AP3" s="62" t="s">
        <v>47</v>
      </c>
      <c r="AQ3" s="62" t="s">
        <v>47</v>
      </c>
      <c r="AR3" s="62" t="s">
        <v>47</v>
      </c>
      <c r="AS3" s="62" t="s">
        <v>47</v>
      </c>
      <c r="AT3" s="62" t="s">
        <v>47</v>
      </c>
      <c r="AU3" s="62" t="s">
        <v>47</v>
      </c>
      <c r="AV3" s="62" t="s">
        <v>47</v>
      </c>
      <c r="AW3" s="62" t="s">
        <v>47</v>
      </c>
      <c r="AX3" s="62" t="s">
        <v>47</v>
      </c>
      <c r="AY3" s="62" t="s">
        <v>47</v>
      </c>
      <c r="AZ3" s="62" t="s">
        <v>47</v>
      </c>
    </row>
    <row r="4" spans="1:52" ht="24.75" customHeight="1" x14ac:dyDescent="0.25">
      <c r="A4" s="171" t="s">
        <v>82</v>
      </c>
      <c r="B4" s="174">
        <v>1</v>
      </c>
      <c r="C4" s="61">
        <v>1</v>
      </c>
      <c r="D4" s="63" t="s">
        <v>84</v>
      </c>
      <c r="E4" s="127" t="s">
        <v>95</v>
      </c>
      <c r="F4" s="127" t="s">
        <v>96</v>
      </c>
      <c r="G4" s="67" t="s">
        <v>3</v>
      </c>
      <c r="H4" s="69" t="s">
        <v>110</v>
      </c>
      <c r="I4" s="74" t="s">
        <v>49</v>
      </c>
      <c r="J4" s="86">
        <v>31</v>
      </c>
      <c r="K4" s="76">
        <v>0</v>
      </c>
      <c r="L4" s="25">
        <f t="shared" ref="L4:L11" si="0">IF(SUM(U4:AZ4)&gt;K4+N4,K4+N4,SUM(U4:AZ4))</f>
        <v>0</v>
      </c>
      <c r="M4" s="25">
        <f t="shared" ref="M4:M11" si="1">(SUM(U4:AZ4))</f>
        <v>0</v>
      </c>
      <c r="N4" s="26"/>
      <c r="O4" s="27">
        <f>ROUND(IF(K4*0.25-0.5&lt;0,0,K4*0.25-0.5),0)-R4-P4</f>
        <v>0</v>
      </c>
      <c r="P4" s="26"/>
      <c r="Q4" s="26"/>
      <c r="R4" s="26"/>
      <c r="S4" s="37">
        <f t="shared" ref="S4:S11" si="2">K4-SUM(U4:AZ4)+N4</f>
        <v>0</v>
      </c>
      <c r="T4" s="18" t="str">
        <f>IF(S4&lt;0,"ATENÇÃO","OK")</f>
        <v>OK</v>
      </c>
      <c r="U4" s="16"/>
      <c r="V4" s="17"/>
      <c r="W4" s="17"/>
      <c r="X4" s="17"/>
      <c r="Y4" s="17"/>
      <c r="Z4" s="17"/>
      <c r="AA4" s="17"/>
      <c r="AB4" s="16"/>
      <c r="AC4" s="16"/>
      <c r="AD4" s="16"/>
      <c r="AE4" s="16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52" ht="24.75" customHeight="1" x14ac:dyDescent="0.25">
      <c r="A5" s="172"/>
      <c r="B5" s="175"/>
      <c r="C5" s="61">
        <v>2</v>
      </c>
      <c r="D5" s="64" t="s">
        <v>85</v>
      </c>
      <c r="E5" s="127" t="s">
        <v>97</v>
      </c>
      <c r="F5" s="127" t="s">
        <v>98</v>
      </c>
      <c r="G5" s="70" t="s">
        <v>3</v>
      </c>
      <c r="H5" s="68" t="s">
        <v>111</v>
      </c>
      <c r="I5" s="74" t="s">
        <v>49</v>
      </c>
      <c r="J5" s="75">
        <v>14.87</v>
      </c>
      <c r="K5" s="77">
        <v>60</v>
      </c>
      <c r="L5" s="25">
        <f t="shared" si="0"/>
        <v>0</v>
      </c>
      <c r="M5" s="25">
        <f t="shared" si="1"/>
        <v>0</v>
      </c>
      <c r="N5" s="26"/>
      <c r="O5" s="27">
        <f t="shared" ref="O5:O12" si="3">ROUND(IF(K5*0.25-0.5&lt;0,0,K5*0.25-0.5),0)-R5-P5</f>
        <v>15</v>
      </c>
      <c r="P5" s="26"/>
      <c r="Q5" s="26"/>
      <c r="R5" s="26"/>
      <c r="S5" s="37">
        <f t="shared" si="2"/>
        <v>60</v>
      </c>
      <c r="T5" s="18" t="str">
        <f t="shared" ref="T5:T12" si="4">IF(S5&lt;0,"ATENÇÃO","OK")</f>
        <v>OK</v>
      </c>
      <c r="U5" s="16"/>
      <c r="V5" s="17"/>
      <c r="W5" s="17"/>
      <c r="X5" s="17"/>
      <c r="Y5" s="17"/>
      <c r="Z5" s="17"/>
      <c r="AA5" s="17"/>
      <c r="AB5" s="16"/>
      <c r="AC5" s="16"/>
      <c r="AD5" s="16"/>
      <c r="AE5" s="16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2" ht="24.75" customHeight="1" x14ac:dyDescent="0.25">
      <c r="A6" s="173"/>
      <c r="B6" s="176"/>
      <c r="C6" s="61">
        <v>3</v>
      </c>
      <c r="D6" s="64" t="s">
        <v>86</v>
      </c>
      <c r="E6" s="127" t="s">
        <v>99</v>
      </c>
      <c r="F6" s="127" t="s">
        <v>100</v>
      </c>
      <c r="G6" s="70" t="s">
        <v>3</v>
      </c>
      <c r="H6" s="68" t="s">
        <v>112</v>
      </c>
      <c r="I6" s="74" t="s">
        <v>49</v>
      </c>
      <c r="J6" s="75">
        <v>6</v>
      </c>
      <c r="K6" s="77">
        <v>0</v>
      </c>
      <c r="L6" s="25">
        <f t="shared" si="0"/>
        <v>0</v>
      </c>
      <c r="M6" s="25">
        <f t="shared" si="1"/>
        <v>0</v>
      </c>
      <c r="N6" s="26"/>
      <c r="O6" s="27">
        <f t="shared" si="3"/>
        <v>0</v>
      </c>
      <c r="P6" s="26"/>
      <c r="Q6" s="26"/>
      <c r="R6" s="26"/>
      <c r="S6" s="37">
        <f t="shared" si="2"/>
        <v>0</v>
      </c>
      <c r="T6" s="18" t="str">
        <f t="shared" si="4"/>
        <v>OK</v>
      </c>
      <c r="U6" s="16"/>
      <c r="V6" s="16"/>
      <c r="W6" s="17"/>
      <c r="X6" s="17"/>
      <c r="Y6" s="17"/>
      <c r="Z6" s="17"/>
      <c r="AA6" s="17"/>
      <c r="AB6" s="16"/>
      <c r="AC6" s="16"/>
      <c r="AD6" s="16"/>
      <c r="AE6" s="16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52" ht="24.75" customHeight="1" x14ac:dyDescent="0.25">
      <c r="A7" s="171" t="s">
        <v>83</v>
      </c>
      <c r="B7" s="175">
        <v>2</v>
      </c>
      <c r="C7" s="61">
        <v>4</v>
      </c>
      <c r="D7" s="64" t="s">
        <v>87</v>
      </c>
      <c r="E7" s="127" t="s">
        <v>101</v>
      </c>
      <c r="F7" s="127" t="s">
        <v>102</v>
      </c>
      <c r="G7" s="70" t="s">
        <v>57</v>
      </c>
      <c r="H7" s="68" t="s">
        <v>113</v>
      </c>
      <c r="I7" s="74" t="s">
        <v>49</v>
      </c>
      <c r="J7" s="75">
        <v>9.17</v>
      </c>
      <c r="K7" s="77">
        <v>40</v>
      </c>
      <c r="L7" s="25">
        <f t="shared" si="0"/>
        <v>0</v>
      </c>
      <c r="M7" s="25">
        <f t="shared" si="1"/>
        <v>0</v>
      </c>
      <c r="N7" s="26"/>
      <c r="O7" s="27">
        <f t="shared" si="3"/>
        <v>10</v>
      </c>
      <c r="P7" s="26"/>
      <c r="Q7" s="26"/>
      <c r="R7" s="26"/>
      <c r="S7" s="37">
        <f t="shared" si="2"/>
        <v>40</v>
      </c>
      <c r="T7" s="18" t="str">
        <f t="shared" si="4"/>
        <v>OK</v>
      </c>
      <c r="U7" s="16"/>
      <c r="V7" s="17"/>
      <c r="W7" s="17"/>
      <c r="X7" s="17"/>
      <c r="Y7" s="17"/>
      <c r="Z7" s="17"/>
      <c r="AA7" s="17"/>
      <c r="AB7" s="16"/>
      <c r="AC7" s="16"/>
      <c r="AD7" s="16"/>
      <c r="AE7" s="16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</row>
    <row r="8" spans="1:52" ht="24.75" customHeight="1" x14ac:dyDescent="0.25">
      <c r="A8" s="172"/>
      <c r="B8" s="175"/>
      <c r="C8" s="61">
        <v>5</v>
      </c>
      <c r="D8" s="65" t="s">
        <v>88</v>
      </c>
      <c r="E8" s="127" t="s">
        <v>103</v>
      </c>
      <c r="F8" s="127" t="s">
        <v>104</v>
      </c>
      <c r="G8" s="129" t="s">
        <v>3</v>
      </c>
      <c r="H8" s="72" t="s">
        <v>114</v>
      </c>
      <c r="I8" s="74" t="s">
        <v>49</v>
      </c>
      <c r="J8" s="75">
        <v>2.2999999999999998</v>
      </c>
      <c r="K8" s="77">
        <v>0</v>
      </c>
      <c r="L8" s="25">
        <f t="shared" si="0"/>
        <v>0</v>
      </c>
      <c r="M8" s="25">
        <f t="shared" si="1"/>
        <v>0</v>
      </c>
      <c r="N8" s="26"/>
      <c r="O8" s="27">
        <f t="shared" si="3"/>
        <v>0</v>
      </c>
      <c r="P8" s="26"/>
      <c r="Q8" s="26"/>
      <c r="R8" s="26"/>
      <c r="S8" s="37">
        <f t="shared" si="2"/>
        <v>0</v>
      </c>
      <c r="T8" s="18" t="str">
        <f t="shared" si="4"/>
        <v>OK</v>
      </c>
      <c r="U8" s="16"/>
      <c r="V8" s="16"/>
      <c r="W8" s="17"/>
      <c r="X8" s="17"/>
      <c r="Y8" s="17"/>
      <c r="Z8" s="17"/>
      <c r="AA8" s="17"/>
      <c r="AB8" s="16"/>
      <c r="AC8" s="16"/>
      <c r="AD8" s="16"/>
      <c r="AE8" s="16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</row>
    <row r="9" spans="1:52" ht="24.75" customHeight="1" x14ac:dyDescent="0.25">
      <c r="A9" s="172"/>
      <c r="B9" s="175"/>
      <c r="C9" s="61">
        <v>6</v>
      </c>
      <c r="D9" s="65" t="s">
        <v>89</v>
      </c>
      <c r="E9" s="127" t="s">
        <v>103</v>
      </c>
      <c r="F9" s="127" t="s">
        <v>105</v>
      </c>
      <c r="G9" s="129" t="s">
        <v>57</v>
      </c>
      <c r="H9" s="72" t="s">
        <v>115</v>
      </c>
      <c r="I9" s="74" t="s">
        <v>49</v>
      </c>
      <c r="J9" s="75">
        <v>0.57999999999999996</v>
      </c>
      <c r="K9" s="77">
        <v>0</v>
      </c>
      <c r="L9" s="25">
        <f t="shared" si="0"/>
        <v>0</v>
      </c>
      <c r="M9" s="25">
        <f t="shared" si="1"/>
        <v>0</v>
      </c>
      <c r="N9" s="26"/>
      <c r="O9" s="27">
        <f t="shared" si="3"/>
        <v>0</v>
      </c>
      <c r="P9" s="26"/>
      <c r="Q9" s="26"/>
      <c r="R9" s="26"/>
      <c r="S9" s="37">
        <f t="shared" si="2"/>
        <v>0</v>
      </c>
      <c r="T9" s="18" t="str">
        <f t="shared" si="4"/>
        <v>OK</v>
      </c>
      <c r="U9" s="16"/>
      <c r="V9" s="17"/>
      <c r="W9" s="17"/>
      <c r="X9" s="17"/>
      <c r="Y9" s="17"/>
      <c r="Z9" s="17"/>
      <c r="AA9" s="17"/>
      <c r="AB9" s="16"/>
      <c r="AC9" s="16"/>
      <c r="AD9" s="16"/>
      <c r="AE9" s="16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</row>
    <row r="10" spans="1:52" ht="24.75" customHeight="1" x14ac:dyDescent="0.25">
      <c r="A10" s="172"/>
      <c r="B10" s="175"/>
      <c r="C10" s="61">
        <v>7</v>
      </c>
      <c r="D10" s="65" t="s">
        <v>90</v>
      </c>
      <c r="E10" s="127" t="s">
        <v>103</v>
      </c>
      <c r="F10" s="127" t="s">
        <v>106</v>
      </c>
      <c r="G10" s="129" t="s">
        <v>3</v>
      </c>
      <c r="H10" s="72" t="s">
        <v>116</v>
      </c>
      <c r="I10" s="74" t="s">
        <v>49</v>
      </c>
      <c r="J10" s="75">
        <v>4.1900000000000004</v>
      </c>
      <c r="K10" s="77">
        <v>0</v>
      </c>
      <c r="L10" s="25">
        <f t="shared" si="0"/>
        <v>0</v>
      </c>
      <c r="M10" s="25">
        <f t="shared" si="1"/>
        <v>0</v>
      </c>
      <c r="N10" s="26"/>
      <c r="O10" s="27">
        <f t="shared" si="3"/>
        <v>0</v>
      </c>
      <c r="P10" s="26"/>
      <c r="Q10" s="26"/>
      <c r="R10" s="26"/>
      <c r="S10" s="37">
        <f t="shared" si="2"/>
        <v>0</v>
      </c>
      <c r="T10" s="18" t="str">
        <f t="shared" si="4"/>
        <v>OK</v>
      </c>
      <c r="U10" s="16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</row>
    <row r="11" spans="1:52" ht="24.75" customHeight="1" x14ac:dyDescent="0.25">
      <c r="A11" s="172"/>
      <c r="B11" s="175"/>
      <c r="C11" s="61">
        <v>8</v>
      </c>
      <c r="D11" s="65" t="s">
        <v>91</v>
      </c>
      <c r="E11" s="127" t="s">
        <v>107</v>
      </c>
      <c r="F11" s="127" t="s">
        <v>108</v>
      </c>
      <c r="G11" s="129" t="s">
        <v>3</v>
      </c>
      <c r="H11" s="72" t="s">
        <v>117</v>
      </c>
      <c r="I11" s="74" t="s">
        <v>49</v>
      </c>
      <c r="J11" s="75">
        <v>7.58</v>
      </c>
      <c r="K11" s="77">
        <v>0</v>
      </c>
      <c r="L11" s="25">
        <f t="shared" si="0"/>
        <v>0</v>
      </c>
      <c r="M11" s="25">
        <f t="shared" si="1"/>
        <v>0</v>
      </c>
      <c r="N11" s="26"/>
      <c r="O11" s="27">
        <f t="shared" si="3"/>
        <v>0</v>
      </c>
      <c r="P11" s="26"/>
      <c r="Q11" s="26"/>
      <c r="R11" s="26"/>
      <c r="S11" s="37">
        <f t="shared" si="2"/>
        <v>0</v>
      </c>
      <c r="T11" s="18" t="str">
        <f t="shared" si="4"/>
        <v>OK</v>
      </c>
      <c r="U11" s="16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ht="24.75" customHeight="1" x14ac:dyDescent="0.25">
      <c r="A12" s="173"/>
      <c r="B12" s="176"/>
      <c r="C12" s="61">
        <v>9</v>
      </c>
      <c r="D12" s="66" t="s">
        <v>92</v>
      </c>
      <c r="E12" s="127" t="s">
        <v>107</v>
      </c>
      <c r="F12" s="127" t="s">
        <v>109</v>
      </c>
      <c r="G12" s="129" t="s">
        <v>57</v>
      </c>
      <c r="H12" s="73" t="s">
        <v>118</v>
      </c>
      <c r="I12" s="74" t="s">
        <v>49</v>
      </c>
      <c r="J12" s="75">
        <v>82.56</v>
      </c>
      <c r="K12" s="77">
        <v>0</v>
      </c>
      <c r="L12" s="25">
        <f t="shared" ref="L12" si="5">IF(SUM(U12:AZ12)&gt;K12+N12,K12+N12,SUM(U12:AZ12))</f>
        <v>0</v>
      </c>
      <c r="M12" s="25">
        <f t="shared" ref="M12" si="6">(SUM(U12:AZ12))</f>
        <v>0</v>
      </c>
      <c r="N12" s="26"/>
      <c r="O12" s="27">
        <f t="shared" si="3"/>
        <v>0</v>
      </c>
      <c r="P12" s="26"/>
      <c r="Q12" s="26"/>
      <c r="R12" s="26"/>
      <c r="S12" s="37">
        <f t="shared" ref="S12" si="7">K12-SUM(U12:AZ12)+N12</f>
        <v>0</v>
      </c>
      <c r="T12" s="18" t="str">
        <f t="shared" si="4"/>
        <v>OK</v>
      </c>
      <c r="U12" s="16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16.5" customHeight="1" x14ac:dyDescent="0.25">
      <c r="K13" s="50">
        <f t="shared" ref="K13:S13" si="8">SUM(K4:K12)</f>
        <v>100</v>
      </c>
      <c r="L13" s="50">
        <f t="shared" si="8"/>
        <v>0</v>
      </c>
      <c r="M13" s="50">
        <f t="shared" si="8"/>
        <v>0</v>
      </c>
      <c r="N13" s="50">
        <f t="shared" si="8"/>
        <v>0</v>
      </c>
      <c r="O13" s="50">
        <f t="shared" si="8"/>
        <v>25</v>
      </c>
      <c r="P13" s="50">
        <f t="shared" si="8"/>
        <v>0</v>
      </c>
      <c r="Q13" s="50">
        <f t="shared" si="8"/>
        <v>0</v>
      </c>
      <c r="R13" s="50">
        <f t="shared" si="8"/>
        <v>0</v>
      </c>
      <c r="S13" s="51">
        <f t="shared" si="8"/>
        <v>100</v>
      </c>
      <c r="U13" s="19">
        <f t="shared" ref="U13:AZ13" si="9">SUMPRODUCT($J$4:$J$12,U4:U12)</f>
        <v>0</v>
      </c>
      <c r="V13" s="19">
        <f t="shared" si="9"/>
        <v>0</v>
      </c>
      <c r="W13" s="19">
        <f t="shared" si="9"/>
        <v>0</v>
      </c>
      <c r="X13" s="19">
        <f t="shared" si="9"/>
        <v>0</v>
      </c>
      <c r="Y13" s="19">
        <f t="shared" si="9"/>
        <v>0</v>
      </c>
      <c r="Z13" s="19">
        <f t="shared" si="9"/>
        <v>0</v>
      </c>
      <c r="AA13" s="19">
        <f t="shared" si="9"/>
        <v>0</v>
      </c>
      <c r="AB13" s="19">
        <f t="shared" si="9"/>
        <v>0</v>
      </c>
      <c r="AC13" s="19">
        <f t="shared" si="9"/>
        <v>0</v>
      </c>
      <c r="AD13" s="19">
        <f t="shared" si="9"/>
        <v>0</v>
      </c>
      <c r="AE13" s="19">
        <f t="shared" si="9"/>
        <v>0</v>
      </c>
      <c r="AF13" s="19">
        <f t="shared" si="9"/>
        <v>0</v>
      </c>
      <c r="AG13" s="19">
        <f t="shared" si="9"/>
        <v>0</v>
      </c>
      <c r="AH13" s="19">
        <f t="shared" si="9"/>
        <v>0</v>
      </c>
      <c r="AI13" s="19">
        <f t="shared" si="9"/>
        <v>0</v>
      </c>
      <c r="AJ13" s="19">
        <f t="shared" si="9"/>
        <v>0</v>
      </c>
      <c r="AK13" s="19">
        <f t="shared" si="9"/>
        <v>0</v>
      </c>
      <c r="AL13" s="19">
        <f t="shared" si="9"/>
        <v>0</v>
      </c>
      <c r="AM13" s="19">
        <f t="shared" si="9"/>
        <v>0</v>
      </c>
      <c r="AN13" s="19">
        <f t="shared" si="9"/>
        <v>0</v>
      </c>
      <c r="AO13" s="19">
        <f t="shared" si="9"/>
        <v>0</v>
      </c>
      <c r="AP13" s="19">
        <f t="shared" si="9"/>
        <v>0</v>
      </c>
      <c r="AQ13" s="19">
        <f t="shared" si="9"/>
        <v>0</v>
      </c>
      <c r="AR13" s="19">
        <f t="shared" si="9"/>
        <v>0</v>
      </c>
      <c r="AS13" s="19">
        <f t="shared" si="9"/>
        <v>0</v>
      </c>
      <c r="AT13" s="19">
        <f t="shared" si="9"/>
        <v>0</v>
      </c>
      <c r="AU13" s="19">
        <f t="shared" si="9"/>
        <v>0</v>
      </c>
      <c r="AV13" s="19">
        <f t="shared" si="9"/>
        <v>0</v>
      </c>
      <c r="AW13" s="19">
        <f t="shared" si="9"/>
        <v>0</v>
      </c>
      <c r="AX13" s="19">
        <f t="shared" si="9"/>
        <v>0</v>
      </c>
      <c r="AY13" s="19">
        <f t="shared" si="9"/>
        <v>0</v>
      </c>
      <c r="AZ13" s="19">
        <f t="shared" si="9"/>
        <v>0</v>
      </c>
    </row>
    <row r="14" spans="1:52" ht="20.25" customHeight="1" x14ac:dyDescent="0.25">
      <c r="K14" s="56">
        <f t="shared" ref="K14:R14" si="10">SUMPRODUCT($J$4:$J$12,K4:K12)</f>
        <v>1259</v>
      </c>
      <c r="L14" s="56">
        <f t="shared" si="10"/>
        <v>0</v>
      </c>
      <c r="M14" s="56">
        <f t="shared" si="10"/>
        <v>0</v>
      </c>
      <c r="N14" s="56">
        <f t="shared" si="10"/>
        <v>0</v>
      </c>
      <c r="O14" s="56">
        <f t="shared" si="10"/>
        <v>314.75</v>
      </c>
      <c r="P14" s="56">
        <f t="shared" si="10"/>
        <v>0</v>
      </c>
      <c r="Q14" s="56">
        <f t="shared" si="10"/>
        <v>0</v>
      </c>
      <c r="R14" s="56">
        <f t="shared" si="10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20.25" customHeight="1" thickBot="1" x14ac:dyDescent="0.3">
      <c r="K15" s="56"/>
      <c r="N15" s="30"/>
      <c r="O15" s="30"/>
      <c r="P15" s="30"/>
      <c r="Q15" s="30"/>
      <c r="R15" s="30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7.25" customHeight="1" x14ac:dyDescent="0.25">
      <c r="A16" s="36"/>
      <c r="B16" s="149" t="s">
        <v>54</v>
      </c>
      <c r="C16" s="150"/>
      <c r="D16" s="150"/>
      <c r="E16" s="150"/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V16" s="23"/>
      <c r="W16" s="23"/>
      <c r="X16" s="23"/>
    </row>
    <row r="17" spans="1:24" ht="16.5" customHeight="1" x14ac:dyDescent="0.25">
      <c r="A17" s="36"/>
      <c r="B17" s="152" t="s">
        <v>52</v>
      </c>
      <c r="C17" s="153"/>
      <c r="D17" s="153"/>
      <c r="E17" s="153"/>
      <c r="F17" s="153"/>
      <c r="G17" s="153"/>
      <c r="H17" s="153"/>
      <c r="I17" s="153"/>
      <c r="J17" s="153"/>
      <c r="K17" s="154"/>
      <c r="R17" s="24"/>
      <c r="V17" s="23"/>
      <c r="W17" s="23"/>
      <c r="X17" s="23"/>
    </row>
    <row r="18" spans="1:24" ht="15.75" customHeight="1" thickBot="1" x14ac:dyDescent="0.3">
      <c r="A18" s="36"/>
      <c r="B18" s="155" t="s">
        <v>53</v>
      </c>
      <c r="C18" s="156"/>
      <c r="D18" s="156"/>
      <c r="E18" s="156"/>
      <c r="F18" s="156"/>
      <c r="G18" s="156"/>
      <c r="H18" s="156"/>
      <c r="I18" s="156"/>
      <c r="J18" s="156"/>
      <c r="K18" s="157"/>
      <c r="R18" s="24"/>
      <c r="V18" s="23"/>
      <c r="W18" s="23"/>
      <c r="X18" s="23"/>
    </row>
  </sheetData>
  <autoFilter ref="A3:AZ14" xr:uid="{00000000-0001-0000-0000-000000000000}"/>
  <mergeCells count="12">
    <mergeCell ref="A7:A12"/>
    <mergeCell ref="B7:B12"/>
    <mergeCell ref="B16:K16"/>
    <mergeCell ref="B17:K17"/>
    <mergeCell ref="B18:K18"/>
    <mergeCell ref="A4:A6"/>
    <mergeCell ref="B4:B6"/>
    <mergeCell ref="A1:C1"/>
    <mergeCell ref="D1:J1"/>
    <mergeCell ref="K1:T1"/>
    <mergeCell ref="A2:J2"/>
    <mergeCell ref="K2:T2"/>
  </mergeCells>
  <conditionalFormatting sqref="T3:T1048576">
    <cfRule type="cellIs" dxfId="66" priority="6" operator="equal">
      <formula>"ATENÇÃO"</formula>
    </cfRule>
  </conditionalFormatting>
  <conditionalFormatting sqref="U4:AZ12">
    <cfRule type="cellIs" dxfId="65" priority="5" operator="greaterThan">
      <formula>0</formula>
    </cfRule>
  </conditionalFormatting>
  <conditionalFormatting sqref="S4:S12">
    <cfRule type="cellIs" dxfId="64" priority="4" operator="lessThan">
      <formula>0</formula>
    </cfRule>
  </conditionalFormatting>
  <conditionalFormatting sqref="T4:T12">
    <cfRule type="containsText" dxfId="63" priority="3" operator="containsText" text="ATENÇÃO">
      <formula>NOT(ISERROR(SEARCH("ATENÇÃO",T4)))</formula>
    </cfRule>
  </conditionalFormatting>
  <conditionalFormatting sqref="D12">
    <cfRule type="duplicateValues" dxfId="62" priority="2"/>
  </conditionalFormatting>
  <conditionalFormatting sqref="D8">
    <cfRule type="duplicateValues" dxfId="61" priority="7"/>
  </conditionalFormatting>
  <conditionalFormatting sqref="D10:D11">
    <cfRule type="duplicateValues" dxfId="60" priority="8"/>
  </conditionalFormatting>
  <conditionalFormatting sqref="D9">
    <cfRule type="duplicateValues" dxfId="59" priority="9"/>
  </conditionalFormatting>
  <conditionalFormatting sqref="D4:D7">
    <cfRule type="duplicateValues" dxfId="58" priority="10"/>
  </conditionalFormatting>
  <conditionalFormatting sqref="T1">
    <cfRule type="cellIs" dxfId="5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CESFI</vt:lpstr>
      <vt:lpstr>CEFID</vt:lpstr>
      <vt:lpstr>CAV</vt:lpstr>
      <vt:lpstr>CCT</vt:lpstr>
      <vt:lpstr>CEART</vt:lpstr>
      <vt:lpstr>ESAG</vt:lpstr>
      <vt:lpstr>CEAD</vt:lpstr>
      <vt:lpstr>CEPLAN</vt:lpstr>
      <vt:lpstr>CEAVI</vt:lpstr>
      <vt:lpstr>CERES</vt:lpstr>
      <vt:lpstr>FAED</vt:lpstr>
      <vt:lpstr>CEO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2017-02-14T17:35:15Z</cp:lastPrinted>
  <dcterms:created xsi:type="dcterms:W3CDTF">2010-06-19T20:43:11Z</dcterms:created>
  <dcterms:modified xsi:type="dcterms:W3CDTF">2026-04-14T20:49:51Z</dcterms:modified>
</cp:coreProperties>
</file>