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VIGÊNCIA EXPIRADA\PE 0629.2025 SRP SGPE 1965.2025 - Gêneros Alimentícios - VIG 08.05.2026-ok\"/>
    </mc:Choice>
  </mc:AlternateContent>
  <xr:revisionPtr revIDLastSave="0" documentId="13_ncr:1_{436C8F92-948E-473C-93A3-C4F762D5F3B0}" xr6:coauthVersionLast="47" xr6:coauthVersionMax="47" xr10:uidLastSave="{00000000-0000-0000-0000-000000000000}"/>
  <bookViews>
    <workbookView xWindow="-110" yWindow="-110" windowWidth="19420" windowHeight="10300" tabRatio="887" activeTab="13" xr2:uid="{00000000-000D-0000-FFFF-FFFF00000000}"/>
  </bookViews>
  <sheets>
    <sheet name="REITORIA" sheetId="145" r:id="rId1"/>
    <sheet name="CESFI" sheetId="139" r:id="rId2"/>
    <sheet name="CEFID" sheetId="135" r:id="rId3"/>
    <sheet name="CAV" sheetId="137" r:id="rId4"/>
    <sheet name="CCT" sheetId="136" r:id="rId5"/>
    <sheet name="CEART" sheetId="113" r:id="rId6"/>
    <sheet name="ESAG" sheetId="141" r:id="rId7"/>
    <sheet name="CEAD" sheetId="121" r:id="rId8"/>
    <sheet name="CEPLAN" sheetId="143" r:id="rId9"/>
    <sheet name="CEAVI" sheetId="129" r:id="rId10"/>
    <sheet name="CERES" sheetId="140" r:id="rId11"/>
    <sheet name="FAED" sheetId="134" r:id="rId12"/>
    <sheet name="CEO" sheetId="138" r:id="rId13"/>
    <sheet name="GESTOR da Ata" sheetId="128" r:id="rId14"/>
    <sheet name="(CARONA-USO DO GESTOR)" sheetId="142" r:id="rId15"/>
  </sheets>
  <definedNames>
    <definedName name="_xlnm._FilterDatabase" localSheetId="14" hidden="1">'(CARONA-USO DO GESTOR)'!$A$3:$AG$17</definedName>
    <definedName name="_xlnm._FilterDatabase" localSheetId="3" hidden="1">CAV!$A$3:$T$3</definedName>
    <definedName name="_xlnm._FilterDatabase" localSheetId="4" hidden="1">CCT!$A$3:$T$3</definedName>
    <definedName name="_xlnm._FilterDatabase" localSheetId="7" hidden="1">CEAD!$A$3:$AX$19</definedName>
    <definedName name="_xlnm._FilterDatabase" localSheetId="5" hidden="1">CEART!$A$3:$T$3</definedName>
    <definedName name="_xlnm._FilterDatabase" localSheetId="9" hidden="1">CEAVI!$A$3:$T$3</definedName>
    <definedName name="_xlnm._FilterDatabase" localSheetId="2" hidden="1">CEFID!$A$3:$T$3</definedName>
    <definedName name="_xlnm._FilterDatabase" localSheetId="12" hidden="1">CEO!$A$3:$T$3</definedName>
    <definedName name="_xlnm._FilterDatabase" localSheetId="8" hidden="1">CEPLAN!$A$3:$T$3</definedName>
    <definedName name="_xlnm._FilterDatabase" localSheetId="10" hidden="1">CERES!$A$3:$T$3</definedName>
    <definedName name="_xlnm._FilterDatabase" localSheetId="1" hidden="1">CESFI!$A$3:$T$3</definedName>
    <definedName name="_xlnm._FilterDatabase" localSheetId="6" hidden="1">ESAG!$A$3:$T$3</definedName>
    <definedName name="_xlnm._FilterDatabase" localSheetId="11" hidden="1">FAED!$A$3:$T$3</definedName>
    <definedName name="_xlnm._FilterDatabase" localSheetId="13" hidden="1">'GESTOR da Ata'!$A$3:$R$3</definedName>
    <definedName name="_xlnm._FilterDatabase" localSheetId="0" hidden="1">REITORIA!$A$3:$AL$19</definedName>
    <definedName name="CEPLAN" localSheetId="14">#REF!</definedName>
    <definedName name="CEPLAN" localSheetId="9">#REF!</definedName>
    <definedName name="CEPLAN" localSheetId="13">#REF!</definedName>
    <definedName name="CEPLAN">#REF!</definedName>
    <definedName name="diasuteis" localSheetId="14">#REF!</definedName>
    <definedName name="diasuteis" localSheetId="9">#REF!</definedName>
    <definedName name="diasuteis" localSheetId="13">#REF!</definedName>
    <definedName name="diasuteis">#REF!</definedName>
    <definedName name="Ferias" localSheetId="14">#REF!</definedName>
    <definedName name="Ferias" localSheetId="9">#REF!</definedName>
    <definedName name="Ferias" localSheetId="13">#REF!</definedName>
    <definedName name="Ferias">#REF!</definedName>
    <definedName name="RD" localSheetId="14">OFFSET(#REF!,(MATCH(SMALL(#REF!,ROW()-10),#REF!,0)-1),0)</definedName>
    <definedName name="RD" localSheetId="9">OFFSET(#REF!,(MATCH(SMALL(#REF!,ROW()-10),#REF!,0)-1),0)</definedName>
    <definedName name="RD" localSheetId="13">OFFSET(#REF!,(MATCH(SMALL(#REF!,ROW()-10),#REF!,0)-1),0)</definedName>
    <definedName name="RD">OFFSET(#REF!,(MATCH(SMALL(#REF!,ROW()-10),#REF!,0)-1),0)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4" i="128" l="1"/>
  <c r="O25" i="128"/>
  <c r="P25" i="128" s="1"/>
  <c r="O26" i="128"/>
  <c r="O27" i="128"/>
  <c r="O28" i="128"/>
  <c r="O29" i="128"/>
  <c r="O30" i="128"/>
  <c r="P30" i="128" s="1"/>
  <c r="O31" i="128"/>
  <c r="P31" i="128" s="1"/>
  <c r="O32" i="128"/>
  <c r="O33" i="128"/>
  <c r="P33" i="128" s="1"/>
  <c r="O34" i="128"/>
  <c r="O35" i="128"/>
  <c r="O36" i="128"/>
  <c r="M24" i="128"/>
  <c r="M25" i="128"/>
  <c r="M26" i="128"/>
  <c r="M27" i="128"/>
  <c r="M28" i="128"/>
  <c r="Q28" i="128" s="1"/>
  <c r="M29" i="128"/>
  <c r="Q29" i="128" s="1"/>
  <c r="M30" i="128"/>
  <c r="N30" i="128" s="1"/>
  <c r="M31" i="128"/>
  <c r="N31" i="128" s="1"/>
  <c r="M32" i="128"/>
  <c r="M33" i="128"/>
  <c r="M34" i="128"/>
  <c r="M35" i="128"/>
  <c r="M36" i="128"/>
  <c r="Q36" i="128" s="1"/>
  <c r="L24" i="128"/>
  <c r="L25" i="128"/>
  <c r="L26" i="128"/>
  <c r="L27" i="128"/>
  <c r="L28" i="128"/>
  <c r="L29" i="128"/>
  <c r="L30" i="128"/>
  <c r="L31" i="128"/>
  <c r="L32" i="128"/>
  <c r="L33" i="128"/>
  <c r="L34" i="128"/>
  <c r="L35" i="128"/>
  <c r="L36" i="128"/>
  <c r="J36" i="128"/>
  <c r="J35" i="128"/>
  <c r="J34" i="128"/>
  <c r="J33" i="128"/>
  <c r="J32" i="128"/>
  <c r="J31" i="128"/>
  <c r="K31" i="128" s="1"/>
  <c r="J30" i="128"/>
  <c r="J29" i="128"/>
  <c r="K29" i="128" s="1"/>
  <c r="J28" i="128"/>
  <c r="K28" i="128" s="1"/>
  <c r="J27" i="128"/>
  <c r="K27" i="128" s="1"/>
  <c r="J26" i="128"/>
  <c r="K26" i="128" s="1"/>
  <c r="K33" i="128"/>
  <c r="J25" i="128"/>
  <c r="Q25" i="128"/>
  <c r="Q26" i="128"/>
  <c r="Q27" i="128"/>
  <c r="Q32" i="128"/>
  <c r="Q33" i="128"/>
  <c r="Q34" i="128"/>
  <c r="Q35" i="128"/>
  <c r="P26" i="128"/>
  <c r="P27" i="128"/>
  <c r="P28" i="128"/>
  <c r="P29" i="128"/>
  <c r="P32" i="128"/>
  <c r="P34" i="128"/>
  <c r="P35" i="128"/>
  <c r="P36" i="128"/>
  <c r="N25" i="128"/>
  <c r="N26" i="128"/>
  <c r="N27" i="128"/>
  <c r="N32" i="128"/>
  <c r="N33" i="128"/>
  <c r="N34" i="128"/>
  <c r="N35" i="128"/>
  <c r="K25" i="128"/>
  <c r="K30" i="128"/>
  <c r="K32" i="128"/>
  <c r="K34" i="128"/>
  <c r="K35" i="128"/>
  <c r="K36" i="128"/>
  <c r="I36" i="128"/>
  <c r="I35" i="128"/>
  <c r="I34" i="128"/>
  <c r="I33" i="128"/>
  <c r="I32" i="128"/>
  <c r="I31" i="128"/>
  <c r="I30" i="128"/>
  <c r="I29" i="128"/>
  <c r="I28" i="128"/>
  <c r="I27" i="128"/>
  <c r="I26" i="128"/>
  <c r="I25" i="128"/>
  <c r="I24" i="128"/>
  <c r="J24" i="128"/>
  <c r="K19" i="138"/>
  <c r="L19" i="138"/>
  <c r="M19" i="138"/>
  <c r="N19" i="138"/>
  <c r="O19" i="138"/>
  <c r="P19" i="138"/>
  <c r="Q19" i="138"/>
  <c r="R19" i="138"/>
  <c r="J19" i="138"/>
  <c r="K19" i="134"/>
  <c r="L19" i="134"/>
  <c r="M19" i="134"/>
  <c r="N19" i="134"/>
  <c r="O19" i="134"/>
  <c r="P19" i="134"/>
  <c r="Q19" i="134"/>
  <c r="R19" i="134"/>
  <c r="J19" i="134"/>
  <c r="K19" i="140"/>
  <c r="L19" i="140"/>
  <c r="M19" i="140"/>
  <c r="N19" i="140"/>
  <c r="O19" i="140"/>
  <c r="P19" i="140"/>
  <c r="Q19" i="140"/>
  <c r="R19" i="140"/>
  <c r="J19" i="140"/>
  <c r="K19" i="129"/>
  <c r="L19" i="129"/>
  <c r="M19" i="129"/>
  <c r="N19" i="129"/>
  <c r="O19" i="129"/>
  <c r="P19" i="129"/>
  <c r="Q19" i="129"/>
  <c r="R19" i="129"/>
  <c r="J19" i="129"/>
  <c r="R19" i="143"/>
  <c r="K19" i="143"/>
  <c r="L19" i="143"/>
  <c r="M19" i="143"/>
  <c r="N19" i="143"/>
  <c r="O19" i="143"/>
  <c r="P19" i="143"/>
  <c r="Q19" i="143"/>
  <c r="J19" i="143"/>
  <c r="K19" i="121"/>
  <c r="L19" i="121"/>
  <c r="M19" i="121"/>
  <c r="N19" i="121"/>
  <c r="O19" i="121"/>
  <c r="P19" i="121"/>
  <c r="Q19" i="121"/>
  <c r="R19" i="121"/>
  <c r="J19" i="121"/>
  <c r="K19" i="141"/>
  <c r="L19" i="141"/>
  <c r="M19" i="141"/>
  <c r="N19" i="141"/>
  <c r="O19" i="141"/>
  <c r="P19" i="141"/>
  <c r="Q19" i="141"/>
  <c r="R19" i="141"/>
  <c r="J19" i="141"/>
  <c r="K19" i="113"/>
  <c r="L19" i="113"/>
  <c r="M19" i="113"/>
  <c r="N19" i="113"/>
  <c r="O19" i="113"/>
  <c r="P19" i="113"/>
  <c r="Q19" i="113"/>
  <c r="R19" i="113"/>
  <c r="J19" i="113"/>
  <c r="K19" i="136"/>
  <c r="L19" i="136"/>
  <c r="M19" i="136"/>
  <c r="N19" i="136"/>
  <c r="O19" i="136"/>
  <c r="P19" i="136"/>
  <c r="Q19" i="136"/>
  <c r="R19" i="136"/>
  <c r="J19" i="136"/>
  <c r="K19" i="137"/>
  <c r="L19" i="137"/>
  <c r="M19" i="137"/>
  <c r="N19" i="137"/>
  <c r="O19" i="137"/>
  <c r="P19" i="137"/>
  <c r="Q19" i="137"/>
  <c r="R19" i="137"/>
  <c r="J19" i="137"/>
  <c r="R19" i="135"/>
  <c r="K19" i="135"/>
  <c r="L19" i="135"/>
  <c r="M19" i="135"/>
  <c r="N19" i="135"/>
  <c r="O19" i="135"/>
  <c r="P19" i="135"/>
  <c r="Q19" i="135"/>
  <c r="J19" i="135"/>
  <c r="K19" i="139"/>
  <c r="L19" i="139"/>
  <c r="M19" i="139"/>
  <c r="N19" i="139"/>
  <c r="O19" i="139"/>
  <c r="P19" i="139"/>
  <c r="Q19" i="139"/>
  <c r="R19" i="139"/>
  <c r="J19" i="139"/>
  <c r="L19" i="145"/>
  <c r="M19" i="145"/>
  <c r="N19" i="145"/>
  <c r="O19" i="145"/>
  <c r="P19" i="145"/>
  <c r="Q19" i="145"/>
  <c r="R19" i="145"/>
  <c r="K19" i="145"/>
  <c r="R18" i="145"/>
  <c r="S18" i="145" s="1"/>
  <c r="J19" i="145"/>
  <c r="N29" i="128" l="1"/>
  <c r="Q31" i="128"/>
  <c r="N36" i="128"/>
  <c r="N28" i="128"/>
  <c r="Q30" i="128"/>
  <c r="O37" i="128"/>
  <c r="L37" i="128"/>
  <c r="I37" i="128"/>
  <c r="K24" i="128" l="1"/>
  <c r="P24" i="128"/>
  <c r="N24" i="128"/>
  <c r="J37" i="128"/>
  <c r="K37" i="128" s="1"/>
  <c r="Q24" i="128"/>
  <c r="M37" i="128"/>
  <c r="P37" i="128" l="1"/>
  <c r="Q37" i="128"/>
  <c r="N37" i="128"/>
  <c r="U18" i="137" l="1"/>
  <c r="V18" i="137"/>
  <c r="W18" i="137"/>
  <c r="X18" i="137"/>
  <c r="Y18" i="137"/>
  <c r="Z18" i="137"/>
  <c r="AA18" i="137"/>
  <c r="AB18" i="137"/>
  <c r="AC18" i="137"/>
  <c r="AD18" i="137"/>
  <c r="AE18" i="137"/>
  <c r="AF18" i="137"/>
  <c r="AG18" i="137"/>
  <c r="AH18" i="137"/>
  <c r="T18" i="137"/>
  <c r="T18" i="145"/>
  <c r="U18" i="138"/>
  <c r="V18" i="138"/>
  <c r="W18" i="138"/>
  <c r="X18" i="138"/>
  <c r="Y18" i="138"/>
  <c r="Z18" i="138"/>
  <c r="AA18" i="138"/>
  <c r="AB18" i="138"/>
  <c r="AC18" i="138"/>
  <c r="AD18" i="138"/>
  <c r="AE18" i="138"/>
  <c r="AF18" i="138"/>
  <c r="AG18" i="138"/>
  <c r="AH18" i="138"/>
  <c r="T18" i="138"/>
  <c r="R18" i="138"/>
  <c r="U18" i="129"/>
  <c r="V18" i="129"/>
  <c r="W18" i="129"/>
  <c r="X18" i="129"/>
  <c r="Y18" i="129"/>
  <c r="Z18" i="129"/>
  <c r="AA18" i="129"/>
  <c r="AB18" i="129"/>
  <c r="AC18" i="129"/>
  <c r="AD18" i="129"/>
  <c r="AE18" i="129"/>
  <c r="AF18" i="129"/>
  <c r="AG18" i="129"/>
  <c r="AH18" i="129"/>
  <c r="T18" i="129"/>
  <c r="U18" i="143"/>
  <c r="V18" i="143"/>
  <c r="W18" i="143"/>
  <c r="X18" i="143"/>
  <c r="Y18" i="143"/>
  <c r="Z18" i="143"/>
  <c r="AA18" i="143"/>
  <c r="AB18" i="143"/>
  <c r="AC18" i="143"/>
  <c r="AD18" i="143"/>
  <c r="AE18" i="143"/>
  <c r="AF18" i="143"/>
  <c r="AG18" i="143"/>
  <c r="AH18" i="143"/>
  <c r="T18" i="143"/>
  <c r="U18" i="136"/>
  <c r="V18" i="136"/>
  <c r="W18" i="136"/>
  <c r="X18" i="136"/>
  <c r="Y18" i="136"/>
  <c r="Z18" i="136"/>
  <c r="AA18" i="136"/>
  <c r="AB18" i="136"/>
  <c r="AC18" i="136"/>
  <c r="AD18" i="136"/>
  <c r="AE18" i="136"/>
  <c r="AF18" i="136"/>
  <c r="AG18" i="136"/>
  <c r="AH18" i="136"/>
  <c r="T18" i="136"/>
  <c r="U18" i="139"/>
  <c r="V18" i="139"/>
  <c r="W18" i="139"/>
  <c r="X18" i="139"/>
  <c r="Y18" i="139"/>
  <c r="Z18" i="139"/>
  <c r="AA18" i="139"/>
  <c r="AB18" i="139"/>
  <c r="AC18" i="139"/>
  <c r="AD18" i="139"/>
  <c r="AE18" i="139"/>
  <c r="AF18" i="139"/>
  <c r="AG18" i="139"/>
  <c r="AH18" i="139"/>
  <c r="T18" i="139"/>
  <c r="U18" i="140"/>
  <c r="V18" i="140"/>
  <c r="W18" i="140"/>
  <c r="X18" i="140"/>
  <c r="Y18" i="140"/>
  <c r="Z18" i="140"/>
  <c r="AA18" i="140"/>
  <c r="AB18" i="140"/>
  <c r="AC18" i="140"/>
  <c r="AD18" i="140"/>
  <c r="AE18" i="140"/>
  <c r="AF18" i="140"/>
  <c r="AG18" i="140"/>
  <c r="AH18" i="140"/>
  <c r="T18" i="140"/>
  <c r="U18" i="135"/>
  <c r="V18" i="135"/>
  <c r="W18" i="135"/>
  <c r="X18" i="135"/>
  <c r="Y18" i="135"/>
  <c r="Z18" i="135"/>
  <c r="AA18" i="135"/>
  <c r="AB18" i="135"/>
  <c r="AC18" i="135"/>
  <c r="AD18" i="135"/>
  <c r="AE18" i="135"/>
  <c r="AF18" i="135"/>
  <c r="AG18" i="135"/>
  <c r="AH18" i="135"/>
  <c r="T18" i="135"/>
  <c r="R18" i="134"/>
  <c r="U18" i="134"/>
  <c r="V18" i="134"/>
  <c r="W18" i="134"/>
  <c r="X18" i="134"/>
  <c r="Y18" i="134"/>
  <c r="Z18" i="134"/>
  <c r="AA18" i="134"/>
  <c r="AB18" i="134"/>
  <c r="AC18" i="134"/>
  <c r="AD18" i="134"/>
  <c r="AE18" i="134"/>
  <c r="AF18" i="134"/>
  <c r="AG18" i="134"/>
  <c r="AH18" i="134"/>
  <c r="T18" i="134"/>
  <c r="U18" i="121" l="1"/>
  <c r="V18" i="121"/>
  <c r="W18" i="121"/>
  <c r="X18" i="121"/>
  <c r="Y18" i="121"/>
  <c r="Z18" i="121"/>
  <c r="AA18" i="121"/>
  <c r="AB18" i="121"/>
  <c r="AC18" i="121"/>
  <c r="R18" i="113"/>
  <c r="U18" i="113"/>
  <c r="V18" i="113"/>
  <c r="W18" i="113"/>
  <c r="X18" i="113"/>
  <c r="Y18" i="113"/>
  <c r="Z18" i="113"/>
  <c r="AA18" i="113"/>
  <c r="AB18" i="113"/>
  <c r="AC18" i="113"/>
  <c r="AD18" i="113"/>
  <c r="AE18" i="113"/>
  <c r="AF18" i="113"/>
  <c r="AG18" i="113"/>
  <c r="AH18" i="113"/>
  <c r="T18" i="113"/>
  <c r="U18" i="141"/>
  <c r="V18" i="141"/>
  <c r="W18" i="141"/>
  <c r="X18" i="141"/>
  <c r="Y18" i="141"/>
  <c r="Z18" i="141"/>
  <c r="AA18" i="141"/>
  <c r="AB18" i="141"/>
  <c r="AC18" i="141"/>
  <c r="AD18" i="141"/>
  <c r="AE18" i="141"/>
  <c r="AF18" i="141"/>
  <c r="AG18" i="141"/>
  <c r="AH18" i="141"/>
  <c r="T18" i="141"/>
  <c r="M5" i="141" l="1"/>
  <c r="M4" i="145"/>
  <c r="J18" i="140"/>
  <c r="U9" i="121" l="1"/>
  <c r="AD18" i="121"/>
  <c r="AE18" i="121"/>
  <c r="AF18" i="121"/>
  <c r="AG18" i="121"/>
  <c r="AH18" i="121"/>
  <c r="T18" i="121"/>
  <c r="J18" i="145" l="1"/>
  <c r="U9" i="145" l="1"/>
  <c r="K9" i="145" s="1"/>
  <c r="K5" i="145"/>
  <c r="L4" i="145"/>
  <c r="I21" i="145"/>
  <c r="K4" i="145"/>
  <c r="N4" i="145"/>
  <c r="L5" i="145"/>
  <c r="N5" i="145"/>
  <c r="R5" i="145"/>
  <c r="S5" i="145" s="1"/>
  <c r="K6" i="145"/>
  <c r="L6" i="145"/>
  <c r="N6" i="145"/>
  <c r="R6" i="145"/>
  <c r="S6" i="145" s="1"/>
  <c r="K7" i="145"/>
  <c r="L7" i="145"/>
  <c r="N7" i="145"/>
  <c r="R7" i="145"/>
  <c r="S7" i="145" s="1"/>
  <c r="K8" i="145"/>
  <c r="L8" i="145"/>
  <c r="N8" i="145"/>
  <c r="R8" i="145"/>
  <c r="S8" i="145" s="1"/>
  <c r="N9" i="145"/>
  <c r="K10" i="145"/>
  <c r="L10" i="145"/>
  <c r="N10" i="145"/>
  <c r="R10" i="145"/>
  <c r="S10" i="145" s="1"/>
  <c r="K11" i="145"/>
  <c r="L11" i="145"/>
  <c r="N11" i="145"/>
  <c r="R11" i="145"/>
  <c r="S11" i="145" s="1"/>
  <c r="K12" i="145"/>
  <c r="L12" i="145"/>
  <c r="N12" i="145"/>
  <c r="R12" i="145"/>
  <c r="S12" i="145" s="1"/>
  <c r="K13" i="145"/>
  <c r="L13" i="145"/>
  <c r="N13" i="145"/>
  <c r="R13" i="145"/>
  <c r="S13" i="145" s="1"/>
  <c r="K14" i="145"/>
  <c r="L14" i="145"/>
  <c r="N14" i="145"/>
  <c r="R14" i="145"/>
  <c r="S14" i="145" s="1"/>
  <c r="K15" i="145"/>
  <c r="L15" i="145"/>
  <c r="N15" i="145"/>
  <c r="R15" i="145"/>
  <c r="S15" i="145" s="1"/>
  <c r="K16" i="145"/>
  <c r="L16" i="145"/>
  <c r="N16" i="145"/>
  <c r="R16" i="145"/>
  <c r="S16" i="145" s="1"/>
  <c r="K17" i="145"/>
  <c r="L17" i="145"/>
  <c r="N17" i="145"/>
  <c r="R17" i="145"/>
  <c r="S17" i="145" s="1"/>
  <c r="V18" i="145"/>
  <c r="W18" i="145"/>
  <c r="X18" i="145"/>
  <c r="Y18" i="145"/>
  <c r="Z18" i="145"/>
  <c r="AA18" i="145"/>
  <c r="AB18" i="145"/>
  <c r="AC18" i="145"/>
  <c r="AD18" i="145"/>
  <c r="AE18" i="145"/>
  <c r="AF18" i="145"/>
  <c r="AG18" i="145"/>
  <c r="AH18" i="145"/>
  <c r="U18" i="145"/>
  <c r="R17" i="138"/>
  <c r="S17" i="138" s="1"/>
  <c r="N17" i="138"/>
  <c r="L17" i="138"/>
  <c r="K17" i="138"/>
  <c r="R16" i="138"/>
  <c r="S16" i="138" s="1"/>
  <c r="N16" i="138"/>
  <c r="L16" i="138"/>
  <c r="K16" i="138"/>
  <c r="R15" i="138"/>
  <c r="S15" i="138" s="1"/>
  <c r="N15" i="138"/>
  <c r="L15" i="138"/>
  <c r="K15" i="138"/>
  <c r="R14" i="138"/>
  <c r="S14" i="138" s="1"/>
  <c r="N14" i="138"/>
  <c r="L14" i="138"/>
  <c r="K14" i="138"/>
  <c r="R13" i="138"/>
  <c r="S13" i="138" s="1"/>
  <c r="N13" i="138"/>
  <c r="L13" i="138"/>
  <c r="K13" i="138"/>
  <c r="R12" i="138"/>
  <c r="S12" i="138" s="1"/>
  <c r="N12" i="138"/>
  <c r="L12" i="138"/>
  <c r="K12" i="138"/>
  <c r="S11" i="138"/>
  <c r="R11" i="138"/>
  <c r="N11" i="138"/>
  <c r="L11" i="138"/>
  <c r="K11" i="138"/>
  <c r="R10" i="138"/>
  <c r="S10" i="138" s="1"/>
  <c r="N10" i="138"/>
  <c r="L10" i="138"/>
  <c r="K10" i="138"/>
  <c r="R9" i="138"/>
  <c r="S9" i="138" s="1"/>
  <c r="N9" i="138"/>
  <c r="L9" i="138"/>
  <c r="K9" i="138"/>
  <c r="R8" i="138"/>
  <c r="S8" i="138" s="1"/>
  <c r="N8" i="138"/>
  <c r="L8" i="138"/>
  <c r="K8" i="138"/>
  <c r="R7" i="138"/>
  <c r="S7" i="138" s="1"/>
  <c r="N7" i="138"/>
  <c r="L7" i="138"/>
  <c r="K7" i="138"/>
  <c r="R6" i="138"/>
  <c r="S6" i="138" s="1"/>
  <c r="N6" i="138"/>
  <c r="L6" i="138"/>
  <c r="K6" i="138"/>
  <c r="R5" i="138"/>
  <c r="S5" i="138" s="1"/>
  <c r="N5" i="138"/>
  <c r="L5" i="138"/>
  <c r="K5" i="138"/>
  <c r="R4" i="138"/>
  <c r="N4" i="138"/>
  <c r="L4" i="138"/>
  <c r="K4" i="138"/>
  <c r="R17" i="134"/>
  <c r="S17" i="134" s="1"/>
  <c r="N17" i="134"/>
  <c r="L17" i="134"/>
  <c r="K17" i="134"/>
  <c r="R16" i="134"/>
  <c r="S16" i="134" s="1"/>
  <c r="N16" i="134"/>
  <c r="L16" i="134"/>
  <c r="K16" i="134"/>
  <c r="R15" i="134"/>
  <c r="S15" i="134" s="1"/>
  <c r="N15" i="134"/>
  <c r="L15" i="134"/>
  <c r="K15" i="134"/>
  <c r="R14" i="134"/>
  <c r="S14" i="134" s="1"/>
  <c r="N14" i="134"/>
  <c r="L14" i="134"/>
  <c r="K14" i="134"/>
  <c r="R13" i="134"/>
  <c r="S13" i="134" s="1"/>
  <c r="N13" i="134"/>
  <c r="L13" i="134"/>
  <c r="K13" i="134"/>
  <c r="R12" i="134"/>
  <c r="S12" i="134" s="1"/>
  <c r="N12" i="134"/>
  <c r="L12" i="134"/>
  <c r="K12" i="134"/>
  <c r="R11" i="134"/>
  <c r="S11" i="134" s="1"/>
  <c r="N11" i="134"/>
  <c r="L11" i="134"/>
  <c r="K11" i="134"/>
  <c r="R10" i="134"/>
  <c r="S10" i="134" s="1"/>
  <c r="N10" i="134"/>
  <c r="L10" i="134"/>
  <c r="K10" i="134"/>
  <c r="R9" i="134"/>
  <c r="S9" i="134" s="1"/>
  <c r="N9" i="134"/>
  <c r="L9" i="134"/>
  <c r="K9" i="134"/>
  <c r="R8" i="134"/>
  <c r="S8" i="134" s="1"/>
  <c r="N8" i="134"/>
  <c r="L8" i="134"/>
  <c r="K8" i="134"/>
  <c r="R7" i="134"/>
  <c r="S7" i="134" s="1"/>
  <c r="N7" i="134"/>
  <c r="L7" i="134"/>
  <c r="K7" i="134"/>
  <c r="R6" i="134"/>
  <c r="S6" i="134" s="1"/>
  <c r="N6" i="134"/>
  <c r="L6" i="134"/>
  <c r="K6" i="134"/>
  <c r="R5" i="134"/>
  <c r="S5" i="134" s="1"/>
  <c r="N5" i="134"/>
  <c r="L5" i="134"/>
  <c r="K5" i="134"/>
  <c r="R4" i="134"/>
  <c r="N4" i="134"/>
  <c r="L4" i="134"/>
  <c r="K4" i="134"/>
  <c r="R17" i="140"/>
  <c r="S17" i="140" s="1"/>
  <c r="N17" i="140"/>
  <c r="L17" i="140"/>
  <c r="K17" i="140"/>
  <c r="R16" i="140"/>
  <c r="S16" i="140" s="1"/>
  <c r="N16" i="140"/>
  <c r="L16" i="140"/>
  <c r="K16" i="140"/>
  <c r="R15" i="140"/>
  <c r="S15" i="140" s="1"/>
  <c r="N15" i="140"/>
  <c r="L15" i="140"/>
  <c r="K15" i="140"/>
  <c r="R14" i="140"/>
  <c r="S14" i="140" s="1"/>
  <c r="N14" i="140"/>
  <c r="L14" i="140"/>
  <c r="K14" i="140"/>
  <c r="R13" i="140"/>
  <c r="S13" i="140" s="1"/>
  <c r="N13" i="140"/>
  <c r="L13" i="140"/>
  <c r="K13" i="140"/>
  <c r="R12" i="140"/>
  <c r="S12" i="140" s="1"/>
  <c r="N12" i="140"/>
  <c r="L12" i="140"/>
  <c r="K12" i="140"/>
  <c r="R11" i="140"/>
  <c r="S11" i="140" s="1"/>
  <c r="N11" i="140"/>
  <c r="L11" i="140"/>
  <c r="K11" i="140"/>
  <c r="R10" i="140"/>
  <c r="S10" i="140" s="1"/>
  <c r="N10" i="140"/>
  <c r="L10" i="140"/>
  <c r="K10" i="140"/>
  <c r="R9" i="140"/>
  <c r="S9" i="140" s="1"/>
  <c r="N9" i="140"/>
  <c r="L9" i="140"/>
  <c r="K9" i="140"/>
  <c r="S8" i="140"/>
  <c r="R8" i="140"/>
  <c r="N8" i="140"/>
  <c r="L8" i="140"/>
  <c r="K8" i="140"/>
  <c r="R7" i="140"/>
  <c r="S7" i="140" s="1"/>
  <c r="N7" i="140"/>
  <c r="L7" i="140"/>
  <c r="K7" i="140"/>
  <c r="R6" i="140"/>
  <c r="S6" i="140" s="1"/>
  <c r="N6" i="140"/>
  <c r="L6" i="140"/>
  <c r="K6" i="140"/>
  <c r="R5" i="140"/>
  <c r="S5" i="140" s="1"/>
  <c r="N5" i="140"/>
  <c r="L5" i="140"/>
  <c r="K5" i="140"/>
  <c r="R4" i="140"/>
  <c r="N4" i="140"/>
  <c r="L4" i="140"/>
  <c r="K4" i="140"/>
  <c r="R17" i="129"/>
  <c r="S17" i="129" s="1"/>
  <c r="N17" i="129"/>
  <c r="L17" i="129"/>
  <c r="K17" i="129"/>
  <c r="R16" i="129"/>
  <c r="S16" i="129" s="1"/>
  <c r="N16" i="129"/>
  <c r="L16" i="129"/>
  <c r="K16" i="129"/>
  <c r="R15" i="129"/>
  <c r="S15" i="129" s="1"/>
  <c r="N15" i="129"/>
  <c r="L15" i="129"/>
  <c r="K15" i="129"/>
  <c r="R14" i="129"/>
  <c r="S14" i="129" s="1"/>
  <c r="N14" i="129"/>
  <c r="L14" i="129"/>
  <c r="K14" i="129"/>
  <c r="R13" i="129"/>
  <c r="S13" i="129" s="1"/>
  <c r="N13" i="129"/>
  <c r="L13" i="129"/>
  <c r="K13" i="129"/>
  <c r="R12" i="129"/>
  <c r="S12" i="129" s="1"/>
  <c r="N12" i="129"/>
  <c r="L12" i="129"/>
  <c r="K12" i="129"/>
  <c r="R11" i="129"/>
  <c r="S11" i="129" s="1"/>
  <c r="N11" i="129"/>
  <c r="L11" i="129"/>
  <c r="K11" i="129"/>
  <c r="R10" i="129"/>
  <c r="S10" i="129" s="1"/>
  <c r="N10" i="129"/>
  <c r="L10" i="129"/>
  <c r="K10" i="129"/>
  <c r="R9" i="129"/>
  <c r="S9" i="129" s="1"/>
  <c r="N9" i="129"/>
  <c r="L9" i="129"/>
  <c r="K9" i="129"/>
  <c r="R8" i="129"/>
  <c r="S8" i="129" s="1"/>
  <c r="N8" i="129"/>
  <c r="L8" i="129"/>
  <c r="K8" i="129"/>
  <c r="R7" i="129"/>
  <c r="S7" i="129" s="1"/>
  <c r="N7" i="129"/>
  <c r="L7" i="129"/>
  <c r="K7" i="129"/>
  <c r="R6" i="129"/>
  <c r="S6" i="129" s="1"/>
  <c r="N6" i="129"/>
  <c r="L6" i="129"/>
  <c r="K6" i="129"/>
  <c r="R5" i="129"/>
  <c r="S5" i="129" s="1"/>
  <c r="N5" i="129"/>
  <c r="L5" i="129"/>
  <c r="K5" i="129"/>
  <c r="R4" i="129"/>
  <c r="N4" i="129"/>
  <c r="L4" i="129"/>
  <c r="K4" i="129"/>
  <c r="R17" i="143"/>
  <c r="S17" i="143" s="1"/>
  <c r="N17" i="143"/>
  <c r="L17" i="143"/>
  <c r="K17" i="143"/>
  <c r="R16" i="143"/>
  <c r="S16" i="143" s="1"/>
  <c r="N16" i="143"/>
  <c r="L16" i="143"/>
  <c r="K16" i="143"/>
  <c r="R15" i="143"/>
  <c r="S15" i="143" s="1"/>
  <c r="N15" i="143"/>
  <c r="L15" i="143"/>
  <c r="K15" i="143"/>
  <c r="S14" i="143"/>
  <c r="R14" i="143"/>
  <c r="N14" i="143"/>
  <c r="L14" i="143"/>
  <c r="K14" i="143"/>
  <c r="R13" i="143"/>
  <c r="S13" i="143" s="1"/>
  <c r="N13" i="143"/>
  <c r="L13" i="143"/>
  <c r="K13" i="143"/>
  <c r="R12" i="143"/>
  <c r="S12" i="143" s="1"/>
  <c r="N12" i="143"/>
  <c r="L12" i="143"/>
  <c r="K12" i="143"/>
  <c r="R11" i="143"/>
  <c r="S11" i="143" s="1"/>
  <c r="N11" i="143"/>
  <c r="L11" i="143"/>
  <c r="K11" i="143"/>
  <c r="R10" i="143"/>
  <c r="S10" i="143" s="1"/>
  <c r="N10" i="143"/>
  <c r="L10" i="143"/>
  <c r="K10" i="143"/>
  <c r="R9" i="143"/>
  <c r="S9" i="143" s="1"/>
  <c r="N9" i="143"/>
  <c r="L9" i="143"/>
  <c r="K9" i="143"/>
  <c r="R8" i="143"/>
  <c r="S8" i="143" s="1"/>
  <c r="N8" i="143"/>
  <c r="L8" i="143"/>
  <c r="K8" i="143"/>
  <c r="R7" i="143"/>
  <c r="S7" i="143" s="1"/>
  <c r="N7" i="143"/>
  <c r="L7" i="143"/>
  <c r="K7" i="143"/>
  <c r="R6" i="143"/>
  <c r="S6" i="143" s="1"/>
  <c r="N6" i="143"/>
  <c r="L6" i="143"/>
  <c r="K6" i="143"/>
  <c r="R5" i="143"/>
  <c r="S5" i="143" s="1"/>
  <c r="N5" i="143"/>
  <c r="L5" i="143"/>
  <c r="K5" i="143"/>
  <c r="R4" i="143"/>
  <c r="N4" i="143"/>
  <c r="L4" i="143"/>
  <c r="K4" i="143"/>
  <c r="R17" i="121"/>
  <c r="S17" i="121" s="1"/>
  <c r="N17" i="121"/>
  <c r="L17" i="121"/>
  <c r="K17" i="121"/>
  <c r="R16" i="121"/>
  <c r="S16" i="121" s="1"/>
  <c r="N16" i="121"/>
  <c r="L16" i="121"/>
  <c r="K16" i="121"/>
  <c r="R15" i="121"/>
  <c r="S15" i="121" s="1"/>
  <c r="N15" i="121"/>
  <c r="L15" i="121"/>
  <c r="K15" i="121"/>
  <c r="R14" i="121"/>
  <c r="S14" i="121" s="1"/>
  <c r="N14" i="121"/>
  <c r="L14" i="121"/>
  <c r="K14" i="121"/>
  <c r="R13" i="121"/>
  <c r="S13" i="121" s="1"/>
  <c r="N13" i="121"/>
  <c r="L13" i="121"/>
  <c r="K13" i="121"/>
  <c r="R12" i="121"/>
  <c r="S12" i="121" s="1"/>
  <c r="N12" i="121"/>
  <c r="L12" i="121"/>
  <c r="K12" i="121"/>
  <c r="R11" i="121"/>
  <c r="S11" i="121" s="1"/>
  <c r="N11" i="121"/>
  <c r="L11" i="121"/>
  <c r="K11" i="121"/>
  <c r="R10" i="121"/>
  <c r="S10" i="121" s="1"/>
  <c r="N10" i="121"/>
  <c r="L10" i="121"/>
  <c r="K10" i="121"/>
  <c r="R9" i="121"/>
  <c r="S9" i="121" s="1"/>
  <c r="N9" i="121"/>
  <c r="L9" i="121"/>
  <c r="K9" i="121"/>
  <c r="R8" i="121"/>
  <c r="S8" i="121" s="1"/>
  <c r="N8" i="121"/>
  <c r="L8" i="121"/>
  <c r="K8" i="121"/>
  <c r="R7" i="121"/>
  <c r="S7" i="121" s="1"/>
  <c r="N7" i="121"/>
  <c r="L7" i="121"/>
  <c r="K7" i="121"/>
  <c r="R6" i="121"/>
  <c r="S6" i="121" s="1"/>
  <c r="N6" i="121"/>
  <c r="L6" i="121"/>
  <c r="K6" i="121"/>
  <c r="R5" i="121"/>
  <c r="N5" i="121"/>
  <c r="L5" i="121"/>
  <c r="K5" i="121"/>
  <c r="R4" i="121"/>
  <c r="S4" i="121" s="1"/>
  <c r="N4" i="121"/>
  <c r="L4" i="121"/>
  <c r="K4" i="121"/>
  <c r="R17" i="141"/>
  <c r="S17" i="141" s="1"/>
  <c r="N17" i="141"/>
  <c r="L17" i="141"/>
  <c r="K17" i="141"/>
  <c r="R16" i="141"/>
  <c r="S16" i="141" s="1"/>
  <c r="N16" i="141"/>
  <c r="L16" i="141"/>
  <c r="K16" i="141"/>
  <c r="R15" i="141"/>
  <c r="S15" i="141" s="1"/>
  <c r="N15" i="141"/>
  <c r="L15" i="141"/>
  <c r="K15" i="141"/>
  <c r="R14" i="141"/>
  <c r="S14" i="141" s="1"/>
  <c r="N14" i="141"/>
  <c r="L14" i="141"/>
  <c r="K14" i="141"/>
  <c r="R13" i="141"/>
  <c r="S13" i="141" s="1"/>
  <c r="N13" i="141"/>
  <c r="L13" i="141"/>
  <c r="K13" i="141"/>
  <c r="R12" i="141"/>
  <c r="S12" i="141" s="1"/>
  <c r="N12" i="141"/>
  <c r="L12" i="141"/>
  <c r="K12" i="141"/>
  <c r="R11" i="141"/>
  <c r="S11" i="141" s="1"/>
  <c r="N11" i="141"/>
  <c r="L11" i="141"/>
  <c r="K11" i="141"/>
  <c r="R10" i="141"/>
  <c r="S10" i="141" s="1"/>
  <c r="N10" i="141"/>
  <c r="L10" i="141"/>
  <c r="K10" i="141"/>
  <c r="R9" i="141"/>
  <c r="S9" i="141" s="1"/>
  <c r="N9" i="141"/>
  <c r="L9" i="141"/>
  <c r="K9" i="141"/>
  <c r="R8" i="141"/>
  <c r="S8" i="141" s="1"/>
  <c r="N8" i="141"/>
  <c r="L8" i="141"/>
  <c r="K8" i="141"/>
  <c r="R7" i="141"/>
  <c r="S7" i="141" s="1"/>
  <c r="N7" i="141"/>
  <c r="L7" i="141"/>
  <c r="K7" i="141"/>
  <c r="R6" i="141"/>
  <c r="S6" i="141" s="1"/>
  <c r="N6" i="141"/>
  <c r="L6" i="141"/>
  <c r="K6" i="141"/>
  <c r="R5" i="141"/>
  <c r="S5" i="141" s="1"/>
  <c r="N5" i="141"/>
  <c r="L5" i="141"/>
  <c r="K5" i="141"/>
  <c r="R4" i="141"/>
  <c r="N4" i="141"/>
  <c r="L4" i="141"/>
  <c r="K4" i="141"/>
  <c r="R17" i="113"/>
  <c r="S17" i="113" s="1"/>
  <c r="N17" i="113"/>
  <c r="L17" i="113"/>
  <c r="K17" i="113"/>
  <c r="R16" i="113"/>
  <c r="S16" i="113" s="1"/>
  <c r="N16" i="113"/>
  <c r="L16" i="113"/>
  <c r="K16" i="113"/>
  <c r="R15" i="113"/>
  <c r="S15" i="113" s="1"/>
  <c r="N15" i="113"/>
  <c r="L15" i="113"/>
  <c r="K15" i="113"/>
  <c r="R14" i="113"/>
  <c r="S14" i="113" s="1"/>
  <c r="N14" i="113"/>
  <c r="L14" i="113"/>
  <c r="K14" i="113"/>
  <c r="R13" i="113"/>
  <c r="S13" i="113" s="1"/>
  <c r="N13" i="113"/>
  <c r="L13" i="113"/>
  <c r="K13" i="113"/>
  <c r="R12" i="113"/>
  <c r="S12" i="113" s="1"/>
  <c r="N12" i="113"/>
  <c r="L12" i="113"/>
  <c r="K12" i="113"/>
  <c r="R11" i="113"/>
  <c r="S11" i="113" s="1"/>
  <c r="N11" i="113"/>
  <c r="L11" i="113"/>
  <c r="K11" i="113"/>
  <c r="R10" i="113"/>
  <c r="S10" i="113" s="1"/>
  <c r="N10" i="113"/>
  <c r="L10" i="113"/>
  <c r="K10" i="113"/>
  <c r="R9" i="113"/>
  <c r="S9" i="113" s="1"/>
  <c r="N9" i="113"/>
  <c r="L9" i="113"/>
  <c r="K9" i="113"/>
  <c r="R8" i="113"/>
  <c r="S8" i="113" s="1"/>
  <c r="N8" i="113"/>
  <c r="L8" i="113"/>
  <c r="K8" i="113"/>
  <c r="S7" i="113"/>
  <c r="R7" i="113"/>
  <c r="N7" i="113"/>
  <c r="L7" i="113"/>
  <c r="K7" i="113"/>
  <c r="R6" i="113"/>
  <c r="S6" i="113" s="1"/>
  <c r="N6" i="113"/>
  <c r="L6" i="113"/>
  <c r="K6" i="113"/>
  <c r="R5" i="113"/>
  <c r="S5" i="113" s="1"/>
  <c r="N5" i="113"/>
  <c r="L5" i="113"/>
  <c r="K5" i="113"/>
  <c r="R4" i="113"/>
  <c r="N4" i="113"/>
  <c r="L4" i="113"/>
  <c r="K4" i="113"/>
  <c r="R17" i="136"/>
  <c r="S17" i="136" s="1"/>
  <c r="N17" i="136"/>
  <c r="L17" i="136"/>
  <c r="K17" i="136"/>
  <c r="R16" i="136"/>
  <c r="S16" i="136" s="1"/>
  <c r="N16" i="136"/>
  <c r="L16" i="136"/>
  <c r="K16" i="136"/>
  <c r="R15" i="136"/>
  <c r="S15" i="136" s="1"/>
  <c r="N15" i="136"/>
  <c r="L15" i="136"/>
  <c r="K15" i="136"/>
  <c r="R14" i="136"/>
  <c r="S14" i="136" s="1"/>
  <c r="N14" i="136"/>
  <c r="L14" i="136"/>
  <c r="K14" i="136"/>
  <c r="R13" i="136"/>
  <c r="S13" i="136" s="1"/>
  <c r="N13" i="136"/>
  <c r="L13" i="136"/>
  <c r="K13" i="136"/>
  <c r="R12" i="136"/>
  <c r="S12" i="136" s="1"/>
  <c r="N12" i="136"/>
  <c r="L12" i="136"/>
  <c r="K12" i="136"/>
  <c r="R11" i="136"/>
  <c r="S11" i="136" s="1"/>
  <c r="N11" i="136"/>
  <c r="L11" i="136"/>
  <c r="K11" i="136"/>
  <c r="R10" i="136"/>
  <c r="S10" i="136" s="1"/>
  <c r="N10" i="136"/>
  <c r="L10" i="136"/>
  <c r="K10" i="136"/>
  <c r="R9" i="136"/>
  <c r="S9" i="136" s="1"/>
  <c r="N9" i="136"/>
  <c r="L9" i="136"/>
  <c r="K9" i="136"/>
  <c r="R8" i="136"/>
  <c r="S8" i="136" s="1"/>
  <c r="N8" i="136"/>
  <c r="L8" i="136"/>
  <c r="K8" i="136"/>
  <c r="R7" i="136"/>
  <c r="S7" i="136" s="1"/>
  <c r="N7" i="136"/>
  <c r="L7" i="136"/>
  <c r="K7" i="136"/>
  <c r="R6" i="136"/>
  <c r="S6" i="136" s="1"/>
  <c r="N6" i="136"/>
  <c r="L6" i="136"/>
  <c r="K6" i="136"/>
  <c r="R5" i="136"/>
  <c r="S5" i="136" s="1"/>
  <c r="N5" i="136"/>
  <c r="L5" i="136"/>
  <c r="K5" i="136"/>
  <c r="R4" i="136"/>
  <c r="N4" i="136"/>
  <c r="L4" i="136"/>
  <c r="K4" i="136"/>
  <c r="R17" i="137"/>
  <c r="S17" i="137" s="1"/>
  <c r="N17" i="137"/>
  <c r="L17" i="137"/>
  <c r="K17" i="137"/>
  <c r="R16" i="137"/>
  <c r="S16" i="137" s="1"/>
  <c r="N16" i="137"/>
  <c r="L16" i="137"/>
  <c r="K16" i="137"/>
  <c r="R15" i="137"/>
  <c r="S15" i="137" s="1"/>
  <c r="N15" i="137"/>
  <c r="L15" i="137"/>
  <c r="K15" i="137"/>
  <c r="R14" i="137"/>
  <c r="S14" i="137" s="1"/>
  <c r="N14" i="137"/>
  <c r="L14" i="137"/>
  <c r="K14" i="137"/>
  <c r="R13" i="137"/>
  <c r="S13" i="137" s="1"/>
  <c r="N13" i="137"/>
  <c r="L13" i="137"/>
  <c r="K13" i="137"/>
  <c r="R12" i="137"/>
  <c r="S12" i="137" s="1"/>
  <c r="N12" i="137"/>
  <c r="L12" i="137"/>
  <c r="K12" i="137"/>
  <c r="R11" i="137"/>
  <c r="S11" i="137" s="1"/>
  <c r="N11" i="137"/>
  <c r="L11" i="137"/>
  <c r="K11" i="137"/>
  <c r="R10" i="137"/>
  <c r="S10" i="137" s="1"/>
  <c r="N10" i="137"/>
  <c r="L10" i="137"/>
  <c r="K10" i="137"/>
  <c r="R9" i="137"/>
  <c r="S9" i="137" s="1"/>
  <c r="N9" i="137"/>
  <c r="L9" i="137"/>
  <c r="K9" i="137"/>
  <c r="R8" i="137"/>
  <c r="S8" i="137" s="1"/>
  <c r="N8" i="137"/>
  <c r="L8" i="137"/>
  <c r="K8" i="137"/>
  <c r="R7" i="137"/>
  <c r="S7" i="137" s="1"/>
  <c r="N7" i="137"/>
  <c r="L7" i="137"/>
  <c r="K7" i="137"/>
  <c r="R6" i="137"/>
  <c r="S6" i="137" s="1"/>
  <c r="N6" i="137"/>
  <c r="L6" i="137"/>
  <c r="K6" i="137"/>
  <c r="R5" i="137"/>
  <c r="S5" i="137" s="1"/>
  <c r="N5" i="137"/>
  <c r="L5" i="137"/>
  <c r="K5" i="137"/>
  <c r="R4" i="137"/>
  <c r="N4" i="137"/>
  <c r="L4" i="137"/>
  <c r="K4" i="137"/>
  <c r="R17" i="135"/>
  <c r="S17" i="135" s="1"/>
  <c r="N17" i="135"/>
  <c r="L17" i="135"/>
  <c r="K17" i="135"/>
  <c r="R16" i="135"/>
  <c r="S16" i="135" s="1"/>
  <c r="N16" i="135"/>
  <c r="L16" i="135"/>
  <c r="K16" i="135"/>
  <c r="R15" i="135"/>
  <c r="S15" i="135" s="1"/>
  <c r="N15" i="135"/>
  <c r="L15" i="135"/>
  <c r="K15" i="135"/>
  <c r="R14" i="135"/>
  <c r="S14" i="135" s="1"/>
  <c r="N14" i="135"/>
  <c r="L14" i="135"/>
  <c r="K14" i="135"/>
  <c r="R13" i="135"/>
  <c r="S13" i="135" s="1"/>
  <c r="N13" i="135"/>
  <c r="L13" i="135"/>
  <c r="K13" i="135"/>
  <c r="R12" i="135"/>
  <c r="S12" i="135" s="1"/>
  <c r="N12" i="135"/>
  <c r="L12" i="135"/>
  <c r="K12" i="135"/>
  <c r="R11" i="135"/>
  <c r="S11" i="135" s="1"/>
  <c r="N11" i="135"/>
  <c r="L11" i="135"/>
  <c r="K11" i="135"/>
  <c r="R10" i="135"/>
  <c r="S10" i="135" s="1"/>
  <c r="N10" i="135"/>
  <c r="L10" i="135"/>
  <c r="K10" i="135"/>
  <c r="R9" i="135"/>
  <c r="S9" i="135" s="1"/>
  <c r="N9" i="135"/>
  <c r="L9" i="135"/>
  <c r="K9" i="135"/>
  <c r="R8" i="135"/>
  <c r="S8" i="135" s="1"/>
  <c r="N8" i="135"/>
  <c r="L8" i="135"/>
  <c r="K8" i="135"/>
  <c r="R7" i="135"/>
  <c r="S7" i="135" s="1"/>
  <c r="N7" i="135"/>
  <c r="L7" i="135"/>
  <c r="K7" i="135"/>
  <c r="R6" i="135"/>
  <c r="S6" i="135" s="1"/>
  <c r="N6" i="135"/>
  <c r="L6" i="135"/>
  <c r="K6" i="135"/>
  <c r="R5" i="135"/>
  <c r="S5" i="135" s="1"/>
  <c r="N5" i="135"/>
  <c r="L5" i="135"/>
  <c r="K5" i="135"/>
  <c r="R4" i="135"/>
  <c r="N4" i="135"/>
  <c r="L4" i="135"/>
  <c r="K4" i="135"/>
  <c r="R17" i="139"/>
  <c r="S17" i="139" s="1"/>
  <c r="N17" i="139"/>
  <c r="L17" i="139"/>
  <c r="K17" i="139"/>
  <c r="R16" i="139"/>
  <c r="S16" i="139" s="1"/>
  <c r="N16" i="139"/>
  <c r="L16" i="139"/>
  <c r="K16" i="139"/>
  <c r="R15" i="139"/>
  <c r="S15" i="139" s="1"/>
  <c r="N15" i="139"/>
  <c r="L15" i="139"/>
  <c r="K15" i="139"/>
  <c r="R14" i="139"/>
  <c r="S14" i="139" s="1"/>
  <c r="N14" i="139"/>
  <c r="L14" i="139"/>
  <c r="K14" i="139"/>
  <c r="R13" i="139"/>
  <c r="S13" i="139" s="1"/>
  <c r="N13" i="139"/>
  <c r="L13" i="139"/>
  <c r="K13" i="139"/>
  <c r="R12" i="139"/>
  <c r="S12" i="139" s="1"/>
  <c r="N12" i="139"/>
  <c r="L12" i="139"/>
  <c r="K12" i="139"/>
  <c r="R11" i="139"/>
  <c r="S11" i="139" s="1"/>
  <c r="N11" i="139"/>
  <c r="L11" i="139"/>
  <c r="K11" i="139"/>
  <c r="R10" i="139"/>
  <c r="S10" i="139" s="1"/>
  <c r="N10" i="139"/>
  <c r="L10" i="139"/>
  <c r="K10" i="139"/>
  <c r="R9" i="139"/>
  <c r="S9" i="139" s="1"/>
  <c r="N9" i="139"/>
  <c r="L9" i="139"/>
  <c r="K9" i="139"/>
  <c r="R8" i="139"/>
  <c r="S8" i="139" s="1"/>
  <c r="N8" i="139"/>
  <c r="L8" i="139"/>
  <c r="K8" i="139"/>
  <c r="R7" i="139"/>
  <c r="S7" i="139" s="1"/>
  <c r="N7" i="139"/>
  <c r="L7" i="139"/>
  <c r="K7" i="139"/>
  <c r="R6" i="139"/>
  <c r="S6" i="139" s="1"/>
  <c r="N6" i="139"/>
  <c r="L6" i="139"/>
  <c r="K6" i="139"/>
  <c r="R5" i="139"/>
  <c r="S5" i="139" s="1"/>
  <c r="N5" i="139"/>
  <c r="L5" i="139"/>
  <c r="K5" i="139"/>
  <c r="R4" i="139"/>
  <c r="N4" i="139"/>
  <c r="L4" i="139"/>
  <c r="K4" i="139"/>
  <c r="R5" i="142"/>
  <c r="R6" i="142"/>
  <c r="R7" i="142"/>
  <c r="R8" i="142"/>
  <c r="R9" i="142"/>
  <c r="R10" i="142"/>
  <c r="R11" i="142"/>
  <c r="R12" i="142"/>
  <c r="R13" i="142"/>
  <c r="R14" i="142"/>
  <c r="R15" i="142"/>
  <c r="R16" i="142"/>
  <c r="R17" i="142"/>
  <c r="R4" i="142"/>
  <c r="O5" i="142"/>
  <c r="O6" i="142"/>
  <c r="O7" i="142"/>
  <c r="O8" i="142"/>
  <c r="O9" i="142"/>
  <c r="O10" i="142"/>
  <c r="O11" i="142"/>
  <c r="O12" i="142"/>
  <c r="O13" i="142"/>
  <c r="O14" i="142"/>
  <c r="O15" i="142"/>
  <c r="O16" i="142"/>
  <c r="O17" i="142"/>
  <c r="O4" i="142"/>
  <c r="L5" i="142"/>
  <c r="L6" i="142"/>
  <c r="L7" i="142"/>
  <c r="L8" i="142"/>
  <c r="L9" i="142"/>
  <c r="L10" i="142"/>
  <c r="L11" i="142"/>
  <c r="L12" i="142"/>
  <c r="L13" i="142"/>
  <c r="L14" i="142"/>
  <c r="L15" i="142"/>
  <c r="L16" i="142"/>
  <c r="L17" i="142"/>
  <c r="L4" i="142"/>
  <c r="I5" i="142"/>
  <c r="I6" i="142"/>
  <c r="I7" i="142"/>
  <c r="I8" i="142"/>
  <c r="I9" i="142"/>
  <c r="I10" i="142"/>
  <c r="I11" i="142"/>
  <c r="I12" i="142"/>
  <c r="I13" i="142"/>
  <c r="I14" i="142"/>
  <c r="I15" i="142"/>
  <c r="I16" i="142"/>
  <c r="I17" i="142"/>
  <c r="I4" i="142"/>
  <c r="R18" i="137" l="1"/>
  <c r="S18" i="137" s="1"/>
  <c r="S4" i="129"/>
  <c r="R18" i="129"/>
  <c r="S18" i="129" s="1"/>
  <c r="S4" i="140"/>
  <c r="R18" i="140"/>
  <c r="S18" i="140" s="1"/>
  <c r="S4" i="135"/>
  <c r="R18" i="135"/>
  <c r="S18" i="135" s="1"/>
  <c r="R9" i="145"/>
  <c r="S9" i="145" s="1"/>
  <c r="S5" i="121"/>
  <c r="R18" i="121"/>
  <c r="S18" i="121" s="1"/>
  <c r="S4" i="113"/>
  <c r="S18" i="113"/>
  <c r="S4" i="134"/>
  <c r="S18" i="134"/>
  <c r="S4" i="141"/>
  <c r="R18" i="141"/>
  <c r="S18" i="141" s="1"/>
  <c r="S4" i="137"/>
  <c r="S4" i="136"/>
  <c r="R18" i="136"/>
  <c r="S18" i="136" s="1"/>
  <c r="S4" i="138"/>
  <c r="S18" i="138"/>
  <c r="S4" i="143"/>
  <c r="R18" i="143"/>
  <c r="S18" i="143" s="1"/>
  <c r="S4" i="139"/>
  <c r="R18" i="139"/>
  <c r="L9" i="145"/>
  <c r="R4" i="145"/>
  <c r="J1" i="128"/>
  <c r="H22" i="128" s="1"/>
  <c r="G17" i="142"/>
  <c r="G16" i="142"/>
  <c r="G15" i="142"/>
  <c r="G14" i="142"/>
  <c r="G13" i="142"/>
  <c r="G12" i="142"/>
  <c r="G11" i="142"/>
  <c r="G10" i="142"/>
  <c r="G9" i="142"/>
  <c r="G8" i="142"/>
  <c r="G7" i="142"/>
  <c r="G6" i="142"/>
  <c r="G5" i="142"/>
  <c r="G4" i="142"/>
  <c r="S4" i="145" l="1"/>
  <c r="Y4" i="142"/>
  <c r="T4" i="142"/>
  <c r="Y16" i="142"/>
  <c r="T16" i="142"/>
  <c r="Y5" i="142"/>
  <c r="T5" i="142"/>
  <c r="Y11" i="142"/>
  <c r="T11" i="142"/>
  <c r="Y17" i="142"/>
  <c r="T17" i="142"/>
  <c r="Y6" i="142"/>
  <c r="T6" i="142"/>
  <c r="Y12" i="142"/>
  <c r="T12" i="142"/>
  <c r="T9" i="142"/>
  <c r="Y9" i="142"/>
  <c r="T7" i="142"/>
  <c r="Y7" i="142"/>
  <c r="T15" i="142"/>
  <c r="Y15" i="142"/>
  <c r="T10" i="142"/>
  <c r="Y10" i="142"/>
  <c r="T13" i="142"/>
  <c r="Y13" i="142"/>
  <c r="T8" i="142"/>
  <c r="Y8" i="142"/>
  <c r="T14" i="142"/>
  <c r="Y14" i="142"/>
  <c r="M5" i="128"/>
  <c r="U5" i="142" s="1"/>
  <c r="M6" i="128"/>
  <c r="U6" i="142" s="1"/>
  <c r="M7" i="128"/>
  <c r="U7" i="142" s="1"/>
  <c r="M8" i="128"/>
  <c r="U8" i="142" s="1"/>
  <c r="M9" i="128"/>
  <c r="U9" i="142" s="1"/>
  <c r="M10" i="128"/>
  <c r="U10" i="142" s="1"/>
  <c r="M11" i="128"/>
  <c r="U11" i="142" s="1"/>
  <c r="M12" i="128"/>
  <c r="U12" i="142" s="1"/>
  <c r="M13" i="128"/>
  <c r="U13" i="142" s="1"/>
  <c r="M14" i="128"/>
  <c r="U14" i="142" s="1"/>
  <c r="M15" i="128"/>
  <c r="U15" i="142" s="1"/>
  <c r="M16" i="128"/>
  <c r="U16" i="142" s="1"/>
  <c r="M17" i="128"/>
  <c r="U17" i="142" s="1"/>
  <c r="M4" i="128"/>
  <c r="U4" i="142" s="1"/>
  <c r="I5" i="128"/>
  <c r="I6" i="128"/>
  <c r="I7" i="128"/>
  <c r="I8" i="128"/>
  <c r="I9" i="128"/>
  <c r="I10" i="128"/>
  <c r="I11" i="128"/>
  <c r="I12" i="128"/>
  <c r="I13" i="128"/>
  <c r="I14" i="128"/>
  <c r="I15" i="128"/>
  <c r="I16" i="128"/>
  <c r="I17" i="128"/>
  <c r="I4" i="128"/>
  <c r="C1" i="128"/>
  <c r="H21" i="128" s="1"/>
  <c r="A1" i="128"/>
  <c r="H20" i="128" s="1"/>
  <c r="J18" i="138"/>
  <c r="J18" i="134"/>
  <c r="J18" i="129"/>
  <c r="J18" i="143"/>
  <c r="J18" i="121"/>
  <c r="J18" i="141"/>
  <c r="J18" i="113"/>
  <c r="J18" i="136"/>
  <c r="J18" i="137"/>
  <c r="J18" i="135"/>
  <c r="P18" i="128" l="1"/>
  <c r="I18" i="128"/>
  <c r="Y18" i="142"/>
  <c r="L4" i="128"/>
  <c r="L5" i="128"/>
  <c r="K5" i="128"/>
  <c r="K6" i="128"/>
  <c r="K7" i="128"/>
  <c r="K8" i="128"/>
  <c r="K9" i="128"/>
  <c r="K10" i="128"/>
  <c r="K11" i="128"/>
  <c r="K12" i="128"/>
  <c r="K13" i="128"/>
  <c r="K14" i="128"/>
  <c r="K15" i="128"/>
  <c r="K16" i="128"/>
  <c r="K17" i="128"/>
  <c r="J5" i="128"/>
  <c r="J6" i="128"/>
  <c r="J7" i="128"/>
  <c r="J8" i="128"/>
  <c r="J9" i="128"/>
  <c r="J10" i="128"/>
  <c r="J11" i="128"/>
  <c r="J12" i="128"/>
  <c r="J13" i="128"/>
  <c r="J14" i="128"/>
  <c r="J15" i="128"/>
  <c r="J16" i="128"/>
  <c r="J17" i="128"/>
  <c r="J4" i="128"/>
  <c r="K4" i="128"/>
  <c r="J18" i="139" l="1"/>
  <c r="V4" i="142" l="1"/>
  <c r="V5" i="142" l="1"/>
  <c r="V6" i="142"/>
  <c r="V7" i="142"/>
  <c r="V8" i="142"/>
  <c r="V9" i="142"/>
  <c r="V10" i="142"/>
  <c r="V11" i="142"/>
  <c r="V12" i="142"/>
  <c r="V13" i="142"/>
  <c r="V14" i="142"/>
  <c r="V15" i="142"/>
  <c r="V16" i="142"/>
  <c r="V17" i="142"/>
  <c r="Q5" i="128" l="1"/>
  <c r="Q6" i="128"/>
  <c r="Q7" i="128"/>
  <c r="Q8" i="128"/>
  <c r="Q9" i="128"/>
  <c r="Q10" i="128"/>
  <c r="Q11" i="128"/>
  <c r="Q12" i="128"/>
  <c r="Q13" i="128"/>
  <c r="Q14" i="128"/>
  <c r="Q15" i="128"/>
  <c r="Q16" i="128"/>
  <c r="Q17" i="128"/>
  <c r="Q4" i="128"/>
  <c r="Q18" i="128" l="1"/>
  <c r="P4" i="128" l="1"/>
  <c r="W4" i="142" l="1"/>
  <c r="L12" i="128"/>
  <c r="P12" i="128"/>
  <c r="L9" i="128"/>
  <c r="P9" i="128"/>
  <c r="L6" i="128"/>
  <c r="P6" i="128"/>
  <c r="P11" i="128"/>
  <c r="L11" i="128"/>
  <c r="P15" i="128"/>
  <c r="L15" i="128"/>
  <c r="L16" i="128"/>
  <c r="P16" i="128"/>
  <c r="P8" i="128"/>
  <c r="L8" i="128"/>
  <c r="L13" i="128"/>
  <c r="P13" i="128"/>
  <c r="L7" i="128"/>
  <c r="P7" i="128"/>
  <c r="P5" i="128"/>
  <c r="P17" i="128"/>
  <c r="L17" i="128"/>
  <c r="L14" i="128"/>
  <c r="P14" i="128"/>
  <c r="L10" i="128"/>
  <c r="P10" i="128"/>
  <c r="W6" i="142" l="1"/>
  <c r="W13" i="142"/>
  <c r="W12" i="142"/>
  <c r="W16" i="142"/>
  <c r="W17" i="142"/>
  <c r="W14" i="142"/>
  <c r="W8" i="142"/>
  <c r="W5" i="142"/>
  <c r="W11" i="142"/>
  <c r="W9" i="142"/>
  <c r="W10" i="142"/>
  <c r="W7" i="142"/>
  <c r="W15" i="142"/>
  <c r="N6" i="128" l="1"/>
  <c r="R8" i="128" l="1"/>
  <c r="R6" i="128"/>
  <c r="R4" i="128"/>
  <c r="N4" i="128"/>
  <c r="N7" i="128"/>
  <c r="R7" i="128"/>
  <c r="N17" i="128"/>
  <c r="R17" i="128"/>
  <c r="R9" i="128"/>
  <c r="N9" i="128"/>
  <c r="N5" i="128"/>
  <c r="R5" i="128"/>
  <c r="R10" i="128"/>
  <c r="N10" i="128"/>
  <c r="N12" i="128"/>
  <c r="N8" i="128"/>
  <c r="R12" i="128"/>
  <c r="N16" i="128" l="1"/>
  <c r="R16" i="128"/>
  <c r="R15" i="128"/>
  <c r="N15" i="128"/>
  <c r="R13" i="128"/>
  <c r="N13" i="128"/>
  <c r="R11" i="128"/>
  <c r="N11" i="128"/>
  <c r="N14" i="128"/>
  <c r="R14" i="128"/>
  <c r="R18" i="128" l="1"/>
  <c r="S9" i="142" l="1"/>
  <c r="Q9" i="142"/>
  <c r="P8" i="142"/>
  <c r="N8" i="142"/>
  <c r="P11" i="142"/>
  <c r="N11" i="142"/>
  <c r="M7" i="142"/>
  <c r="K7" i="142"/>
  <c r="J7" i="142"/>
  <c r="S17" i="142"/>
  <c r="Q17" i="142"/>
  <c r="M4" i="142"/>
  <c r="K4" i="142"/>
  <c r="S14" i="142"/>
  <c r="Q14" i="142"/>
  <c r="P16" i="142"/>
  <c r="N16" i="142"/>
  <c r="P10" i="142"/>
  <c r="N10" i="142"/>
  <c r="M8" i="142"/>
  <c r="K8" i="142"/>
  <c r="Q7" i="142"/>
  <c r="S7" i="142"/>
  <c r="M17" i="142"/>
  <c r="K17" i="142"/>
  <c r="H7" i="142"/>
  <c r="N7" i="142"/>
  <c r="P7" i="142"/>
  <c r="M13" i="142"/>
  <c r="K13" i="142"/>
  <c r="S13" i="142"/>
  <c r="Q13" i="142"/>
  <c r="M16" i="142"/>
  <c r="K16" i="142"/>
  <c r="S5" i="142"/>
  <c r="Q5" i="142"/>
  <c r="P9" i="142"/>
  <c r="N9" i="142"/>
  <c r="P15" i="142"/>
  <c r="N15" i="142"/>
  <c r="S8" i="142"/>
  <c r="Q8" i="142"/>
  <c r="M9" i="142"/>
  <c r="K9" i="142"/>
  <c r="M12" i="142"/>
  <c r="K12" i="142"/>
  <c r="M10" i="142"/>
  <c r="K10" i="142"/>
  <c r="S6" i="142"/>
  <c r="Q6" i="142"/>
  <c r="M11" i="142"/>
  <c r="K11" i="142"/>
  <c r="P5" i="142"/>
  <c r="N5" i="142"/>
  <c r="S16" i="142"/>
  <c r="Q16" i="142"/>
  <c r="P12" i="142"/>
  <c r="N12" i="142"/>
  <c r="P14" i="142"/>
  <c r="N14" i="142"/>
  <c r="J5" i="142"/>
  <c r="M6" i="142"/>
  <c r="K6" i="142"/>
  <c r="M15" i="142"/>
  <c r="K15" i="142"/>
  <c r="H16" i="142"/>
  <c r="J16" i="142"/>
  <c r="P4" i="142"/>
  <c r="N4" i="142"/>
  <c r="S4" i="142"/>
  <c r="Q4" i="142"/>
  <c r="S15" i="142"/>
  <c r="Q15" i="142"/>
  <c r="J10" i="142"/>
  <c r="J17" i="142"/>
  <c r="J13" i="142"/>
  <c r="J14" i="142"/>
  <c r="S11" i="142"/>
  <c r="Q11" i="142"/>
  <c r="H15" i="142"/>
  <c r="J15" i="142"/>
  <c r="H5" i="142"/>
  <c r="K5" i="142"/>
  <c r="M5" i="142"/>
  <c r="H14" i="142"/>
  <c r="K14" i="142"/>
  <c r="M14" i="142"/>
  <c r="J6" i="142"/>
  <c r="J12" i="142"/>
  <c r="H4" i="142"/>
  <c r="J4" i="142"/>
  <c r="H11" i="142"/>
  <c r="J11" i="142"/>
  <c r="H6" i="142"/>
  <c r="N6" i="142"/>
  <c r="P6" i="142"/>
  <c r="H8" i="142"/>
  <c r="J8" i="142"/>
  <c r="H13" i="142"/>
  <c r="N13" i="142"/>
  <c r="P13" i="142"/>
  <c r="H9" i="142"/>
  <c r="J9" i="142"/>
  <c r="H10" i="142"/>
  <c r="Q10" i="142"/>
  <c r="S10" i="142"/>
  <c r="H12" i="142"/>
  <c r="Q12" i="142"/>
  <c r="S12" i="142"/>
  <c r="H17" i="142"/>
  <c r="N17" i="142"/>
  <c r="P17" i="14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  <author>LETICIA KOSLOWSKY MEES MATTOS</author>
  </authors>
  <commentList>
    <comment ref="J2" authorId="0" shapeId="0" xr:uid="{CFF78F55-30F2-4669-A989-054C03B32426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M4" authorId="1" shapeId="0" xr:uid="{E72B8EB2-F431-41D8-A983-6D3BA283FB12}">
      <text>
        <r>
          <rPr>
            <b/>
            <sz val="9"/>
            <color indexed="81"/>
            <rFont val="Segoe UI"/>
            <family val="2"/>
          </rPr>
          <t>LETICIA KOSLOWSKY MEES MATTOS:</t>
        </r>
        <r>
          <rPr>
            <sz val="9"/>
            <color indexed="81"/>
            <rFont val="Segoe UI"/>
            <family val="2"/>
          </rPr>
          <t xml:space="preserve">
26/01/2026: CEDIDO AO CEART: 100.
11/02/2026: CEDIDO À FAED: 150.</t>
        </r>
      </text>
    </comment>
    <comment ref="M5" authorId="0" shapeId="0" xr:uid="{2A4A0CEA-55D6-4EEC-B8B9-AD1E64C7D766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05/09/2025: CEDIDO AO CEO: 40.</t>
        </r>
      </text>
    </comment>
    <comment ref="C9" authorId="0" shapeId="0" xr:uid="{696286D7-25B9-4B16-B74D-A75A7AB0258E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M9" authorId="0" shapeId="0" xr:uid="{88AF1AB2-0198-45C8-B4C2-233012A6AA7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25/09/2025: CEDIDO AO CEO: 160.</t>
        </r>
      </text>
    </comment>
    <comment ref="U9" authorId="0" shapeId="0" xr:uid="{02582247-30F9-4397-9062-ABD3AE0522F4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25/09/2025: CANCELAMENTO DA 1º EMPRESA COLOCADA.</t>
        </r>
      </text>
    </comment>
    <comment ref="C10" authorId="0" shapeId="0" xr:uid="{839A5805-03BC-44F9-875B-A395E9C54F59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97465B98-A0AF-4AD7-91AA-F36BABF2B25D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9D9E6CE2-33A7-43BC-AAA1-AD525FA660F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C9" authorId="0" shapeId="0" xr:uid="{5FF6DFF6-5F06-4885-B666-DE7B3D42696D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96DC4369-F826-4B99-9196-1B8E1790077F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E3E06D37-F5EB-480D-B96C-23749DF47E70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6250B8E7-1847-4C75-A786-7CB9F20E59D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C9" authorId="0" shapeId="0" xr:uid="{D8049C4D-0A19-4114-9F05-6AD7CA9FFC6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83405FA7-DFCE-4C8D-A0C9-04F8E0FCADFD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ECCDA33A-A9E6-4849-BB05-640FCE6093D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3018FC92-EC43-4DFF-A2BF-42D4BBD1811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M4" authorId="0" shapeId="0" xr:uid="{B8F8FFBB-0543-4CE7-AB99-B1DD6F07FB37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11/02/2026: RECEBIDO DA REITORIA: 150.
</t>
        </r>
      </text>
    </comment>
    <comment ref="C9" authorId="0" shapeId="0" xr:uid="{0887D29F-605F-4754-BF0E-D00BF619F37E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FE1FD9A6-87F7-4F15-ACE6-9CDE348F0DB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27552CCE-8A94-468A-B391-F20153AE4F8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E23071C2-3624-41EF-92F0-EC2010F4ABCD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M5" authorId="0" shapeId="0" xr:uid="{16881077-A638-49DB-AEF9-9BF8EAFCA117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05/09/2025: RECEBIDO DA REITORIA: 40.</t>
        </r>
      </text>
    </comment>
    <comment ref="C9" authorId="0" shapeId="0" xr:uid="{F6352AD9-4A37-4F6F-9BDD-EE98E07AC842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M9" authorId="0" shapeId="0" xr:uid="{4CFF6D94-2324-45B5-80E9-EE12CF73EEB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25/09/2025: RECEBIDO DA REITORIA: 160.</t>
        </r>
      </text>
    </comment>
    <comment ref="C10" authorId="0" shapeId="0" xr:uid="{6FA67E02-17CF-4150-9846-5716B4121E07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697B88B3-1813-4092-A8BD-DA0EDAEE2918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C9" authorId="0" shapeId="0" xr:uid="{90F304FB-90F2-4012-93A1-F9933809DB1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7FE4EDF8-3F96-4F7F-8891-2D779C7348F9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B773C4DD-05C8-4F5F-B43E-A164D5CC609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C9" authorId="0" shapeId="0" xr:uid="{247ED399-1BF6-4CBC-8300-B83CDE2FF70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F5BEF917-228C-4B6C-AA28-C5B67E1F9CF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3EC0B2E3-BB9C-47C3-9492-475BD1BCBD1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8E530BE6-E1FD-4B11-B373-67A447A685E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M5" authorId="0" shapeId="0" xr:uid="{C4EFEA71-3CE2-4A30-B3C5-5CA81B52740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13/04/2026: RECEBIDO DA ESAG: 40.</t>
        </r>
      </text>
    </comment>
    <comment ref="C9" authorId="0" shapeId="0" xr:uid="{31B0E224-DA2D-42C6-B0AC-17B536FDBBFE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(25/09/2025: </t>
        </r>
        <r>
          <rPr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 </t>
        </r>
        <r>
          <rPr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>, E.M. DOS RES-ME - CNPJ 42.748.381/0001-31)</t>
        </r>
      </text>
    </comment>
    <comment ref="C10" authorId="0" shapeId="0" xr:uid="{414A7B55-4BAA-4CE4-B421-19A151BAA406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(25/09/2025: </t>
        </r>
        <r>
          <rPr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 </t>
        </r>
        <r>
          <rPr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>, E.M. DOS RES-ME - CNPJ 42.748.381/0001-31)</t>
        </r>
      </text>
    </comment>
    <comment ref="C11" authorId="0" shapeId="0" xr:uid="{A2127333-6189-45AF-8220-9ECAC407C25F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(25/09/2025: </t>
        </r>
        <r>
          <rPr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 </t>
        </r>
        <r>
          <rPr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>, E.M. DOS RES-ME - CNPJ 42.748.381/0001-31)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181FA8F1-56A5-40F9-9E79-502385B862F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C9" authorId="0" shapeId="0" xr:uid="{99BD11BC-527F-473A-AC94-1786BCAC993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(25/09/2025: </t>
        </r>
        <r>
          <rPr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 </t>
        </r>
        <r>
          <rPr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>, E.M. DOS RES-ME - CNPJ 42.748.381/0001-31)</t>
        </r>
      </text>
    </comment>
    <comment ref="C10" authorId="0" shapeId="0" xr:uid="{5329F9A4-5BFF-422A-B89D-984FAC25C53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(25/09/2025: </t>
        </r>
        <r>
          <rPr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 </t>
        </r>
        <r>
          <rPr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>, E.M. DOS RES-ME - CNPJ 42.748.381/0001-31)</t>
        </r>
      </text>
    </comment>
    <comment ref="C11" authorId="0" shapeId="0" xr:uid="{CC131412-5AA4-4F79-9B9D-81419E5E5C25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(25/09/2025: </t>
        </r>
        <r>
          <rPr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 </t>
        </r>
        <r>
          <rPr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>, E.M. DOS RES-ME - CNPJ 42.748.381/0001-31)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32E2145C-92CA-43EE-B3F6-49BE555139B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C9" authorId="0" shapeId="0" xr:uid="{82C0ACC3-BBE0-4370-A738-CCA7D96CE76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BD134945-8EBC-4A6D-9933-732B14FE9E00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5848F13C-4021-480D-96A2-AC8E11112A4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00324F0B-20E8-47D7-B8E7-FBC3F67D34F0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C9" authorId="0" shapeId="0" xr:uid="{5CC1F6E4-1A17-4F4B-9147-9B65F6BAD1F7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ED373ADB-FF87-4F64-AB0A-E7EFE884F0BE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4CF0A7CA-C640-44E1-84C9-0257923115BF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  <author>LETICIA KOSLOWSKY MEES MATTOS</author>
  </authors>
  <commentList>
    <comment ref="J2" authorId="0" shapeId="0" xr:uid="{BFB86E19-8ACE-4390-9EE7-5BE9EF38D3A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M4" authorId="1" shapeId="0" xr:uid="{A5335096-E50F-424C-A949-6E3C782151D8}">
      <text>
        <r>
          <rPr>
            <b/>
            <sz val="9"/>
            <color indexed="81"/>
            <rFont val="Segoe UI"/>
            <family val="2"/>
          </rPr>
          <t>LETICIA KOSLOWSKY MEES MATTOS:</t>
        </r>
        <r>
          <rPr>
            <sz val="9"/>
            <color indexed="81"/>
            <rFont val="Segoe UI"/>
            <family val="2"/>
          </rPr>
          <t xml:space="preserve">
26/01/2026: RECEBIDO DA REITORIA: 100.</t>
        </r>
      </text>
    </comment>
    <comment ref="C9" authorId="0" shapeId="0" xr:uid="{31EAD3EC-7160-45A7-9E32-3A372FA24634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CD3488AA-0770-4400-AA5E-D6726EF92C86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C5C932F0-0B90-4CCB-A090-9A333D8B30C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3EBF60FB-9F1D-4694-A209-8BEA00A47C5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M5" authorId="0" shapeId="0" xr:uid="{820F7643-CF55-4F12-9111-6A847AF19E5C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11/03/2026: CEDIDO AO CEAD: 25.
13/04/2026: CEDIDO AO CESFI: 40.</t>
        </r>
      </text>
    </comment>
    <comment ref="C9" authorId="0" shapeId="0" xr:uid="{7A6BEB6D-B5DF-4AAF-A89C-8E1D6852F1D0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C1C164D6-03CB-42F9-BE77-AB776946884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9E83D4DA-C524-445B-A21D-935EF7AE8E22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D2E41476-5DE4-4884-96F9-9911F2C2D7D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M5" authorId="0" shapeId="0" xr:uid="{FF5ABFAF-F63E-4BF3-9478-D740FF44994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11/03/2026: RECEBIDO DA ESAG: 25.</t>
        </r>
      </text>
    </comment>
    <comment ref="C9" authorId="0" shapeId="0" xr:uid="{505ECF6F-BDF5-4533-940E-5E0E8F00090D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U9" authorId="0" shapeId="0" xr:uid="{6774B524-0DB1-4A3F-B656-B2A7793E0A3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ESTORNADO - AF CANCELADA café recolhido não passou controle qualidade. Inicialmente era da empresa E. M. dos REIS. Passou para 2ª colodada MPS.</t>
        </r>
      </text>
    </comment>
    <comment ref="C10" authorId="0" shapeId="0" xr:uid="{35463C0E-DAAE-4D8D-9CAB-4410E390DCE4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A3CAE80C-2F2D-4CA3-9311-8EA3E594587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2" authorId="0" shapeId="0" xr:uid="{40EE4B31-2E9E-4D89-9459-B895BA600956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6.2.2. do Termo de Referência - Anexo I do Edital.</t>
        </r>
      </text>
    </comment>
    <comment ref="C9" authorId="0" shapeId="0" xr:uid="{0C8DB545-3EE0-497C-B53B-8012210758E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0" authorId="0" shapeId="0" xr:uid="{A5FA325B-D36E-4FED-A7EB-0F01A0862AAD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  <comment ref="C11" authorId="0" shapeId="0" xr:uid="{148195A7-A000-4F8D-98FC-E45FF8DF314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25/09/2025:</t>
        </r>
        <r>
          <rPr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CANCELAMENTO</t>
        </r>
        <r>
          <rPr>
            <sz val="10"/>
            <color indexed="81"/>
            <rFont val="Segoe UI"/>
            <family val="2"/>
          </rPr>
          <t xml:space="preserve"> DA</t>
        </r>
        <r>
          <rPr>
            <b/>
            <sz val="10"/>
            <color indexed="81"/>
            <rFont val="Segoe UI"/>
            <family val="2"/>
          </rPr>
          <t xml:space="preserve"> </t>
        </r>
        <r>
          <rPr>
            <b/>
            <u/>
            <sz val="10"/>
            <color indexed="81"/>
            <rFont val="Segoe UI"/>
            <family val="2"/>
          </rPr>
          <t>1ª COLOCADA</t>
        </r>
        <r>
          <rPr>
            <sz val="10"/>
            <color indexed="81"/>
            <rFont val="Segoe UI"/>
            <family val="2"/>
          </rPr>
          <t xml:space="preserve">, E.M. DOS RES-ME - CNPJ 42.748.381/0001-31) - SENDO A </t>
        </r>
        <r>
          <rPr>
            <b/>
            <sz val="10"/>
            <color indexed="81"/>
            <rFont val="Segoe UI"/>
            <family val="2"/>
          </rPr>
          <t>2º COLOCADA HOMOLOGADA</t>
        </r>
        <r>
          <rPr>
            <sz val="10"/>
            <color indexed="81"/>
            <rFont val="Segoe UI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<sst xmlns="http://schemas.openxmlformats.org/spreadsheetml/2006/main" count="1916" uniqueCount="249">
  <si>
    <t>Saldo / Automático</t>
  </si>
  <si>
    <t>ALERTA</t>
  </si>
  <si>
    <t>SALDO</t>
  </si>
  <si>
    <t>Qtde Registrada</t>
  </si>
  <si>
    <t>Valor Total Utilizado</t>
  </si>
  <si>
    <t>Empresa</t>
  </si>
  <si>
    <t>Detalhamento</t>
  </si>
  <si>
    <t xml:space="preserve">Valor Unitário </t>
  </si>
  <si>
    <t xml:space="preserve">Total Registrado </t>
  </si>
  <si>
    <t>Unidade de Compra</t>
  </si>
  <si>
    <t>% DO TOTAL DA ARP:</t>
  </si>
  <si>
    <r>
      <rPr>
        <b/>
        <sz val="16"/>
        <rFont val="Calibri"/>
        <family val="2"/>
        <scheme val="minor"/>
      </rPr>
      <t>REGISTRO DE CARONA PARA OUTROS ÓRGÃOS:</t>
    </r>
    <r>
      <rPr>
        <sz val="16"/>
        <rFont val="Calibri"/>
        <family val="2"/>
        <scheme val="minor"/>
      </rPr>
      <t xml:space="preserve">  (</t>
    </r>
    <r>
      <rPr>
        <u/>
        <sz val="16"/>
        <rFont val="Calibri"/>
        <family val="2"/>
        <scheme val="minor"/>
      </rPr>
      <t xml:space="preserve">Obs: Itens com só </t>
    </r>
    <r>
      <rPr>
        <u/>
        <sz val="16"/>
        <color rgb="FFFF0000"/>
        <rFont val="Calibri"/>
        <family val="2"/>
        <scheme val="minor"/>
      </rPr>
      <t>01 unidade</t>
    </r>
    <r>
      <rPr>
        <u/>
        <sz val="16"/>
        <rFont val="Calibri"/>
        <family val="2"/>
        <scheme val="minor"/>
      </rPr>
      <t xml:space="preserve"> registrada -</t>
    </r>
    <r>
      <rPr>
        <u/>
        <sz val="16"/>
        <color rgb="FFFF0000"/>
        <rFont val="Calibri"/>
        <family val="2"/>
        <scheme val="minor"/>
      </rPr>
      <t xml:space="preserve"> INDISPONÍVEIS PARA CARONA</t>
    </r>
    <r>
      <rPr>
        <sz val="16"/>
        <rFont val="Calibri"/>
        <family val="2"/>
        <scheme val="minor"/>
      </rPr>
      <t>!)</t>
    </r>
  </si>
  <si>
    <t xml:space="preserve">1º TERMO ADITIVO </t>
  </si>
  <si>
    <t>Qtde Aditivada</t>
  </si>
  <si>
    <t>Quantidade disponível para aditivar</t>
  </si>
  <si>
    <t>Qtde 1º TA EMPRESA (CENTRO)</t>
  </si>
  <si>
    <t>%  1º TA TA EMPRESA (CENTRO)</t>
  </si>
  <si>
    <t>VALOR  1º TA EMPRESA (CENTRO)</t>
  </si>
  <si>
    <t>QUANTIDADE DISPONÍVEL PARA ADITIVAR</t>
  </si>
  <si>
    <t>Item</t>
  </si>
  <si>
    <t>ESAG</t>
  </si>
  <si>
    <t>CEART</t>
  </si>
  <si>
    <t>FAED</t>
  </si>
  <si>
    <t>CEAD</t>
  </si>
  <si>
    <t>CEFID</t>
  </si>
  <si>
    <t>CERES</t>
  </si>
  <si>
    <t>CESFI</t>
  </si>
  <si>
    <t>CCT</t>
  </si>
  <si>
    <t>CEPLAN</t>
  </si>
  <si>
    <t>CEAVI</t>
  </si>
  <si>
    <t>CAV</t>
  </si>
  <si>
    <t>CEO</t>
  </si>
  <si>
    <t>Valor Total Aditivado</t>
  </si>
  <si>
    <t>Quantidade Receb/Cedida</t>
  </si>
  <si>
    <t>Quantidade Aditivada Própria</t>
  </si>
  <si>
    <t>Quantidade Aditivos recebidos</t>
  </si>
  <si>
    <t>Quantidade Aditivos cedidos</t>
  </si>
  <si>
    <t xml:space="preserve">QUANTIDADE UTILIZADA da Ata </t>
  </si>
  <si>
    <t>QUANTIDADE UTILIZADA Total</t>
  </si>
  <si>
    <t>Qtde Utilizada Total</t>
  </si>
  <si>
    <t>Qtde Utilizada Ata</t>
  </si>
  <si>
    <r>
      <t xml:space="preserve"> </t>
    </r>
    <r>
      <rPr>
        <u/>
        <sz val="11"/>
        <rFont val="Calibri"/>
        <family val="2"/>
        <scheme val="minor"/>
      </rPr>
      <t>Quantidade cedida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por Solicitação</t>
    </r>
  </si>
  <si>
    <t>INSERIR ÓRGÃO</t>
  </si>
  <si>
    <t>SGPe (ÓRGÃO) XXX/2025</t>
  </si>
  <si>
    <r>
      <rPr>
        <u/>
        <sz val="11"/>
        <rFont val="Calibri"/>
        <family val="2"/>
        <scheme val="minor"/>
      </rPr>
      <t>Quantidade cedida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por Solicitação</t>
    </r>
  </si>
  <si>
    <t>ÓRGÃO A</t>
  </si>
  <si>
    <t>ÓRGÃO B</t>
  </si>
  <si>
    <t>ÓRGÃO C</t>
  </si>
  <si>
    <t>ÓRGÃO D</t>
  </si>
  <si>
    <t>TOTAL</t>
  </si>
  <si>
    <t>PREÇOS</t>
  </si>
  <si>
    <t xml:space="preserve">Passível de Carona </t>
  </si>
  <si>
    <t xml:space="preserve">Quantidade Carona </t>
  </si>
  <si>
    <t xml:space="preserve">Saldo RESTANTE para CARONA </t>
  </si>
  <si>
    <t>Quantidade Aditivada</t>
  </si>
  <si>
    <t>CONTROLE DO GESTOR (REITORIA)- (atualizado em 04/02/2025)</t>
  </si>
  <si>
    <t>OBJETO: AQUISIÇÃO DE GÊNEROS ALIMENTÍCIOS, ÁGUA E GÁS PARA A UDESC</t>
  </si>
  <si>
    <r>
      <t xml:space="preserve">VIGÊNCIA DA ATA:  </t>
    </r>
    <r>
      <rPr>
        <sz val="11"/>
        <rFont val="Calibri"/>
        <family val="2"/>
        <scheme val="minor"/>
      </rPr>
      <t xml:space="preserve">08/05/2025 </t>
    </r>
    <r>
      <rPr>
        <b/>
        <sz val="11"/>
        <rFont val="Calibri"/>
        <family val="2"/>
        <scheme val="minor"/>
      </rPr>
      <t>até 08/05/2026.</t>
    </r>
  </si>
  <si>
    <t>AF nº /2025 Qtde. DT</t>
  </si>
  <si>
    <r>
      <rPr>
        <b/>
        <sz val="11"/>
        <rFont val="Calibri"/>
        <family val="2"/>
        <scheme val="minor"/>
      </rPr>
      <t>OBS:</t>
    </r>
    <r>
      <rPr>
        <sz val="11"/>
        <color rgb="FF0066FF"/>
        <rFont val="Calibri"/>
        <family val="2"/>
        <scheme val="minor"/>
      </rPr>
      <t xml:space="preserve"> </t>
    </r>
    <r>
      <rPr>
        <b/>
        <u/>
        <sz val="11"/>
        <rFont val="Calibri"/>
        <family val="2"/>
        <scheme val="minor"/>
      </rPr>
      <t xml:space="preserve">VALOR MÍNIMO </t>
    </r>
    <r>
      <rPr>
        <u/>
        <sz val="11"/>
        <rFont val="Calibri"/>
        <family val="2"/>
        <scheme val="minor"/>
      </rPr>
      <t>DA AF</t>
    </r>
    <r>
      <rPr>
        <sz val="11"/>
        <rFont val="Calibri"/>
        <family val="2"/>
        <scheme val="minor"/>
      </rPr>
      <t xml:space="preserve">: </t>
    </r>
    <r>
      <rPr>
        <b/>
        <sz val="11"/>
        <rFont val="Calibri"/>
        <family val="2"/>
        <scheme val="minor"/>
      </rPr>
      <t>R$ 300,00</t>
    </r>
  </si>
  <si>
    <t>Lote</t>
  </si>
  <si>
    <t xml:space="preserve">Descrição </t>
  </si>
  <si>
    <t>Marca</t>
  </si>
  <si>
    <t>Preço Unitário</t>
  </si>
  <si>
    <t>Quantidade Registrada</t>
  </si>
  <si>
    <t>...../...../2025</t>
  </si>
  <si>
    <t>ESTANCIA HIDROMINERAL SANTA RITA DE CASSIA LTDA - CNPJ 03.489.027/0001-88</t>
  </si>
  <si>
    <r>
      <rPr>
        <b/>
        <sz val="11"/>
        <color theme="1"/>
        <rFont val="Calibri"/>
        <family val="2"/>
        <scheme val="minor"/>
      </rPr>
      <t>Água mineral</t>
    </r>
    <r>
      <rPr>
        <sz val="10"/>
        <rFont val="Arial"/>
        <family val="2"/>
      </rPr>
      <t xml:space="preserve">, potável, natural, sem gás, com validade mínima de 3 (três) meses a cada fornecimento, envasada em </t>
    </r>
    <r>
      <rPr>
        <b/>
        <sz val="11"/>
        <color rgb="FFFF0000"/>
        <rFont val="Calibri"/>
        <family val="2"/>
        <scheme val="minor"/>
      </rPr>
      <t>garrafão de 20 litros PET</t>
    </r>
    <r>
      <rPr>
        <sz val="10"/>
        <rFont val="Arial"/>
        <family val="2"/>
      </rPr>
      <t xml:space="preserve"> (politereftalato de etileno), com cessão gratuita (comodato) de garrafões em quantidade suficiente para abastecimento e reposição, com vida útil máxima de 3 anos, lacrados, dentro dos padrões estabelecidos pelo Departamento Nacional de Produção Mineral - DPNPM e de acordo com a Portaria nº 470/1999, RDCs nºs 274 e 275 de 2005, RDC 23/2000 e RDC 27/2010, da ANVISA-MS. Rotulo com carimbo de aprovação ou número do processo do DNPM, contendo, no mínimo, nome da fonte e da empresa envasadora, seu CNPJ, Município, Estado, número do lote, composição química, características físico-químicas, nome do laboratório, número e data da análise da água, volume, data de envasamento, validade e a expressão "Não contem glúten" com impressão indelével, devendo obedecer a Portaria 387/2008 DNPM, especificações da ANVISA (Resolução nº 105/99 e suas atualizações), e normas da ABNT NMR 14222, 14328 e 14638. </t>
    </r>
    <r>
      <rPr>
        <b/>
        <sz val="11"/>
        <color rgb="FFFF0000"/>
        <rFont val="Calibri"/>
        <family val="2"/>
        <scheme val="minor"/>
      </rPr>
      <t>ENTREGA EM FLORIANÓPOLIS, LAGUNA E BALNEÁRIO CAMBORIÚ</t>
    </r>
  </si>
  <si>
    <t>SANTA RITA</t>
  </si>
  <si>
    <r>
      <t>peça 
(</t>
    </r>
    <r>
      <rPr>
        <b/>
        <sz val="11"/>
        <color theme="1"/>
        <rFont val="Calibri"/>
        <family val="2"/>
        <scheme val="minor"/>
      </rPr>
      <t>peça = garrafão de 20 litros</t>
    </r>
    <r>
      <rPr>
        <sz val="10"/>
        <rFont val="Arial"/>
        <family val="2"/>
      </rPr>
      <t>)</t>
    </r>
  </si>
  <si>
    <r>
      <rPr>
        <b/>
        <sz val="11"/>
        <color theme="1"/>
        <rFont val="Calibri"/>
        <family val="2"/>
        <scheme val="minor"/>
      </rPr>
      <t>Água mineral</t>
    </r>
    <r>
      <rPr>
        <sz val="10"/>
        <rFont val="Arial"/>
        <family val="2"/>
      </rPr>
      <t xml:space="preserve"> natural, potável, </t>
    </r>
    <r>
      <rPr>
        <b/>
        <sz val="11"/>
        <rFont val="Calibri"/>
        <family val="2"/>
        <scheme val="minor"/>
      </rPr>
      <t>sem gás</t>
    </r>
    <r>
      <rPr>
        <sz val="10"/>
        <rFont val="Arial"/>
        <family val="2"/>
      </rPr>
      <t xml:space="preserve">, envasada em garrafa PET (politereftalato de etileno) descartável com </t>
    </r>
    <r>
      <rPr>
        <b/>
        <sz val="11"/>
        <color rgb="FFFF0000"/>
        <rFont val="Calibri"/>
        <family val="2"/>
        <scheme val="minor"/>
      </rPr>
      <t>500ml</t>
    </r>
    <r>
      <rPr>
        <sz val="10"/>
        <rFont val="Arial"/>
        <family val="2"/>
      </rPr>
      <t>, lacrados, dentro dos padrões estabelecidos pelo Departamento Nacional de Produção Mineral-DNPM e de acordo com a Portaria nº 470/1999, RDCs nºs 274 e 275 de 2005, RDC 23/2000 e RDC 27/2010, da ANVISA-MS,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acondicionadas em fardo com 12 unidades</t>
    </r>
    <r>
      <rPr>
        <sz val="10"/>
        <rFont val="Arial"/>
        <family val="2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FLORIANÓPOLIS, LAGUNA E BALNEÁRIO CAMBORIÚ</t>
    </r>
  </si>
  <si>
    <r>
      <rPr>
        <b/>
        <sz val="11"/>
        <color theme="1"/>
        <rFont val="Calibri"/>
        <family val="2"/>
        <scheme val="minor"/>
      </rPr>
      <t>Fardo</t>
    </r>
    <r>
      <rPr>
        <sz val="10"/>
        <rFont val="Arial"/>
        <family val="2"/>
      </rPr>
      <t xml:space="preserve"> com 12 garrafas de 500ml</t>
    </r>
  </si>
  <si>
    <r>
      <rPr>
        <b/>
        <sz val="11"/>
        <color theme="1"/>
        <rFont val="Calibri"/>
        <family val="2"/>
        <scheme val="minor"/>
      </rPr>
      <t>Água mineral natural</t>
    </r>
    <r>
      <rPr>
        <sz val="10"/>
        <rFont val="Arial"/>
        <family val="2"/>
      </rPr>
      <t xml:space="preserve">, potável, </t>
    </r>
    <r>
      <rPr>
        <b/>
        <sz val="11"/>
        <color theme="1"/>
        <rFont val="Calibri"/>
        <family val="2"/>
        <scheme val="minor"/>
      </rPr>
      <t>sem gás</t>
    </r>
    <r>
      <rPr>
        <sz val="10"/>
        <rFont val="Arial"/>
        <family val="2"/>
      </rPr>
      <t xml:space="preserve">, envasada em garrafa PET (politereftalato de etileno) </t>
    </r>
    <r>
      <rPr>
        <b/>
        <sz val="11"/>
        <color rgb="FFFF0000"/>
        <rFont val="Calibri"/>
        <family val="2"/>
        <scheme val="minor"/>
      </rPr>
      <t>descartável com 5 litros</t>
    </r>
    <r>
      <rPr>
        <sz val="10"/>
        <rFont val="Arial"/>
        <family val="2"/>
      </rPr>
      <t xml:space="preserve">, lacrados, dentro dos padrões estabelecidos pelo Departamento Nacional de Produção Mineral-DNPM e de acordo com a Portaria nº 470/1999, RDCs nºs 274 e 275 de 2005, RDC 23/2000 e RDC 27/2010, da ANVISA-MS, acondicionadas </t>
    </r>
    <r>
      <rPr>
        <b/>
        <sz val="11"/>
        <color rgb="FFFF0000"/>
        <rFont val="Calibri"/>
        <family val="2"/>
        <scheme val="minor"/>
      </rPr>
      <t>em fardo com 4 galões de 5 litros</t>
    </r>
    <r>
      <rPr>
        <sz val="10"/>
        <rFont val="Arial"/>
        <family val="2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FLORIANÓPOLIS, LAGUNA E BALNEÁRIO CAMBORIÚ</t>
    </r>
  </si>
  <si>
    <r>
      <rPr>
        <b/>
        <sz val="11"/>
        <color theme="1"/>
        <rFont val="Calibri"/>
        <family val="2"/>
        <scheme val="minor"/>
      </rPr>
      <t>Fardo</t>
    </r>
    <r>
      <rPr>
        <sz val="10"/>
        <rFont val="Arial"/>
        <family val="2"/>
      </rPr>
      <t xml:space="preserve"> </t>
    </r>
    <r>
      <rPr>
        <sz val="10"/>
        <color theme="1"/>
        <rFont val="Calibri"/>
        <family val="2"/>
        <scheme val="minor"/>
      </rPr>
      <t>com 4 unidades</t>
    </r>
  </si>
  <si>
    <t>H2O DISTRIBUIDORA DE AGUA MINERAL LTDA - CNPJ 58.502.677/0001-08</t>
  </si>
  <si>
    <r>
      <rPr>
        <b/>
        <sz val="11"/>
        <color theme="1"/>
        <rFont val="Calibri"/>
        <family val="2"/>
        <scheme val="minor"/>
      </rPr>
      <t>Água mineral</t>
    </r>
    <r>
      <rPr>
        <sz val="10"/>
        <rFont val="Arial"/>
        <family val="2"/>
      </rPr>
      <t xml:space="preserve">, potável, natural, sem gás, com validade mínima de 3 (três) meses a cada fornecimento, envasada em </t>
    </r>
    <r>
      <rPr>
        <b/>
        <sz val="11"/>
        <color rgb="FFFF0000"/>
        <rFont val="Calibri"/>
        <family val="2"/>
        <scheme val="minor"/>
      </rPr>
      <t>garrafão de 20 litros PET</t>
    </r>
    <r>
      <rPr>
        <sz val="10"/>
        <rFont val="Arial"/>
        <family val="2"/>
      </rPr>
      <t xml:space="preserve"> (politereftalato de etileno), com cessão gratuita (comodato) de garrafões em quantidade suficiente para abastecimento e reposição, com vida útil máxima de 3 anos, lacrados, dentro dos padrões estabelecidos pelo Departamento Nacional de Produção Mineral - DPNPM e de acordo com a Portaria nº 470/1999, RDCs nºs 274 e 275 de 2005, RDC 23/2000 e RDC 27/2010, da ANVISA-MS. Rotulo com carimbo de aprovação ou número do processo do DNPM, contendo, no mínimo, nome da fonte e da empresa envasadora, seu CNPJ, Município, Estado, número do lote, composição química, características físico-químicas, nome do laboratório, número e data da análise da água, volume, data de envasamento, validade e a expressão "Não contem glúten" com impressão indelével, devendo obedecer a Portaria 387/2008 DNPM, especificações da ANVISA (Resolução nº 105/99 e suas atualizações), e normas da ABNT NMR 14222, 14328 e 14638. </t>
    </r>
    <r>
      <rPr>
        <b/>
        <sz val="11"/>
        <color rgb="FFFF0000"/>
        <rFont val="Calibri"/>
        <family val="2"/>
        <scheme val="minor"/>
      </rPr>
      <t>ENTREGA EM JOINVILLE E SÃO BENTO DO SUL</t>
    </r>
  </si>
  <si>
    <t>AQUA 10</t>
  </si>
  <si>
    <r>
      <rPr>
        <b/>
        <sz val="11"/>
        <color theme="1"/>
        <rFont val="Calibri"/>
        <family val="2"/>
        <scheme val="minor"/>
      </rPr>
      <t>Água mineral</t>
    </r>
    <r>
      <rPr>
        <sz val="10"/>
        <rFont val="Arial"/>
        <family val="2"/>
      </rPr>
      <t xml:space="preserve"> natural, potável, </t>
    </r>
    <r>
      <rPr>
        <b/>
        <sz val="11"/>
        <rFont val="Calibri"/>
        <family val="2"/>
        <scheme val="minor"/>
      </rPr>
      <t>sem gás</t>
    </r>
    <r>
      <rPr>
        <sz val="10"/>
        <rFont val="Arial"/>
        <family val="2"/>
      </rPr>
      <t xml:space="preserve">, envasada em garrafa PET (politereftalato de etileno) descartável com </t>
    </r>
    <r>
      <rPr>
        <b/>
        <sz val="11"/>
        <color rgb="FFFF0000"/>
        <rFont val="Calibri"/>
        <family val="2"/>
        <scheme val="minor"/>
      </rPr>
      <t>500ml</t>
    </r>
    <r>
      <rPr>
        <sz val="10"/>
        <rFont val="Arial"/>
        <family val="2"/>
      </rPr>
      <t>, lacrados, dentro dos padrões estabelecidos pelo Departamento Nacional de Produção Mineral-DNPM e de acordo com a Portaria nº 470/1999, RDCs nºs 274 e 275 de 2005, RDC 23/2000 e RDC 27/2010, da ANVISA-MS,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acondicionadas em fardo com 12 unidades</t>
    </r>
    <r>
      <rPr>
        <sz val="10"/>
        <rFont val="Arial"/>
        <family val="2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JOINVILLE E SÃO BENTO DO SUL</t>
    </r>
  </si>
  <si>
    <t>CRISTAL CELECT</t>
  </si>
  <si>
    <t>E.M. DOS RES-ME - CNPJ 42.748.381/0001-31</t>
  </si>
  <si>
    <r>
      <rPr>
        <b/>
        <sz val="11"/>
        <color rgb="FFFF0000"/>
        <rFont val="Calibri"/>
        <family val="2"/>
        <scheme val="minor"/>
      </rPr>
      <t>Café</t>
    </r>
    <r>
      <rPr>
        <sz val="10"/>
        <rFont val="Arial"/>
        <family val="2"/>
      </rPr>
      <t xml:space="preserve"> torrado e moído embalado a vácuo prensado </t>
    </r>
    <r>
      <rPr>
        <b/>
        <sz val="11"/>
        <color rgb="FFFF0000"/>
        <rFont val="Calibri"/>
        <family val="2"/>
        <scheme val="minor"/>
      </rPr>
      <t>embalagem de 500g</t>
    </r>
    <r>
      <rPr>
        <sz val="10"/>
        <rFont val="Arial"/>
        <family val="2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theme="1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0"/>
        <rFont val="Arial"/>
        <family val="2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FF0000"/>
        <rFont val="Calibri"/>
        <family val="2"/>
        <scheme val="minor"/>
      </rPr>
      <t xml:space="preserve"> ENTREGA EM FLORIANÓPOLIS, LAGUNA, IBIRAMA E BALNEÁRIO CAMBORIÚ</t>
    </r>
  </si>
  <si>
    <t>SELEÇÃO DE MINAS</t>
  </si>
  <si>
    <r>
      <t>E</t>
    </r>
    <r>
      <rPr>
        <b/>
        <sz val="11"/>
        <rFont val="Calibri"/>
        <family val="2"/>
        <scheme val="minor"/>
      </rPr>
      <t>mbalagens de 500 gramas</t>
    </r>
  </si>
  <si>
    <r>
      <rPr>
        <b/>
        <sz val="11"/>
        <color rgb="FFFF0000"/>
        <rFont val="Calibri"/>
        <family val="2"/>
        <scheme val="minor"/>
      </rPr>
      <t>Café</t>
    </r>
    <r>
      <rPr>
        <sz val="10"/>
        <rFont val="Arial"/>
        <family val="2"/>
      </rPr>
      <t xml:space="preserve"> torrado e moído embalado a vácuo prensado </t>
    </r>
    <r>
      <rPr>
        <b/>
        <sz val="11"/>
        <color rgb="FFFF0000"/>
        <rFont val="Calibri"/>
        <family val="2"/>
        <scheme val="minor"/>
      </rPr>
      <t>embalagem de 500g</t>
    </r>
    <r>
      <rPr>
        <sz val="10"/>
        <rFont val="Arial"/>
        <family val="2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theme="1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0"/>
        <rFont val="Arial"/>
        <family val="2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FF0000"/>
        <rFont val="Calibri"/>
        <family val="2"/>
        <scheme val="minor"/>
      </rPr>
      <t xml:space="preserve"> ENTREGA EM  LAGES/SC</t>
    </r>
  </si>
  <si>
    <r>
      <rPr>
        <b/>
        <sz val="11"/>
        <color rgb="FFFF0000"/>
        <rFont val="Calibri"/>
        <family val="2"/>
        <scheme val="minor"/>
      </rPr>
      <t>Café</t>
    </r>
    <r>
      <rPr>
        <sz val="10"/>
        <rFont val="Arial"/>
        <family val="2"/>
      </rPr>
      <t xml:space="preserve"> torrado e moído embalado a vácuo prensado </t>
    </r>
    <r>
      <rPr>
        <b/>
        <sz val="11"/>
        <color rgb="FFFF0000"/>
        <rFont val="Calibri"/>
        <family val="2"/>
        <scheme val="minor"/>
      </rPr>
      <t>embalagem de 500g</t>
    </r>
    <r>
      <rPr>
        <sz val="10"/>
        <rFont val="Arial"/>
        <family val="2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theme="1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0"/>
        <rFont val="Arial"/>
        <family val="2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FF0000"/>
        <rFont val="Calibri"/>
        <family val="2"/>
        <scheme val="minor"/>
      </rPr>
      <t xml:space="preserve"> ENTREGA EM JOINVILLE E SÃO BENTO DO SUL/SC</t>
    </r>
  </si>
  <si>
    <t xml:space="preserve"> embalagem de 1 quilo</t>
  </si>
  <si>
    <t xml:space="preserve">	NSC COMÉRCIO DE ALIMENTOS EIRELI - CNPJ 33.842.718/0001-84</t>
  </si>
  <si>
    <r>
      <rPr>
        <b/>
        <sz val="11"/>
        <color theme="1"/>
        <rFont val="Calibri"/>
        <family val="2"/>
        <scheme val="minor"/>
      </rPr>
      <t>Açúcar refinado</t>
    </r>
    <r>
      <rPr>
        <sz val="10"/>
        <rFont val="Arial"/>
        <family val="2"/>
      </rPr>
      <t>, na cor branco, embalagem plástica de</t>
    </r>
    <r>
      <rPr>
        <b/>
        <sz val="11"/>
        <color theme="1"/>
        <rFont val="Calibri"/>
        <family val="2"/>
        <scheme val="minor"/>
      </rPr>
      <t xml:space="preserve"> 1Kg. </t>
    </r>
    <r>
      <rPr>
        <sz val="10"/>
        <rFont val="Arial"/>
        <family val="2"/>
      </rPr>
      <t xml:space="preserve">Validade mínima de 9 meses a contar da data do fornecimento. </t>
    </r>
    <r>
      <rPr>
        <b/>
        <sz val="11"/>
        <color rgb="FFFF0000"/>
        <rFont val="Calibri"/>
        <family val="2"/>
        <scheme val="minor"/>
      </rPr>
      <t>ENTREGA EM LAGES</t>
    </r>
  </si>
  <si>
    <t>ALTO ALEGRE</t>
  </si>
  <si>
    <t>Peça</t>
  </si>
  <si>
    <t xml:space="preserve">	SANDRA CRISTINA DE MATTOS - GAS LIDER POA  - 53.498.104/0001-34</t>
  </si>
  <si>
    <r>
      <rPr>
        <b/>
        <sz val="11"/>
        <color theme="1"/>
        <rFont val="Calibri"/>
        <family val="2"/>
        <scheme val="minor"/>
      </rPr>
      <t>Carga para gás liquefeito de petróleo</t>
    </r>
    <r>
      <rPr>
        <sz val="10"/>
        <rFont val="Arial"/>
        <family val="2"/>
      </rPr>
      <t>, GLP, vulgo gás de cozinha, composto de propano e butano. Aplicação para uso doméstico.</t>
    </r>
    <r>
      <rPr>
        <b/>
        <sz val="11"/>
        <color theme="1"/>
        <rFont val="Calibri"/>
        <family val="2"/>
        <scheme val="minor"/>
      </rPr>
      <t xml:space="preserve"> Botijão P 13.</t>
    </r>
    <r>
      <rPr>
        <sz val="10"/>
        <rFont val="Arial"/>
        <family val="2"/>
      </rPr>
      <t xml:space="preserve"> </t>
    </r>
    <r>
      <rPr>
        <b/>
        <sz val="11"/>
        <color rgb="FFFF0000"/>
        <rFont val="Calibri"/>
        <family val="2"/>
        <scheme val="minor"/>
      </rPr>
      <t>ENTREGA EM LAGES</t>
    </r>
  </si>
  <si>
    <t xml:space="preserve">CONSIGAZ </t>
  </si>
  <si>
    <t xml:space="preserve">	ECO COMERCIO DE PRODUTOS HOSPITALARES LTDA - CNPJ 85.396.182/0001-14</t>
  </si>
  <si>
    <r>
      <rPr>
        <b/>
        <sz val="11"/>
        <color theme="1"/>
        <rFont val="Calibri"/>
        <family val="2"/>
        <scheme val="minor"/>
      </rPr>
      <t>Água mineral</t>
    </r>
    <r>
      <rPr>
        <sz val="10"/>
        <rFont val="Arial"/>
        <family val="2"/>
      </rPr>
      <t xml:space="preserve">, potável, natural, sem gás, com validade mínima de 3 (três) meses a cada fornecimento, envasada em </t>
    </r>
    <r>
      <rPr>
        <b/>
        <sz val="11"/>
        <color rgb="FFFF0000"/>
        <rFont val="Calibri"/>
        <family val="2"/>
        <scheme val="minor"/>
      </rPr>
      <t>garrafão de 20 litros PET</t>
    </r>
    <r>
      <rPr>
        <sz val="10"/>
        <rFont val="Arial"/>
        <family val="2"/>
      </rPr>
      <t xml:space="preserve"> (politereftalato de etileno), com cessão gratuita (comodato) de garrafões em quantidade suficiente para abastecimento e reposição, com vida útil máxima de 3 anos, lacrados, dentro dos padrões estabelecidos pelo Departamento Nacional de Produção Mineral - DPNPM e de acordo com a Portaria nº 470/1999, RDCs nºs 274 e 275 de 2005, RDC 23/2000 e RDC 27/2010, da ANVISA-MS. Rotulo com carimbo de aprovação ou número do processo do DNPM, contendo, no mínimo, nome da fonte e da empresa envasadora, seu CNPJ, Município, Estado, número do lote, composição química, características físico-químicas, nome do laboratório, número e data da análise da água, volume, data de envasamento, validade e a expressão "Não contem glúten" com impressão indelével, devendo obedecer a Portaria 387/2008 DNPM, especificações da ANVISA (Resolução nº 105/99 e suas atualizações), e normas da ABNT NMR 14222, 14328 e 14638. </t>
    </r>
    <r>
      <rPr>
        <b/>
        <sz val="11"/>
        <color rgb="FFFF0000"/>
        <rFont val="Calibri"/>
        <family val="2"/>
        <scheme val="minor"/>
      </rPr>
      <t>ENTREGA EM CHAPECÓ</t>
    </r>
  </si>
  <si>
    <t>IPUÁ</t>
  </si>
  <si>
    <r>
      <rPr>
        <b/>
        <sz val="11"/>
        <color theme="1"/>
        <rFont val="Calibri"/>
        <family val="2"/>
        <scheme val="minor"/>
      </rPr>
      <t>Água mineral</t>
    </r>
    <r>
      <rPr>
        <sz val="10"/>
        <rFont val="Arial"/>
        <family val="2"/>
      </rPr>
      <t xml:space="preserve"> natural, potável, </t>
    </r>
    <r>
      <rPr>
        <b/>
        <sz val="11"/>
        <rFont val="Calibri"/>
        <family val="2"/>
        <scheme val="minor"/>
      </rPr>
      <t>sem gás</t>
    </r>
    <r>
      <rPr>
        <sz val="10"/>
        <rFont val="Arial"/>
        <family val="2"/>
      </rPr>
      <t xml:space="preserve">, envasada em garrafa PET (politereftalato de etileno) descartável com </t>
    </r>
    <r>
      <rPr>
        <b/>
        <sz val="11"/>
        <color rgb="FFFF0000"/>
        <rFont val="Calibri"/>
        <family val="2"/>
        <scheme val="minor"/>
      </rPr>
      <t>500ml</t>
    </r>
    <r>
      <rPr>
        <sz val="10"/>
        <rFont val="Arial"/>
        <family val="2"/>
      </rPr>
      <t>, lacrados, dentro dos padrões estabelecidos pelo Departamento Nacional de Produção Mineral-DNPM e de acordo com a Portaria nº 470/1999, RDCs nºs 274 e 275 de 2005, RDC 23/2000 e RDC 27/2010, da ANVISA-MS,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acondicionadas em fardo com 12 unidades</t>
    </r>
    <r>
      <rPr>
        <sz val="10"/>
        <rFont val="Arial"/>
        <family val="2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CHAPECÓ</t>
    </r>
  </si>
  <si>
    <r>
      <rPr>
        <b/>
        <sz val="11"/>
        <color rgb="FFFF0000"/>
        <rFont val="Calibri"/>
        <family val="2"/>
        <scheme val="minor"/>
      </rPr>
      <t>Café</t>
    </r>
    <r>
      <rPr>
        <sz val="10"/>
        <rFont val="Arial"/>
        <family val="2"/>
      </rPr>
      <t xml:space="preserve"> torrado e moído embalado a vácuo prensado </t>
    </r>
    <r>
      <rPr>
        <b/>
        <sz val="11"/>
        <color rgb="FFFF0000"/>
        <rFont val="Calibri"/>
        <family val="2"/>
        <scheme val="minor"/>
      </rPr>
      <t>embalagem de 500g</t>
    </r>
    <r>
      <rPr>
        <sz val="10"/>
        <rFont val="Arial"/>
        <family val="2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theme="1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0"/>
        <rFont val="Arial"/>
        <family val="2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FF0000"/>
        <rFont val="Calibri"/>
        <family val="2"/>
        <scheme val="minor"/>
      </rPr>
      <t xml:space="preserve"> ENTREGA EM CHAPECÓ</t>
    </r>
  </si>
  <si>
    <r>
      <rPr>
        <b/>
        <sz val="11"/>
        <color theme="1"/>
        <rFont val="Calibri"/>
        <family val="2"/>
        <scheme val="minor"/>
      </rPr>
      <t>Açúcar refinado</t>
    </r>
    <r>
      <rPr>
        <sz val="10"/>
        <rFont val="Arial"/>
        <family val="2"/>
      </rPr>
      <t>, na cor branco, embalagem plástica de</t>
    </r>
    <r>
      <rPr>
        <b/>
        <sz val="11"/>
        <color theme="1"/>
        <rFont val="Calibri"/>
        <family val="2"/>
        <scheme val="minor"/>
      </rPr>
      <t xml:space="preserve"> 1Kg. </t>
    </r>
    <r>
      <rPr>
        <sz val="10"/>
        <rFont val="Arial"/>
        <family val="2"/>
      </rPr>
      <t xml:space="preserve">Validade mínima de 9 meses a contar da data do fornecimento. </t>
    </r>
    <r>
      <rPr>
        <b/>
        <sz val="11"/>
        <color rgb="FFFF0000"/>
        <rFont val="Calibri"/>
        <family val="2"/>
        <scheme val="minor"/>
      </rPr>
      <t>ENTREGA EM CHAPECÓ</t>
    </r>
  </si>
  <si>
    <t>CARAVELA</t>
  </si>
  <si>
    <t>PE 629/2025 SRP - SGPe 1965/2025</t>
  </si>
  <si>
    <t>OBS: LOTES 02, 07, 09, 10, 12 e 16  - FRACASSADOS</t>
  </si>
  <si>
    <t>339030.07</t>
  </si>
  <si>
    <t>339030.04</t>
  </si>
  <si>
    <r>
      <t xml:space="preserve">CENTRO PARTICIPANTE: </t>
    </r>
    <r>
      <rPr>
        <b/>
        <sz val="11"/>
        <rFont val="Calibri"/>
        <family val="2"/>
        <scheme val="minor"/>
      </rPr>
      <t>CEFID</t>
    </r>
  </si>
  <si>
    <r>
      <t xml:space="preserve">CENTRO PARTICIPANTE: </t>
    </r>
    <r>
      <rPr>
        <b/>
        <sz val="11"/>
        <rFont val="Calibri"/>
        <family val="2"/>
        <scheme val="minor"/>
      </rPr>
      <t>CAV</t>
    </r>
  </si>
  <si>
    <r>
      <t xml:space="preserve">CENTRO PARTICIPANTE: </t>
    </r>
    <r>
      <rPr>
        <b/>
        <sz val="11"/>
        <rFont val="Calibri"/>
        <family val="2"/>
        <scheme val="minor"/>
      </rPr>
      <t>CCT</t>
    </r>
  </si>
  <si>
    <r>
      <t xml:space="preserve">CENTRO PARTICIPANTE: </t>
    </r>
    <r>
      <rPr>
        <b/>
        <sz val="11"/>
        <rFont val="Calibri"/>
        <family val="2"/>
        <scheme val="minor"/>
      </rPr>
      <t>CEART</t>
    </r>
  </si>
  <si>
    <r>
      <t xml:space="preserve">CENTRO PARTICIPANTE: </t>
    </r>
    <r>
      <rPr>
        <b/>
        <sz val="11"/>
        <rFont val="Calibri"/>
        <family val="2"/>
        <scheme val="minor"/>
      </rPr>
      <t>ESAG</t>
    </r>
  </si>
  <si>
    <r>
      <t xml:space="preserve">CENTRO PARTICIPANTE: </t>
    </r>
    <r>
      <rPr>
        <b/>
        <sz val="11"/>
        <rFont val="Calibri"/>
        <family val="2"/>
        <scheme val="minor"/>
      </rPr>
      <t>CEAD</t>
    </r>
  </si>
  <si>
    <r>
      <t xml:space="preserve">CENTRO PARTICIPANTE: </t>
    </r>
    <r>
      <rPr>
        <b/>
        <sz val="11"/>
        <rFont val="Calibri"/>
        <family val="2"/>
        <scheme val="minor"/>
      </rPr>
      <t>CEPLAN</t>
    </r>
  </si>
  <si>
    <r>
      <t xml:space="preserve">CENTRO PARTICIPANTE: </t>
    </r>
    <r>
      <rPr>
        <b/>
        <sz val="11"/>
        <rFont val="Calibri"/>
        <family val="2"/>
        <scheme val="minor"/>
      </rPr>
      <t>CEAVI</t>
    </r>
  </si>
  <si>
    <r>
      <t xml:space="preserve">CENTRO PARTICIPANTE: </t>
    </r>
    <r>
      <rPr>
        <b/>
        <sz val="11"/>
        <rFont val="Calibri"/>
        <family val="2"/>
        <scheme val="minor"/>
      </rPr>
      <t>CERES</t>
    </r>
  </si>
  <si>
    <r>
      <t xml:space="preserve">CENTRO PARTICIPANTE: </t>
    </r>
    <r>
      <rPr>
        <b/>
        <sz val="11"/>
        <rFont val="Calibri"/>
        <family val="2"/>
        <scheme val="minor"/>
      </rPr>
      <t>FAED</t>
    </r>
  </si>
  <si>
    <r>
      <t xml:space="preserve">CENTRO PARTICIPANTE: </t>
    </r>
    <r>
      <rPr>
        <b/>
        <sz val="11"/>
        <rFont val="Calibri"/>
        <family val="2"/>
        <scheme val="minor"/>
      </rPr>
      <t>CEO</t>
    </r>
  </si>
  <si>
    <t>VIGÊNCIA DA ATA:  08/05/2025 até 08/05/2026.</t>
  </si>
  <si>
    <t>AF nº 812/2025 Qtde. DT</t>
  </si>
  <si>
    <t>AF nº 912/2025 Qtde. DT</t>
  </si>
  <si>
    <t>Código NUC</t>
  </si>
  <si>
    <t>10301-2-003</t>
  </si>
  <si>
    <t>10301-2-001</t>
  </si>
  <si>
    <t>10301-2-008</t>
  </si>
  <si>
    <t>00144-9-011</t>
  </si>
  <si>
    <t>000141-4-002</t>
  </si>
  <si>
    <t>00233-0-003</t>
  </si>
  <si>
    <r>
      <rPr>
        <b/>
        <sz val="11"/>
        <color theme="1"/>
        <rFont val="Calibri"/>
        <family val="2"/>
        <scheme val="minor"/>
      </rPr>
      <t>Água mineral</t>
    </r>
    <r>
      <rPr>
        <sz val="11"/>
        <rFont val="Calibri"/>
        <family val="2"/>
        <scheme val="minor"/>
      </rPr>
      <t xml:space="preserve">, potável, natural, sem gás, com validade mínima de 3 (três) meses a cada fornecimento, envasada em </t>
    </r>
    <r>
      <rPr>
        <b/>
        <sz val="11"/>
        <color rgb="FFFF0000"/>
        <rFont val="Calibri"/>
        <family val="2"/>
        <scheme val="minor"/>
      </rPr>
      <t>garrafão de 20 litros PET</t>
    </r>
    <r>
      <rPr>
        <sz val="11"/>
        <rFont val="Calibri"/>
        <family val="2"/>
        <scheme val="minor"/>
      </rPr>
      <t xml:space="preserve"> (politereftalato de etileno), com cessão gratuita (comodato) de garrafões em quantidade suficiente para abastecimento e reposição, com vida útil máxima de 3 anos, lacrados, dentro dos padrões estabelecidos pelo Departamento Nacional de Produção Mineral - DPNPM e de acordo com a Portaria nº 470/1999, RDCs nºs 274 e 275 de 2005, RDC 23/2000 e RDC 27/2010, da ANVISA-MS. Rotulo com carimbo de aprovação ou número do processo do DNPM, contendo, no mínimo, nome da fonte e da empresa envasadora, seu CNPJ, Município, Estado, número do lote, composição química, características físico-químicas, nome do laboratório, número e data da análise da água, volume, data de envasamento, validade e a expressão "Não contem glúten" com impressão indelével, devendo obedecer a Portaria 387/2008 DNPM, especificações da ANVISA (Resolução nº 105/99 e suas atualizações), e normas da ABNT NMR 14222, 14328 e 14638. </t>
    </r>
    <r>
      <rPr>
        <b/>
        <sz val="11"/>
        <color rgb="FFFF0000"/>
        <rFont val="Calibri"/>
        <family val="2"/>
        <scheme val="minor"/>
      </rPr>
      <t>ENTREGA EM FLORIANÓPOLIS, LAGUNA E BALNEÁRIO CAMBORIÚ</t>
    </r>
  </si>
  <si>
    <r>
      <t>peça 
(</t>
    </r>
    <r>
      <rPr>
        <b/>
        <sz val="11"/>
        <color theme="1"/>
        <rFont val="Calibri"/>
        <family val="2"/>
        <scheme val="minor"/>
      </rPr>
      <t>peça = garrafão de 20 litros</t>
    </r>
    <r>
      <rPr>
        <sz val="1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</si>
  <si>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Água mineral</t>
    </r>
    <r>
      <rPr>
        <sz val="11"/>
        <rFont val="Calibri"/>
        <family val="2"/>
        <scheme val="minor"/>
      </rPr>
      <t xml:space="preserve"> natural, potável, </t>
    </r>
    <r>
      <rPr>
        <b/>
        <sz val="11"/>
        <rFont val="Calibri"/>
        <family val="2"/>
        <scheme val="minor"/>
      </rPr>
      <t>sem gás</t>
    </r>
    <r>
      <rPr>
        <sz val="11"/>
        <rFont val="Calibri"/>
        <family val="2"/>
        <scheme val="minor"/>
      </rPr>
      <t xml:space="preserve">, envasada em garrafa PET (politereftalato de etileno) descartável com </t>
    </r>
    <r>
      <rPr>
        <b/>
        <sz val="11"/>
        <color rgb="FFFF0000"/>
        <rFont val="Calibri"/>
        <family val="2"/>
        <scheme val="minor"/>
      </rPr>
      <t>500ml</t>
    </r>
    <r>
      <rPr>
        <sz val="11"/>
        <rFont val="Calibri"/>
        <family val="2"/>
        <scheme val="minor"/>
      </rPr>
      <t>, lacrados, dentro dos padrões estabelecidos pelo Departamento Nacional de Produção Mineral-DNPM e de acordo com a Portaria nº 470/1999, RDCs nºs 274 e 275 de 2005, RDC 23/2000 e RDC 27/2010, da ANVISA-MS,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acondicionadas em fardo com 12 unidades</t>
    </r>
    <r>
      <rPr>
        <sz val="11"/>
        <rFont val="Calibri"/>
        <family val="2"/>
        <scheme val="minor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FLORIANÓPOLIS, LAGUNA E BALNEÁRIO CAMBORIÚ</t>
    </r>
  </si>
  <si>
    <r>
      <rPr>
        <b/>
        <sz val="11"/>
        <color theme="1"/>
        <rFont val="Calibri"/>
        <family val="2"/>
        <scheme val="minor"/>
      </rPr>
      <t>Fardo</t>
    </r>
    <r>
      <rPr>
        <sz val="11"/>
        <rFont val="Calibri"/>
        <family val="2"/>
        <scheme val="minor"/>
      </rPr>
      <t xml:space="preserve"> com 12 garrafas de 500ml</t>
    </r>
  </si>
  <si>
    <r>
      <rPr>
        <b/>
        <sz val="11"/>
        <color theme="1"/>
        <rFont val="Calibri"/>
        <family val="2"/>
        <scheme val="minor"/>
      </rPr>
      <t>Água mineral natural</t>
    </r>
    <r>
      <rPr>
        <sz val="11"/>
        <rFont val="Calibri"/>
        <family val="2"/>
        <scheme val="minor"/>
      </rPr>
      <t xml:space="preserve">, potável, </t>
    </r>
    <r>
      <rPr>
        <b/>
        <sz val="11"/>
        <color theme="1"/>
        <rFont val="Calibri"/>
        <family val="2"/>
        <scheme val="minor"/>
      </rPr>
      <t>sem gás</t>
    </r>
    <r>
      <rPr>
        <sz val="11"/>
        <rFont val="Calibri"/>
        <family val="2"/>
        <scheme val="minor"/>
      </rPr>
      <t xml:space="preserve">, envasada em garrafa PET (politereftalato de etileno) </t>
    </r>
    <r>
      <rPr>
        <b/>
        <sz val="11"/>
        <color rgb="FFFF0000"/>
        <rFont val="Calibri"/>
        <family val="2"/>
        <scheme val="minor"/>
      </rPr>
      <t>descartável com 5 litros</t>
    </r>
    <r>
      <rPr>
        <sz val="11"/>
        <rFont val="Calibri"/>
        <family val="2"/>
        <scheme val="minor"/>
      </rPr>
      <t xml:space="preserve">, lacrados, dentro dos padrões estabelecidos pelo Departamento Nacional de Produção Mineral-DNPM e de acordo com a Portaria nº 470/1999, RDCs nºs 274 e 275 de 2005, RDC 23/2000 e RDC 27/2010, da ANVISA-MS, acondicionadas </t>
    </r>
    <r>
      <rPr>
        <b/>
        <sz val="11"/>
        <color rgb="FFFF0000"/>
        <rFont val="Calibri"/>
        <family val="2"/>
        <scheme val="minor"/>
      </rPr>
      <t>em fardo com 4 galões de 5 litros</t>
    </r>
    <r>
      <rPr>
        <sz val="11"/>
        <rFont val="Calibri"/>
        <family val="2"/>
        <scheme val="minor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FLORIANÓPOLIS, LAGUNA E BALNEÁRIO CAMBORIÚ</t>
    </r>
  </si>
  <si>
    <r>
      <rPr>
        <b/>
        <sz val="11"/>
        <color theme="1"/>
        <rFont val="Calibri"/>
        <family val="2"/>
        <scheme val="minor"/>
      </rPr>
      <t>Fardo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com 4 unidades</t>
    </r>
  </si>
  <si>
    <r>
      <rPr>
        <b/>
        <sz val="11"/>
        <color theme="1"/>
        <rFont val="Calibri"/>
        <family val="2"/>
        <scheme val="minor"/>
      </rPr>
      <t>Água mineral</t>
    </r>
    <r>
      <rPr>
        <sz val="11"/>
        <rFont val="Calibri"/>
        <family val="2"/>
        <scheme val="minor"/>
      </rPr>
      <t xml:space="preserve">, potável, natural, sem gás, com validade mínima de 3 (três) meses a cada fornecimento, envasada em </t>
    </r>
    <r>
      <rPr>
        <b/>
        <sz val="11"/>
        <color rgb="FFFF0000"/>
        <rFont val="Calibri"/>
        <family val="2"/>
        <scheme val="minor"/>
      </rPr>
      <t>garrafão de 20 litros PET</t>
    </r>
    <r>
      <rPr>
        <sz val="11"/>
        <rFont val="Calibri"/>
        <family val="2"/>
        <scheme val="minor"/>
      </rPr>
      <t xml:space="preserve"> (politereftalato de etileno), com cessão gratuita (comodato) de garrafões em quantidade suficiente para abastecimento e reposição, com vida útil máxima de 3 anos, lacrados, dentro dos padrões estabelecidos pelo Departamento Nacional de Produção Mineral - DPNPM e de acordo com a Portaria nº 470/1999, RDCs nºs 274 e 275 de 2005, RDC 23/2000 e RDC 27/2010, da ANVISA-MS. Rotulo com carimbo de aprovação ou número do processo do DNPM, contendo, no mínimo, nome da fonte e da empresa envasadora, seu CNPJ, Município, Estado, número do lote, composição química, características físico-químicas, nome do laboratório, número e data da análise da água, volume, data de envasamento, validade e a expressão "Não contem glúten" com impressão indelével, devendo obedecer a Portaria 387/2008 DNPM, especificações da ANVISA (Resolução nº 105/99 e suas atualizações), e normas da ABNT NMR 14222, 14328 e 14638. </t>
    </r>
    <r>
      <rPr>
        <b/>
        <sz val="11"/>
        <color rgb="FFFF0000"/>
        <rFont val="Calibri"/>
        <family val="2"/>
        <scheme val="minor"/>
      </rPr>
      <t>ENTREGA EM JOINVILLE E SÃO BENTO DO SUL</t>
    </r>
  </si>
  <si>
    <r>
      <rPr>
        <b/>
        <sz val="11"/>
        <color theme="1"/>
        <rFont val="Calibri"/>
        <family val="2"/>
        <scheme val="minor"/>
      </rPr>
      <t>Água mineral</t>
    </r>
    <r>
      <rPr>
        <sz val="11"/>
        <rFont val="Calibri"/>
        <family val="2"/>
        <scheme val="minor"/>
      </rPr>
      <t xml:space="preserve"> natural, potável, </t>
    </r>
    <r>
      <rPr>
        <b/>
        <sz val="11"/>
        <rFont val="Calibri"/>
        <family val="2"/>
        <scheme val="minor"/>
      </rPr>
      <t>sem gás</t>
    </r>
    <r>
      <rPr>
        <sz val="11"/>
        <rFont val="Calibri"/>
        <family val="2"/>
        <scheme val="minor"/>
      </rPr>
      <t xml:space="preserve">, envasada em garrafa PET (politereftalato de etileno) descartável com </t>
    </r>
    <r>
      <rPr>
        <b/>
        <sz val="11"/>
        <color rgb="FFFF0000"/>
        <rFont val="Calibri"/>
        <family val="2"/>
        <scheme val="minor"/>
      </rPr>
      <t>500ml</t>
    </r>
    <r>
      <rPr>
        <sz val="11"/>
        <rFont val="Calibri"/>
        <family val="2"/>
        <scheme val="minor"/>
      </rPr>
      <t>, lacrados, dentro dos padrões estabelecidos pelo Departamento Nacional de Produção Mineral-DNPM e de acordo com a Portaria nº 470/1999, RDCs nºs 274 e 275 de 2005, RDC 23/2000 e RDC 27/2010, da ANVISA-MS,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acondicionadas em fardo com 12 unidades</t>
    </r>
    <r>
      <rPr>
        <sz val="11"/>
        <rFont val="Calibri"/>
        <family val="2"/>
        <scheme val="minor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JOINVILLE E SÃO BENTO DO SUL</t>
    </r>
  </si>
  <si>
    <r>
      <rPr>
        <b/>
        <sz val="11"/>
        <color theme="1"/>
        <rFont val="Calibri"/>
        <family val="2"/>
        <scheme val="minor"/>
      </rPr>
      <t>Açúcar refinado</t>
    </r>
    <r>
      <rPr>
        <sz val="11"/>
        <rFont val="Calibri"/>
        <family val="2"/>
        <scheme val="minor"/>
      </rPr>
      <t>, na cor branco, embalagem plástica de</t>
    </r>
    <r>
      <rPr>
        <b/>
        <sz val="11"/>
        <color theme="1"/>
        <rFont val="Calibri"/>
        <family val="2"/>
        <scheme val="minor"/>
      </rPr>
      <t xml:space="preserve"> 1Kg. </t>
    </r>
    <r>
      <rPr>
        <sz val="11"/>
        <rFont val="Calibri"/>
        <family val="2"/>
        <scheme val="minor"/>
      </rPr>
      <t xml:space="preserve">Validade mínima de 9 meses a contar da data do fornecimento. </t>
    </r>
    <r>
      <rPr>
        <b/>
        <sz val="11"/>
        <color rgb="FFFF0000"/>
        <rFont val="Calibri"/>
        <family val="2"/>
        <scheme val="minor"/>
      </rPr>
      <t>ENTREGA EM LAGES</t>
    </r>
  </si>
  <si>
    <r>
      <rPr>
        <b/>
        <sz val="11"/>
        <color theme="1"/>
        <rFont val="Calibri"/>
        <family val="2"/>
        <scheme val="minor"/>
      </rPr>
      <t>Carga para gás liquefeito de petróleo</t>
    </r>
    <r>
      <rPr>
        <sz val="11"/>
        <rFont val="Calibri"/>
        <family val="2"/>
        <scheme val="minor"/>
      </rPr>
      <t>, GLP, vulgo gás de cozinha, composto de propano e butano. Aplicação para uso doméstico.</t>
    </r>
    <r>
      <rPr>
        <b/>
        <sz val="11"/>
        <color theme="1"/>
        <rFont val="Calibri"/>
        <family val="2"/>
        <scheme val="minor"/>
      </rPr>
      <t xml:space="preserve"> Botijão P 13.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ENTREGA EM LAGES</t>
    </r>
  </si>
  <si>
    <r>
      <rPr>
        <b/>
        <sz val="11"/>
        <color theme="1"/>
        <rFont val="Calibri"/>
        <family val="2"/>
        <scheme val="minor"/>
      </rPr>
      <t>Água mineral</t>
    </r>
    <r>
      <rPr>
        <sz val="11"/>
        <rFont val="Calibri"/>
        <family val="2"/>
        <scheme val="minor"/>
      </rPr>
      <t xml:space="preserve">, potável, natural, sem gás, com validade mínima de 3 (três) meses a cada fornecimento, envasada em </t>
    </r>
    <r>
      <rPr>
        <b/>
        <sz val="11"/>
        <color rgb="FFFF0000"/>
        <rFont val="Calibri"/>
        <family val="2"/>
        <scheme val="minor"/>
      </rPr>
      <t>garrafão de 20 litros PET</t>
    </r>
    <r>
      <rPr>
        <sz val="11"/>
        <rFont val="Calibri"/>
        <family val="2"/>
        <scheme val="minor"/>
      </rPr>
      <t xml:space="preserve"> (politereftalato de etileno), com cessão gratuita (comodato) de garrafões em quantidade suficiente para abastecimento e reposição, com vida útil máxima de 3 anos, lacrados, dentro dos padrões estabelecidos pelo Departamento Nacional de Produção Mineral - DPNPM e de acordo com a Portaria nº 470/1999, RDCs nºs 274 e 275 de 2005, RDC 23/2000 e RDC 27/2010, da ANVISA-MS. Rotulo com carimbo de aprovação ou número do processo do DNPM, contendo, no mínimo, nome da fonte e da empresa envasadora, seu CNPJ, Município, Estado, número do lote, composição química, características físico-químicas, nome do laboratório, número e data da análise da água, volume, data de envasamento, validade e a expressão "Não contem glúten" com impressão indelével, devendo obedecer a Portaria 387/2008 DNPM, especificações da ANVISA (Resolução nº 105/99 e suas atualizações), e normas da ABNT NMR 14222, 14328 e 14638. </t>
    </r>
    <r>
      <rPr>
        <b/>
        <sz val="11"/>
        <color rgb="FFFF0000"/>
        <rFont val="Calibri"/>
        <family val="2"/>
        <scheme val="minor"/>
      </rPr>
      <t>ENTREGA EM CHAPECÓ</t>
    </r>
  </si>
  <si>
    <r>
      <rPr>
        <b/>
        <sz val="11"/>
        <color theme="1"/>
        <rFont val="Calibri"/>
        <family val="2"/>
        <scheme val="minor"/>
      </rPr>
      <t>Água mineral</t>
    </r>
    <r>
      <rPr>
        <sz val="11"/>
        <rFont val="Calibri"/>
        <family val="2"/>
        <scheme val="minor"/>
      </rPr>
      <t xml:space="preserve"> natural, potável, </t>
    </r>
    <r>
      <rPr>
        <b/>
        <sz val="11"/>
        <rFont val="Calibri"/>
        <family val="2"/>
        <scheme val="minor"/>
      </rPr>
      <t>sem gás</t>
    </r>
    <r>
      <rPr>
        <sz val="11"/>
        <rFont val="Calibri"/>
        <family val="2"/>
        <scheme val="minor"/>
      </rPr>
      <t xml:space="preserve">, envasada em garrafa PET (politereftalato de etileno) descartável com </t>
    </r>
    <r>
      <rPr>
        <b/>
        <sz val="11"/>
        <color rgb="FFFF0000"/>
        <rFont val="Calibri"/>
        <family val="2"/>
        <scheme val="minor"/>
      </rPr>
      <t>500ml</t>
    </r>
    <r>
      <rPr>
        <sz val="11"/>
        <rFont val="Calibri"/>
        <family val="2"/>
        <scheme val="minor"/>
      </rPr>
      <t>, lacrados, dentro dos padrões estabelecidos pelo Departamento Nacional de Produção Mineral-DNPM e de acordo com a Portaria nº 470/1999, RDCs nºs 274 e 275 de 2005, RDC 23/2000 e RDC 27/2010, da ANVISA-MS,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acondicionadas em fardo com 12 unidades</t>
    </r>
    <r>
      <rPr>
        <sz val="11"/>
        <rFont val="Calibri"/>
        <family val="2"/>
        <scheme val="minor"/>
      </rPr>
      <t xml:space="preserve">, e com validade mínima de mínima de 6 (seis) meses a cada fornecimento. Rotulagem: Rotulo com carimbo de aprovação ou número do processo do DNPM, contendo, no mínimo, nome da fonte, e da empresa envasadora, seu CNPJ, Município, Estado, número do lote, composição química, características físico - químicas, nome do laboratório, número e data da análise da água, volume, data de envasamento e validade e a expressão "Não contem glúten" com impressão indelével. </t>
    </r>
    <r>
      <rPr>
        <b/>
        <sz val="11"/>
        <color rgb="FFFF0000"/>
        <rFont val="Calibri"/>
        <family val="2"/>
        <scheme val="minor"/>
      </rPr>
      <t>ENTREGA EM CHAPECÓ</t>
    </r>
  </si>
  <si>
    <r>
      <rPr>
        <b/>
        <sz val="11"/>
        <color theme="1"/>
        <rFont val="Calibri"/>
        <family val="2"/>
        <scheme val="minor"/>
      </rPr>
      <t>Açúcar refinado</t>
    </r>
    <r>
      <rPr>
        <sz val="11"/>
        <rFont val="Calibri"/>
        <family val="2"/>
        <scheme val="minor"/>
      </rPr>
      <t>, na cor branco, embalagem plástica de</t>
    </r>
    <r>
      <rPr>
        <b/>
        <sz val="11"/>
        <color theme="1"/>
        <rFont val="Calibri"/>
        <family val="2"/>
        <scheme val="minor"/>
      </rPr>
      <t xml:space="preserve"> 1Kg. </t>
    </r>
    <r>
      <rPr>
        <sz val="11"/>
        <rFont val="Calibri"/>
        <family val="2"/>
        <scheme val="minor"/>
      </rPr>
      <t xml:space="preserve">Validade mínima de 9 meses a contar da data do fornecimento. </t>
    </r>
    <r>
      <rPr>
        <b/>
        <sz val="11"/>
        <color rgb="FFFF0000"/>
        <rFont val="Calibri"/>
        <family val="2"/>
        <scheme val="minor"/>
      </rPr>
      <t>ENTREGA EM CHAPECÓ</t>
    </r>
  </si>
  <si>
    <r>
      <t xml:space="preserve">CENTRO PARTICIPANTE: </t>
    </r>
    <r>
      <rPr>
        <b/>
        <sz val="11"/>
        <rFont val="Calibri"/>
        <family val="2"/>
        <scheme val="minor"/>
      </rPr>
      <t>CESFI</t>
    </r>
  </si>
  <si>
    <r>
      <t xml:space="preserve">CENTRO PARTICIPANTE: </t>
    </r>
    <r>
      <rPr>
        <b/>
        <sz val="11"/>
        <rFont val="Calibri"/>
        <family val="2"/>
        <scheme val="minor"/>
      </rPr>
      <t>REITORIA/SEAL</t>
    </r>
  </si>
  <si>
    <t>AF nº 1386/2025 Qtde. DT</t>
  </si>
  <si>
    <t>MPS DISTRIBUIDORA LTDA - CNPJ: 53.029.830/0001-08</t>
  </si>
  <si>
    <r>
      <rPr>
        <b/>
        <sz val="11"/>
        <color rgb="FF0000FF"/>
        <rFont val="Calibri"/>
        <family val="2"/>
        <scheme val="minor"/>
      </rPr>
      <t>Café</t>
    </r>
    <r>
      <rPr>
        <sz val="11"/>
        <color rgb="FF0000FF"/>
        <rFont val="Calibri"/>
        <family val="2"/>
        <scheme val="minor"/>
      </rPr>
      <t xml:space="preserve"> torrado e moído embalado a vácuo prensado </t>
    </r>
    <r>
      <rPr>
        <b/>
        <sz val="11"/>
        <color rgb="FF0000FF"/>
        <rFont val="Calibri"/>
        <family val="2"/>
        <scheme val="minor"/>
      </rPr>
      <t>embalagem de 500g</t>
    </r>
    <r>
      <rPr>
        <sz val="11"/>
        <color rgb="FF0000FF"/>
        <rFont val="Calibri"/>
        <family val="2"/>
        <scheme val="minor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rgb="FF0000FF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1"/>
        <color rgb="FF0000FF"/>
        <rFont val="Calibri"/>
        <family val="2"/>
        <scheme val="minor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0000FF"/>
        <rFont val="Calibri"/>
        <family val="2"/>
        <scheme val="minor"/>
      </rPr>
      <t xml:space="preserve"> ENTREGA EM FLORIANÓPOLIS, LAGUNA, IBIRAMA E BALNEÁRIO CAMBORIÚ</t>
    </r>
  </si>
  <si>
    <r>
      <t>E</t>
    </r>
    <r>
      <rPr>
        <b/>
        <sz val="11"/>
        <color rgb="FF0000FF"/>
        <rFont val="Calibri"/>
        <family val="2"/>
        <scheme val="minor"/>
      </rPr>
      <t>mbalagens de 500 gramas</t>
    </r>
  </si>
  <si>
    <r>
      <rPr>
        <b/>
        <sz val="11"/>
        <color rgb="FF0000FF"/>
        <rFont val="Calibri"/>
        <family val="2"/>
        <scheme val="minor"/>
      </rPr>
      <t>Café</t>
    </r>
    <r>
      <rPr>
        <sz val="11"/>
        <color rgb="FF0000FF"/>
        <rFont val="Calibri"/>
        <family val="2"/>
        <scheme val="minor"/>
      </rPr>
      <t xml:space="preserve"> torrado e moído embalado a vácuo prensado </t>
    </r>
    <r>
      <rPr>
        <b/>
        <sz val="11"/>
        <color rgb="FF0000FF"/>
        <rFont val="Calibri"/>
        <family val="2"/>
        <scheme val="minor"/>
      </rPr>
      <t>embalagem de 500g</t>
    </r>
    <r>
      <rPr>
        <sz val="11"/>
        <color rgb="FF0000FF"/>
        <rFont val="Calibri"/>
        <family val="2"/>
        <scheme val="minor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rgb="FF0000FF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1"/>
        <color rgb="FF0000FF"/>
        <rFont val="Calibri"/>
        <family val="2"/>
        <scheme val="minor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0000FF"/>
        <rFont val="Calibri"/>
        <family val="2"/>
        <scheme val="minor"/>
      </rPr>
      <t xml:space="preserve"> ENTREGA EM  LAGES/SC</t>
    </r>
  </si>
  <si>
    <r>
      <rPr>
        <b/>
        <sz val="11"/>
        <color rgb="FF0000FF"/>
        <rFont val="Calibri"/>
        <family val="2"/>
        <scheme val="minor"/>
      </rPr>
      <t>Café</t>
    </r>
    <r>
      <rPr>
        <sz val="11"/>
        <color rgb="FF0000FF"/>
        <rFont val="Calibri"/>
        <family val="2"/>
        <scheme val="minor"/>
      </rPr>
      <t xml:space="preserve"> torrado e moído embalado a vácuo prensado </t>
    </r>
    <r>
      <rPr>
        <b/>
        <sz val="11"/>
        <color rgb="FF0000FF"/>
        <rFont val="Calibri"/>
        <family val="2"/>
        <scheme val="minor"/>
      </rPr>
      <t>embalagem de 500g</t>
    </r>
    <r>
      <rPr>
        <sz val="11"/>
        <color rgb="FF0000FF"/>
        <rFont val="Calibri"/>
        <family val="2"/>
        <scheme val="minor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rgb="FF0000FF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1"/>
        <color rgb="FF0000FF"/>
        <rFont val="Calibri"/>
        <family val="2"/>
        <scheme val="minor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0000FF"/>
        <rFont val="Calibri"/>
        <family val="2"/>
        <scheme val="minor"/>
      </rPr>
      <t xml:space="preserve"> ENTREGA EM JOINVILLE E SÃO BENTO DO SUL/SC</t>
    </r>
  </si>
  <si>
    <r>
      <rPr>
        <b/>
        <sz val="11"/>
        <color rgb="FF0000FF"/>
        <rFont val="Calibri"/>
        <family val="2"/>
        <scheme val="minor"/>
      </rPr>
      <t>Café</t>
    </r>
    <r>
      <rPr>
        <sz val="10"/>
        <color rgb="FF0000FF"/>
        <rFont val="Arial"/>
        <family val="2"/>
      </rPr>
      <t xml:space="preserve"> torrado e moído embalado a vácuo prensado </t>
    </r>
    <r>
      <rPr>
        <b/>
        <sz val="11"/>
        <color rgb="FF0000FF"/>
        <rFont val="Calibri"/>
        <family val="2"/>
        <scheme val="minor"/>
      </rPr>
      <t>embalagem de 500g</t>
    </r>
    <r>
      <rPr>
        <sz val="10"/>
        <color rgb="FF0000FF"/>
        <rFont val="Arial"/>
        <family val="2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rgb="FF0000FF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0"/>
        <color rgb="FF0000FF"/>
        <rFont val="Arial"/>
        <family val="2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0000FF"/>
        <rFont val="Calibri"/>
        <family val="2"/>
        <scheme val="minor"/>
      </rPr>
      <t xml:space="preserve"> ENTREGA EM FLORIANÓPOLIS, LAGUNA, IBIRAMA E BALNEÁRIO CAMBORIÚ</t>
    </r>
  </si>
  <si>
    <r>
      <rPr>
        <b/>
        <sz val="11"/>
        <color rgb="FF0000FF"/>
        <rFont val="Calibri"/>
        <family val="2"/>
        <scheme val="minor"/>
      </rPr>
      <t>Café</t>
    </r>
    <r>
      <rPr>
        <sz val="10"/>
        <color rgb="FF0000FF"/>
        <rFont val="Arial"/>
        <family val="2"/>
      </rPr>
      <t xml:space="preserve"> torrado e moído embalado a vácuo prensado </t>
    </r>
    <r>
      <rPr>
        <b/>
        <sz val="11"/>
        <color rgb="FF0000FF"/>
        <rFont val="Calibri"/>
        <family val="2"/>
        <scheme val="minor"/>
      </rPr>
      <t>embalagem de 500g</t>
    </r>
    <r>
      <rPr>
        <sz val="10"/>
        <color rgb="FF0000FF"/>
        <rFont val="Arial"/>
        <family val="2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rgb="FF0000FF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0"/>
        <color rgb="FF0000FF"/>
        <rFont val="Arial"/>
        <family val="2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0000FF"/>
        <rFont val="Calibri"/>
        <family val="2"/>
        <scheme val="minor"/>
      </rPr>
      <t xml:space="preserve"> ENTREGA EM  LAGES/SC</t>
    </r>
  </si>
  <si>
    <r>
      <rPr>
        <b/>
        <sz val="11"/>
        <color rgb="FF0000FF"/>
        <rFont val="Calibri"/>
        <family val="2"/>
        <scheme val="minor"/>
      </rPr>
      <t>Café</t>
    </r>
    <r>
      <rPr>
        <sz val="10"/>
        <color rgb="FF0000FF"/>
        <rFont val="Arial"/>
        <family val="2"/>
      </rPr>
      <t xml:space="preserve"> torrado e moído embalado a vácuo prensado </t>
    </r>
    <r>
      <rPr>
        <b/>
        <sz val="11"/>
        <color rgb="FF0000FF"/>
        <rFont val="Calibri"/>
        <family val="2"/>
        <scheme val="minor"/>
      </rPr>
      <t>embalagem de 500g</t>
    </r>
    <r>
      <rPr>
        <sz val="10"/>
        <color rgb="FF0000FF"/>
        <rFont val="Arial"/>
        <family val="2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color rgb="FF0000FF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0"/>
        <color rgb="FF0000FF"/>
        <rFont val="Arial"/>
        <family val="2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color rgb="FF0000FF"/>
        <rFont val="Calibri"/>
        <family val="2"/>
        <scheme val="minor"/>
      </rPr>
      <t xml:space="preserve"> ENTREGA EM JOINVILLE E SÃO BENTO DO SUL/SC</t>
    </r>
  </si>
  <si>
    <r>
      <rPr>
        <b/>
        <sz val="11"/>
        <rFont val="Calibri"/>
        <family val="2"/>
        <scheme val="minor"/>
      </rPr>
      <t>Café</t>
    </r>
    <r>
      <rPr>
        <sz val="11"/>
        <rFont val="Calibri"/>
        <family val="2"/>
        <scheme val="minor"/>
      </rPr>
      <t xml:space="preserve"> torrado e moído embalado a vácuo prensado </t>
    </r>
    <r>
      <rPr>
        <b/>
        <sz val="11"/>
        <rFont val="Calibri"/>
        <family val="2"/>
        <scheme val="minor"/>
      </rPr>
      <t>embalagem de 500g</t>
    </r>
    <r>
      <rPr>
        <sz val="11"/>
        <rFont val="Calibri"/>
        <family val="2"/>
        <scheme val="minor"/>
      </rPr>
      <t xml:space="preserve">, em pó, homogêneo, torrado e moído, categoria do tipo SUPERIOR, constituído com predominância de grãos de café arábica. Características sensoriais: fragrância: marcante; aroma: característico, marcante; acidez: baixa a moderada; amargor: moderado; sabor: característico e equilibrado; sabor residual: bom, duradouro; defeitos: pouca interferência; adstringência: baixa; corpo: razoavelmente encorpado; qualidade da bebida: dura a melhor; qualidade global: bom, com embalagem vácuo-puro. Com fabricação de no máximo até 60 (sessenta) dias da data de entrega. Prazo de validade do produto de no mínimo de 12 (doze) meses. O café deverá ter, além da embalagem vácuo-puro, embalagem individual de cartolina, que deverá estar acondicionada em caixa de papelão, com 5 ou 10 kg cada, identificação da categoria do café, lote, prazo de validade e demais informações de acordo com exigências legais vigentes que tratam das embalagens e rotulagens e que atenda ao padrão de identidade e qualidade. </t>
    </r>
    <r>
      <rPr>
        <b/>
        <sz val="11"/>
        <rFont val="Calibri"/>
        <family val="2"/>
        <scheme val="minor"/>
      </rPr>
      <t>Apresentar laudo que comprove a qualidade global da bebida, com classificação igual ou maior que 6,0 (seis pontos)</t>
    </r>
    <r>
      <rPr>
        <sz val="11"/>
        <rFont val="Calibri"/>
        <family val="2"/>
        <scheme val="minor"/>
      </rPr>
      <t xml:space="preserve"> e demais condições estabelecidas de acordo com as legislações vigentes: Portaria SDA 570/2022 MAPA; RDC 623/2022 ANVISA; RDC 722/2022 ANVISA - C/C IN 160/2022 ANVISA; RDC 724/2022 ANVISA - C/C IN 161/2022 ANVISA; e RDC 727/2022 ANVISA.</t>
    </r>
    <r>
      <rPr>
        <b/>
        <sz val="11"/>
        <rFont val="Calibri"/>
        <family val="2"/>
        <scheme val="minor"/>
      </rPr>
      <t xml:space="preserve"> ENTREGA EM CHAPECÓ</t>
    </r>
  </si>
  <si>
    <t>SANTA CATARINA SUPERIOR EXTRA FORTE</t>
  </si>
  <si>
    <t>AF nº 1876/2025 Qtde. DT</t>
  </si>
  <si>
    <t>AF nº 2340/2025 Qtde. DT</t>
  </si>
  <si>
    <t>AF nº 2529/2025 Qtde. DT</t>
  </si>
  <si>
    <t>AF nº 824/2025 ESTANCIA SANTA RITA</t>
  </si>
  <si>
    <t>AF nº 1643/2025 SANTA RITA</t>
  </si>
  <si>
    <t>AF nº 803/2025 Qtde. DT</t>
  </si>
  <si>
    <t>AF nº 1408/2025 Qtde. DT</t>
  </si>
  <si>
    <t>AF nº 1701/2025 Qtde. DT</t>
  </si>
  <si>
    <t>AF 1872 /2025 Qtde. DT</t>
  </si>
  <si>
    <t>AF nº 869/2025 Qtde. DT [ESTORNADO]</t>
  </si>
  <si>
    <t>AF nº 820/2025 Qtde. DT [ESTORNADO]</t>
  </si>
  <si>
    <t xml:space="preserve">AF nº 794 /2025 </t>
  </si>
  <si>
    <t xml:space="preserve">AF nº 903/2025 </t>
  </si>
  <si>
    <t>AF nº 1873/2025</t>
  </si>
  <si>
    <t>AF nº 2289/2025</t>
  </si>
  <si>
    <t>AF nº 1003/2025 Qtde. DT</t>
  </si>
  <si>
    <t>AF nº 1641/2025 Qtde. DT</t>
  </si>
  <si>
    <t>AF nº 825/2025 Qtde. DT</t>
  </si>
  <si>
    <t>AF nº 1325/2025 Qtde. DT</t>
  </si>
  <si>
    <t>AF nº 2019/2025 Qtde. DT</t>
  </si>
  <si>
    <t>AF nº 913 /2025 Qtde. DT</t>
  </si>
  <si>
    <t>AF nº 1493/2025 Qtde. DT</t>
  </si>
  <si>
    <t>AF nº 2038/2025 Qtde. DT</t>
  </si>
  <si>
    <t xml:space="preserve">AF nº 805/2025 </t>
  </si>
  <si>
    <t>AF 1142/2025 Qtde. DT</t>
  </si>
  <si>
    <t>AF nº 1696 /2025 Qtde. DT</t>
  </si>
  <si>
    <t>AF nº 1914 /2025 Qtde. DT</t>
  </si>
  <si>
    <t>AF nº 1247/2025 Qtde. DT</t>
  </si>
  <si>
    <t>AF nº 2093/2025 Qtde. DT</t>
  </si>
  <si>
    <t>AF nº 2096/2025 Qtde. DT</t>
  </si>
  <si>
    <t>AF nº839 /2025 Qtde. DT</t>
  </si>
  <si>
    <t>AF nº 1173/2025 Qtde. DT</t>
  </si>
  <si>
    <t>AF nº1241 /2025 Qtde. DT</t>
  </si>
  <si>
    <t>AF nº 1773/2025 Qtde. DT</t>
  </si>
  <si>
    <t>AF nº 1870/2025 Qtde. DT</t>
  </si>
  <si>
    <t>AF nº 2489 /2025 Qtde. DT</t>
  </si>
  <si>
    <t>AF nº2494 /2025 Qtde. DT</t>
  </si>
  <si>
    <t>AF nº 1039/2025 Qtde. DT</t>
  </si>
  <si>
    <t>AF nº 1459/2025 Qtde. DT</t>
  </si>
  <si>
    <t>AF nº 1664/2025 Qtde. DT</t>
  </si>
  <si>
    <t>AF nº 2086/2025 Qtde. DT</t>
  </si>
  <si>
    <t>AF nº 1050/2025 Qtde. DT</t>
  </si>
  <si>
    <t>AF nº 1781/2025 Qtde. DT</t>
  </si>
  <si>
    <t>AF nº 1882/2025 Qtde. DT</t>
  </si>
  <si>
    <r>
      <t>peça (</t>
    </r>
    <r>
      <rPr>
        <b/>
        <sz val="11"/>
        <color theme="1"/>
        <rFont val="Calibri"/>
        <family val="2"/>
        <scheme val="minor"/>
      </rPr>
      <t>peça = garrafão de 20 litros</t>
    </r>
    <r>
      <rPr>
        <sz val="11"/>
        <rFont val="Calibri"/>
        <family val="2"/>
        <scheme val="minor"/>
      </rPr>
      <t>)</t>
    </r>
  </si>
  <si>
    <t>AF nº 2701/2025 Qtde. DT</t>
  </si>
  <si>
    <t>AF nº 2888/2025 Qtde. DT</t>
  </si>
  <si>
    <t>AF nº 27/2026 Qtde. DT</t>
  </si>
  <si>
    <t>AF nº 531/2026 Qtde. DT</t>
  </si>
  <si>
    <t>AF nº 536/2026 Qtde. DT</t>
  </si>
  <si>
    <t>AF nº 2666/2025 Qtde. DT</t>
  </si>
  <si>
    <t>AF nº 495/2026 Qtde. DT</t>
  </si>
  <si>
    <t>AF nº 2584/2025 SANTA RITA</t>
  </si>
  <si>
    <t>AF nº 284/2026 SGPe 16780/2025</t>
  </si>
  <si>
    <t xml:space="preserve">AF nº 325/2026 SGPe 7313/2026  MPS </t>
  </si>
  <si>
    <t>AF nº 434/2026 SGPe 16780/2025 SANTA RITA</t>
  </si>
  <si>
    <t xml:space="preserve">AF nº 491/2026 SGPe 7313/2026  MPS </t>
  </si>
  <si>
    <t>AF nº 352/2026 Qtde. DT</t>
  </si>
  <si>
    <t>AF nº 620/2026 Qtde. DT</t>
  </si>
  <si>
    <t>AF nº 648/2026 Qtde. DT</t>
  </si>
  <si>
    <t>AF nº 2852/2025 Qtde. DT</t>
  </si>
  <si>
    <t>AF nº 2862/2025 Qtde. DT</t>
  </si>
  <si>
    <t>AF nº 318/2026 Qtde. DT</t>
  </si>
  <si>
    <t>AF nº 48/2026</t>
  </si>
  <si>
    <t>AF 465/2026</t>
  </si>
  <si>
    <t>AF nº 426/2026 Qtde. DT</t>
  </si>
  <si>
    <t>AF nº 551/2026 Qtde. DT</t>
  </si>
  <si>
    <t>AF nº  12/2026 Qtde. DT</t>
  </si>
  <si>
    <t>AF nº 553/2026 Qtde. DT</t>
  </si>
  <si>
    <t>AF nº 0013/2026 Qtde. DT</t>
  </si>
  <si>
    <t>AF nº 0049/2026 Qtde. DT</t>
  </si>
  <si>
    <t>AF nº 0450/2026 Qtde. DT</t>
  </si>
  <si>
    <t>AF nº 0518/2026 Qtde. DT</t>
  </si>
  <si>
    <t>AF nº 0698/2026 Qtde. DT</t>
  </si>
  <si>
    <t>AF nº 2253/2025 Qtde. DT</t>
  </si>
  <si>
    <t>AF nº 427/2026 Qtde. DT</t>
  </si>
  <si>
    <t>AF nº 2585/2025 Qtde. DT</t>
  </si>
  <si>
    <t>AF nº 2589/2025 Qtde. DT</t>
  </si>
  <si>
    <t>AF nº 0622/2026 Qtde. DT</t>
  </si>
  <si>
    <t xml:space="preserve">AF nº 2717/2025 Qtde. DT - </t>
  </si>
  <si>
    <t>AF nº 296/2026 Qtde. DT</t>
  </si>
  <si>
    <t>AF nº 297/2026 Qtde. DT</t>
  </si>
  <si>
    <t>AF nº 348/2026 Qtde. DT</t>
  </si>
  <si>
    <t>AF nº 656/2026 Qtde. DT</t>
  </si>
  <si>
    <t>AF nº 657/2026 Qtde. DT</t>
  </si>
  <si>
    <t>AF nº 660/2026 Qtde. DT</t>
  </si>
  <si>
    <t>Centro</t>
  </si>
  <si>
    <t>Total Registrado</t>
  </si>
  <si>
    <t>Total Gasto da Ata</t>
  </si>
  <si>
    <t>% Gasto da Ata</t>
  </si>
  <si>
    <t>Total Cedência Recebida</t>
  </si>
  <si>
    <t>Total Aditivado</t>
  </si>
  <si>
    <t>% Aditivado</t>
  </si>
  <si>
    <t>Total Gasto Com Aditivo</t>
  </si>
  <si>
    <t>% Gasto com Aditivos</t>
  </si>
  <si>
    <t>Total Registado + Aditivo</t>
  </si>
  <si>
    <t>REITORIA</t>
  </si>
  <si>
    <t>Atualizado em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</si>
</sst>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* #,##0.00\ &quot;€&quot;_-;\-* #,##0.00\ &quot;€&quot;_-;_-* &quot;-&quot;??\ &quot;€&quot;_-;_-@_-"/>
    <numFmt numFmtId="168" formatCode="_-[$R$-416]\ * #,##0.00_-;\-[$R$-416]\ * #,##0.00_-;_-[$R$-416]\ * &quot;-&quot;??_-;_-@_-"/>
    <numFmt numFmtId="169" formatCode="_-&quot;R$ &quot;* #,##0.00_-;&quot;-R$ &quot;* #,##0.00_-;_-&quot;R$ &quot;* \-??_-;_-@_-"/>
    <numFmt numFmtId="170" formatCode="_-* #,##0.00&quot; €&quot;_-;\-* #,##0.00&quot; €&quot;_-;_-* \-??&quot; €&quot;_-;_-@_-"/>
    <numFmt numFmtId="171" formatCode="_-* #,##0.00_-;\-* #,##0.00_-;_-* \-??_-;_-@_-"/>
    <numFmt numFmtId="172" formatCode="00"/>
    <numFmt numFmtId="173" formatCode="#,##0_ ;\-#,##0\ "/>
    <numFmt numFmtId="174" formatCode="_-* #,##0_-;\-* #,##0_-;_-* &quot;-&quot;??_-;_-@_-"/>
    <numFmt numFmtId="175" formatCode="000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1"/>
    </font>
    <font>
      <b/>
      <sz val="18"/>
      <color rgb="FF003366"/>
      <name val="Cambria"/>
      <family val="2"/>
      <charset val="1"/>
    </font>
    <font>
      <b/>
      <sz val="1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name val="Calibri"/>
      <family val="2"/>
      <scheme val="minor"/>
    </font>
    <font>
      <sz val="8"/>
      <name val="Arial"/>
      <family val="2"/>
    </font>
    <font>
      <u/>
      <sz val="16"/>
      <name val="Calibri"/>
      <family val="2"/>
      <scheme val="minor"/>
    </font>
    <font>
      <u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6FF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</font>
    <font>
      <b/>
      <sz val="12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indexed="81"/>
      <name val="Segoe UI"/>
      <family val="2"/>
    </font>
    <font>
      <sz val="10"/>
      <color indexed="81"/>
      <name val="Segoe UI"/>
      <family val="2"/>
    </font>
    <font>
      <sz val="11"/>
      <color theme="0" tint="-0.499984740745262"/>
      <name val="Calibri"/>
      <family val="2"/>
      <scheme val="minor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0"/>
      <color indexed="81"/>
      <name val="Segoe UI"/>
      <family val="2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FF"/>
      <name val="Arial"/>
      <family val="2"/>
    </font>
    <font>
      <b/>
      <u/>
      <sz val="10"/>
      <color indexed="81"/>
      <name val="Segoe UI"/>
      <family val="2"/>
    </font>
    <font>
      <b/>
      <sz val="16"/>
      <color rgb="FF0000FF"/>
      <name val="Calibri"/>
      <family val="2"/>
    </font>
    <font>
      <sz val="12"/>
      <color rgb="FF0000FF"/>
      <name val="Calibri"/>
      <family val="2"/>
    </font>
    <font>
      <sz val="10"/>
      <color rgb="FF0000FF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1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10"/>
      </patternFill>
    </fill>
    <fill>
      <patternFill patternType="solid">
        <fgColor rgb="FFFFFF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/>
        <bgColor rgb="FFFFFFFF"/>
      </patternFill>
    </fill>
    <fill>
      <patternFill patternType="solid">
        <fgColor rgb="FF66FF99"/>
        <bgColor indexed="64"/>
      </patternFill>
    </fill>
    <fill>
      <patternFill patternType="solid">
        <fgColor rgb="FFFF5050"/>
        <bgColor indexed="10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66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7">
    <xf numFmtId="0" fontId="0" fillId="0" borderId="0"/>
    <xf numFmtId="0" fontId="9" fillId="0" borderId="0"/>
    <xf numFmtId="164" fontId="9" fillId="0" borderId="0" applyFill="0" applyBorder="0" applyAlignment="0" applyProtection="0"/>
    <xf numFmtId="165" fontId="9" fillId="0" borderId="0" applyFill="0" applyBorder="0" applyAlignment="0" applyProtection="0"/>
    <xf numFmtId="0" fontId="10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9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169" fontId="9" fillId="0" borderId="0" applyBorder="0" applyProtection="0"/>
    <xf numFmtId="169" fontId="9" fillId="0" borderId="0" applyBorder="0" applyProtection="0"/>
    <xf numFmtId="170" fontId="9" fillId="0" borderId="0" applyBorder="0" applyProtection="0"/>
    <xf numFmtId="170" fontId="9" fillId="0" borderId="0" applyBorder="0" applyProtection="0"/>
    <xf numFmtId="169" fontId="9" fillId="0" borderId="0" applyBorder="0" applyProtection="0"/>
    <xf numFmtId="0" fontId="17" fillId="0" borderId="0"/>
    <xf numFmtId="9" fontId="9" fillId="0" borderId="0" applyBorder="0" applyProtection="0"/>
    <xf numFmtId="165" fontId="17" fillId="0" borderId="0" applyBorder="0" applyProtection="0"/>
    <xf numFmtId="171" fontId="17" fillId="0" borderId="0" applyBorder="0" applyProtection="0"/>
    <xf numFmtId="171" fontId="17" fillId="0" borderId="0" applyBorder="0" applyProtection="0"/>
    <xf numFmtId="171" fontId="17" fillId="0" borderId="0" applyBorder="0" applyProtection="0"/>
    <xf numFmtId="171" fontId="17" fillId="0" borderId="0" applyBorder="0" applyProtection="0"/>
    <xf numFmtId="165" fontId="17" fillId="0" borderId="0" applyBorder="0" applyProtection="0"/>
    <xf numFmtId="0" fontId="18" fillId="0" borderId="0" applyBorder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ill="0" applyBorder="0" applyAlignment="0" applyProtection="0"/>
    <xf numFmtId="43" fontId="9" fillId="0" borderId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22">
    <xf numFmtId="0" fontId="0" fillId="0" borderId="0" xfId="0"/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 applyProtection="1">
      <alignment wrapText="1"/>
      <protection locked="0"/>
    </xf>
    <xf numFmtId="3" fontId="11" fillId="0" borderId="0" xfId="1" applyNumberFormat="1" applyFont="1" applyAlignment="1" applyProtection="1">
      <alignment wrapText="1"/>
      <protection locked="0"/>
    </xf>
    <xf numFmtId="44" fontId="11" fillId="5" borderId="1" xfId="1" applyNumberFormat="1" applyFont="1" applyFill="1" applyBorder="1" applyAlignment="1">
      <alignment vertical="center" wrapText="1"/>
    </xf>
    <xf numFmtId="44" fontId="11" fillId="5" borderId="1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>
      <alignment horizontal="center" vertical="center" wrapText="1"/>
    </xf>
    <xf numFmtId="166" fontId="11" fillId="2" borderId="1" xfId="1" applyNumberFormat="1" applyFont="1" applyFill="1" applyBorder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166" fontId="11" fillId="0" borderId="0" xfId="0" applyNumberFormat="1" applyFont="1" applyAlignment="1">
      <alignment horizontal="center" vertical="center" wrapText="1"/>
    </xf>
    <xf numFmtId="44" fontId="11" fillId="0" borderId="0" xfId="5" applyFont="1" applyFill="1" applyAlignment="1">
      <alignment horizontal="center" vertical="center" wrapText="1"/>
    </xf>
    <xf numFmtId="168" fontId="11" fillId="2" borderId="1" xfId="3" applyNumberFormat="1" applyFont="1" applyFill="1" applyBorder="1" applyAlignment="1" applyProtection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14" fontId="11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11" fillId="9" borderId="10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8" fontId="11" fillId="2" borderId="4" xfId="3" applyNumberFormat="1" applyFont="1" applyFill="1" applyBorder="1" applyAlignment="1" applyProtection="1">
      <alignment horizontal="center" vertical="center" wrapText="1"/>
    </xf>
    <xf numFmtId="0" fontId="11" fillId="9" borderId="4" xfId="1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4" fontId="11" fillId="5" borderId="10" xfId="1" applyNumberFormat="1" applyFont="1" applyFill="1" applyBorder="1" applyAlignment="1">
      <alignment horizontal="center" vertical="center" wrapText="1"/>
    </xf>
    <xf numFmtId="3" fontId="11" fillId="10" borderId="10" xfId="0" applyNumberFormat="1" applyFont="1" applyFill="1" applyBorder="1" applyAlignment="1">
      <alignment horizontal="center" vertical="center" wrapText="1"/>
    </xf>
    <xf numFmtId="166" fontId="11" fillId="2" borderId="10" xfId="1" applyNumberFormat="1" applyFont="1" applyFill="1" applyBorder="1" applyAlignment="1">
      <alignment horizontal="center" vertical="center" wrapText="1"/>
    </xf>
    <xf numFmtId="168" fontId="11" fillId="2" borderId="10" xfId="3" applyNumberFormat="1" applyFont="1" applyFill="1" applyBorder="1" applyAlignment="1" applyProtection="1">
      <alignment horizontal="center" vertical="center" wrapText="1"/>
    </xf>
    <xf numFmtId="3" fontId="11" fillId="13" borderId="10" xfId="0" applyNumberFormat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44" fontId="11" fillId="0" borderId="0" xfId="1" applyNumberFormat="1" applyFont="1" applyAlignment="1">
      <alignment wrapText="1"/>
    </xf>
    <xf numFmtId="1" fontId="11" fillId="13" borderId="4" xfId="0" applyNumberFormat="1" applyFont="1" applyFill="1" applyBorder="1" applyAlignment="1">
      <alignment horizontal="center" vertical="center" wrapText="1"/>
    </xf>
    <xf numFmtId="3" fontId="11" fillId="15" borderId="4" xfId="0" applyNumberFormat="1" applyFont="1" applyFill="1" applyBorder="1" applyAlignment="1">
      <alignment horizontal="center" vertical="center" wrapText="1"/>
    </xf>
    <xf numFmtId="3" fontId="11" fillId="16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12" borderId="10" xfId="0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11" fillId="10" borderId="1" xfId="0" applyNumberFormat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wrapText="1"/>
    </xf>
    <xf numFmtId="3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3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166" fontId="13" fillId="17" borderId="14" xfId="1" applyNumberFormat="1" applyFont="1" applyFill="1" applyBorder="1" applyAlignment="1">
      <alignment horizontal="center" vertical="center" wrapText="1"/>
    </xf>
    <xf numFmtId="166" fontId="13" fillId="17" borderId="15" xfId="1" applyNumberFormat="1" applyFont="1" applyFill="1" applyBorder="1" applyAlignment="1">
      <alignment horizontal="center" vertical="center" wrapText="1"/>
    </xf>
    <xf numFmtId="166" fontId="13" fillId="18" borderId="15" xfId="1" applyNumberFormat="1" applyFont="1" applyFill="1" applyBorder="1" applyAlignment="1">
      <alignment horizontal="center" vertical="center" wrapText="1"/>
    </xf>
    <xf numFmtId="166" fontId="13" fillId="19" borderId="15" xfId="1" applyNumberFormat="1" applyFont="1" applyFill="1" applyBorder="1" applyAlignment="1">
      <alignment horizontal="center" vertical="center" wrapText="1"/>
    </xf>
    <xf numFmtId="166" fontId="13" fillId="14" borderId="15" xfId="1" applyNumberFormat="1" applyFont="1" applyFill="1" applyBorder="1" applyAlignment="1">
      <alignment horizontal="center" vertical="center" wrapText="1"/>
    </xf>
    <xf numFmtId="166" fontId="13" fillId="14" borderId="15" xfId="1" quotePrefix="1" applyNumberFormat="1" applyFont="1" applyFill="1" applyBorder="1" applyAlignment="1">
      <alignment horizontal="center" vertical="center" wrapText="1"/>
    </xf>
    <xf numFmtId="166" fontId="13" fillId="14" borderId="16" xfId="1" applyNumberFormat="1" applyFont="1" applyFill="1" applyBorder="1" applyAlignment="1">
      <alignment horizontal="center" vertical="center" wrapText="1"/>
    </xf>
    <xf numFmtId="166" fontId="11" fillId="17" borderId="12" xfId="0" applyNumberFormat="1" applyFont="1" applyFill="1" applyBorder="1" applyAlignment="1">
      <alignment horizontal="center" vertical="center" wrapText="1"/>
    </xf>
    <xf numFmtId="166" fontId="11" fillId="17" borderId="4" xfId="0" applyNumberFormat="1" applyFont="1" applyFill="1" applyBorder="1" applyAlignment="1">
      <alignment horizontal="center" vertical="center" wrapText="1"/>
    </xf>
    <xf numFmtId="166" fontId="11" fillId="18" borderId="10" xfId="0" applyNumberFormat="1" applyFont="1" applyFill="1" applyBorder="1" applyAlignment="1">
      <alignment horizontal="center" vertical="center" wrapText="1"/>
    </xf>
    <xf numFmtId="166" fontId="11" fillId="18" borderId="4" xfId="0" applyNumberFormat="1" applyFont="1" applyFill="1" applyBorder="1" applyAlignment="1">
      <alignment horizontal="center" vertical="center" wrapText="1"/>
    </xf>
    <xf numFmtId="166" fontId="11" fillId="19" borderId="10" xfId="0" applyNumberFormat="1" applyFont="1" applyFill="1" applyBorder="1" applyAlignment="1">
      <alignment horizontal="center" vertical="center" wrapText="1"/>
    </xf>
    <xf numFmtId="166" fontId="11" fillId="19" borderId="4" xfId="0" applyNumberFormat="1" applyFont="1" applyFill="1" applyBorder="1" applyAlignment="1">
      <alignment horizontal="center" vertical="center" wrapText="1"/>
    </xf>
    <xf numFmtId="166" fontId="11" fillId="14" borderId="10" xfId="0" applyNumberFormat="1" applyFont="1" applyFill="1" applyBorder="1" applyAlignment="1">
      <alignment horizontal="center" vertical="center" wrapText="1"/>
    </xf>
    <xf numFmtId="166" fontId="11" fillId="14" borderId="4" xfId="0" applyNumberFormat="1" applyFont="1" applyFill="1" applyBorder="1" applyAlignment="1">
      <alignment horizontal="center" vertical="center" wrapText="1"/>
    </xf>
    <xf numFmtId="166" fontId="11" fillId="14" borderId="13" xfId="0" applyNumberFormat="1" applyFont="1" applyFill="1" applyBorder="1" applyAlignment="1">
      <alignment horizontal="center" vertical="center" wrapText="1"/>
    </xf>
    <xf numFmtId="166" fontId="21" fillId="20" borderId="6" xfId="1" applyNumberFormat="1" applyFont="1" applyFill="1" applyBorder="1" applyAlignment="1">
      <alignment horizontal="center" vertical="center" wrapText="1"/>
    </xf>
    <xf numFmtId="0" fontId="21" fillId="20" borderId="10" xfId="1" applyFont="1" applyFill="1" applyBorder="1" applyAlignment="1" applyProtection="1">
      <alignment horizontal="center" vertical="center" wrapText="1"/>
      <protection locked="0"/>
    </xf>
    <xf numFmtId="166" fontId="11" fillId="20" borderId="6" xfId="0" applyNumberFormat="1" applyFont="1" applyFill="1" applyBorder="1" applyAlignment="1">
      <alignment horizontal="center" vertical="center" wrapText="1"/>
    </xf>
    <xf numFmtId="166" fontId="11" fillId="20" borderId="5" xfId="0" applyNumberFormat="1" applyFont="1" applyFill="1" applyBorder="1" applyAlignment="1">
      <alignment horizontal="center" vertical="center" wrapText="1"/>
    </xf>
    <xf numFmtId="3" fontId="11" fillId="21" borderId="4" xfId="1" applyNumberFormat="1" applyFont="1" applyFill="1" applyBorder="1" applyAlignment="1" applyProtection="1">
      <alignment horizontal="center" vertical="center" wrapText="1"/>
      <protection locked="0"/>
    </xf>
    <xf numFmtId="166" fontId="11" fillId="20" borderId="10" xfId="0" applyNumberFormat="1" applyFont="1" applyFill="1" applyBorder="1" applyAlignment="1">
      <alignment horizontal="center" vertical="center" wrapText="1"/>
    </xf>
    <xf numFmtId="168" fontId="11" fillId="5" borderId="1" xfId="3" applyNumberFormat="1" applyFont="1" applyFill="1" applyBorder="1" applyAlignment="1" applyProtection="1">
      <alignment horizontal="center" vertical="center" wrapText="1"/>
    </xf>
    <xf numFmtId="0" fontId="11" fillId="0" borderId="0" xfId="1" applyFont="1"/>
    <xf numFmtId="0" fontId="19" fillId="24" borderId="20" xfId="0" applyFont="1" applyFill="1" applyBorder="1" applyAlignment="1">
      <alignment horizontal="center" vertical="center" wrapText="1"/>
    </xf>
    <xf numFmtId="44" fontId="19" fillId="24" borderId="20" xfId="9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 wrapText="1"/>
    </xf>
    <xf numFmtId="166" fontId="19" fillId="6" borderId="10" xfId="1" applyNumberFormat="1" applyFont="1" applyFill="1" applyBorder="1" applyAlignment="1">
      <alignment horizontal="center" vertical="center" wrapText="1"/>
    </xf>
    <xf numFmtId="0" fontId="13" fillId="6" borderId="10" xfId="1" applyFont="1" applyFill="1" applyBorder="1" applyAlignment="1" applyProtection="1">
      <alignment horizontal="center" vertical="center" wrapText="1"/>
      <protection locked="0"/>
    </xf>
    <xf numFmtId="0" fontId="11" fillId="2" borderId="10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center"/>
    </xf>
    <xf numFmtId="172" fontId="20" fillId="7" borderId="10" xfId="0" applyNumberFormat="1" applyFont="1" applyFill="1" applyBorder="1" applyAlignment="1" applyProtection="1">
      <alignment horizontal="center" vertical="center"/>
      <protection locked="0"/>
    </xf>
    <xf numFmtId="0" fontId="0" fillId="7" borderId="10" xfId="0" applyFill="1" applyBorder="1" applyAlignment="1" applyProtection="1">
      <alignment horizontal="justify" vertical="top" wrapText="1"/>
      <protection locked="0"/>
    </xf>
    <xf numFmtId="0" fontId="14" fillId="7" borderId="10" xfId="0" applyFont="1" applyFill="1" applyBorder="1" applyAlignment="1" applyProtection="1">
      <alignment horizontal="center" vertical="center" wrapText="1"/>
      <protection locked="0"/>
    </xf>
    <xf numFmtId="0" fontId="0" fillId="7" borderId="10" xfId="0" applyFill="1" applyBorder="1" applyAlignment="1" applyProtection="1">
      <alignment horizontal="center" vertical="center" wrapText="1"/>
      <protection locked="0"/>
    </xf>
    <xf numFmtId="0" fontId="11" fillId="25" borderId="21" xfId="0" applyFont="1" applyFill="1" applyBorder="1" applyAlignment="1">
      <alignment horizontal="center" vertical="center"/>
    </xf>
    <xf numFmtId="44" fontId="0" fillId="7" borderId="10" xfId="9" applyFont="1" applyFill="1" applyBorder="1" applyAlignment="1" applyProtection="1">
      <alignment horizontal="center" vertical="center" wrapText="1"/>
      <protection locked="0"/>
    </xf>
    <xf numFmtId="0" fontId="11" fillId="10" borderId="10" xfId="0" applyFont="1" applyFill="1" applyBorder="1" applyAlignment="1">
      <alignment horizontal="center" vertical="center" wrapText="1"/>
    </xf>
    <xf numFmtId="3" fontId="11" fillId="15" borderId="10" xfId="0" applyNumberFormat="1" applyFont="1" applyFill="1" applyBorder="1" applyAlignment="1">
      <alignment horizontal="center" vertical="center" wrapText="1"/>
    </xf>
    <xf numFmtId="166" fontId="11" fillId="26" borderId="10" xfId="0" applyNumberFormat="1" applyFont="1" applyFill="1" applyBorder="1" applyAlignment="1">
      <alignment horizontal="center" vertical="center" wrapText="1"/>
    </xf>
    <xf numFmtId="3" fontId="11" fillId="27" borderId="10" xfId="1" applyNumberFormat="1" applyFont="1" applyFill="1" applyBorder="1" applyAlignment="1" applyProtection="1">
      <alignment horizontal="center" vertical="center"/>
      <protection locked="0"/>
    </xf>
    <xf numFmtId="3" fontId="11" fillId="28" borderId="10" xfId="1" applyNumberFormat="1" applyFont="1" applyFill="1" applyBorder="1" applyAlignment="1" applyProtection="1">
      <alignment horizontal="center" vertical="center"/>
      <protection locked="0"/>
    </xf>
    <xf numFmtId="44" fontId="0" fillId="7" borderId="7" xfId="9" applyFont="1" applyFill="1" applyBorder="1" applyAlignment="1" applyProtection="1">
      <alignment horizontal="center" vertical="center" wrapText="1"/>
      <protection locked="0"/>
    </xf>
    <xf numFmtId="0" fontId="37" fillId="25" borderId="21" xfId="0" applyFont="1" applyFill="1" applyBorder="1" applyAlignment="1">
      <alignment horizontal="center" vertical="center"/>
    </xf>
    <xf numFmtId="44" fontId="0" fillId="4" borderId="7" xfId="9" applyFont="1" applyFill="1" applyBorder="1" applyAlignment="1" applyProtection="1">
      <alignment horizontal="center" vertical="center" wrapText="1"/>
      <protection locked="0"/>
    </xf>
    <xf numFmtId="172" fontId="20" fillId="12" borderId="10" xfId="0" applyNumberFormat="1" applyFont="1" applyFill="1" applyBorder="1" applyAlignment="1" applyProtection="1">
      <alignment horizontal="center" vertical="center"/>
      <protection locked="0"/>
    </xf>
    <xf numFmtId="0" fontId="0" fillId="12" borderId="10" xfId="0" applyFill="1" applyBorder="1" applyAlignment="1" applyProtection="1">
      <alignment horizontal="justify" vertical="top" wrapText="1"/>
      <protection locked="0"/>
    </xf>
    <xf numFmtId="0" fontId="14" fillId="12" borderId="10" xfId="0" applyFont="1" applyFill="1" applyBorder="1" applyAlignment="1" applyProtection="1">
      <alignment horizontal="center" vertical="center" wrapText="1"/>
      <protection locked="0"/>
    </xf>
    <xf numFmtId="0" fontId="0" fillId="12" borderId="10" xfId="0" applyFill="1" applyBorder="1" applyAlignment="1" applyProtection="1">
      <alignment horizontal="center" vertical="center" wrapText="1"/>
      <protection locked="0"/>
    </xf>
    <xf numFmtId="0" fontId="11" fillId="25" borderId="10" xfId="0" applyFont="1" applyFill="1" applyBorder="1" applyAlignment="1">
      <alignment horizontal="center" vertical="center"/>
    </xf>
    <xf numFmtId="44" fontId="0" fillId="12" borderId="7" xfId="9" applyFont="1" applyFill="1" applyBorder="1" applyAlignment="1" applyProtection="1">
      <alignment horizontal="center" vertical="center" wrapText="1"/>
      <protection locked="0"/>
    </xf>
    <xf numFmtId="172" fontId="33" fillId="0" borderId="10" xfId="0" applyNumberFormat="1" applyFont="1" applyBorder="1" applyAlignment="1" applyProtection="1">
      <alignment horizontal="center" vertical="center"/>
      <protection locked="0"/>
    </xf>
    <xf numFmtId="172" fontId="20" fillId="0" borderId="10" xfId="0" applyNumberFormat="1" applyFont="1" applyBorder="1" applyAlignment="1" applyProtection="1">
      <alignment horizontal="center" vertical="center"/>
      <protection locked="0"/>
    </xf>
    <xf numFmtId="172" fontId="34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justify" vertical="top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44" fontId="0" fillId="0" borderId="7" xfId="9" applyFont="1" applyFill="1" applyBorder="1" applyAlignment="1" applyProtection="1">
      <alignment horizontal="center" vertical="center" wrapText="1"/>
      <protection locked="0"/>
    </xf>
    <xf numFmtId="172" fontId="33" fillId="12" borderId="10" xfId="0" applyNumberFormat="1" applyFont="1" applyFill="1" applyBorder="1" applyAlignment="1" applyProtection="1">
      <alignment horizontal="center" vertical="center"/>
      <protection locked="0"/>
    </xf>
    <xf numFmtId="172" fontId="34" fillId="1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12" borderId="10" xfId="0" applyFont="1" applyFill="1" applyBorder="1" applyAlignment="1" applyProtection="1">
      <alignment horizontal="center" vertical="center" wrapText="1"/>
      <protection locked="0"/>
    </xf>
    <xf numFmtId="172" fontId="33" fillId="7" borderId="10" xfId="0" applyNumberFormat="1" applyFont="1" applyFill="1" applyBorder="1" applyAlignment="1" applyProtection="1">
      <alignment horizontal="center" vertical="center"/>
      <protection locked="0"/>
    </xf>
    <xf numFmtId="172" fontId="34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37" fillId="7" borderId="10" xfId="0" applyFont="1" applyFill="1" applyBorder="1" applyAlignment="1">
      <alignment horizontal="center" vertical="center"/>
    </xf>
    <xf numFmtId="0" fontId="0" fillId="12" borderId="10" xfId="0" applyFill="1" applyBorder="1" applyAlignment="1">
      <alignment horizontal="justify" vertical="top" wrapText="1"/>
    </xf>
    <xf numFmtId="0" fontId="14" fillId="1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72" fontId="34" fillId="12" borderId="10" xfId="0" applyNumberFormat="1" applyFont="1" applyFill="1" applyBorder="1" applyAlignment="1" applyProtection="1">
      <alignment horizontal="center" vertical="center" wrapText="1"/>
      <protection locked="0"/>
    </xf>
    <xf numFmtId="44" fontId="0" fillId="12" borderId="10" xfId="9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173" fontId="13" fillId="0" borderId="0" xfId="1" applyNumberFormat="1" applyFont="1"/>
    <xf numFmtId="0" fontId="13" fillId="0" borderId="0" xfId="1" applyFont="1"/>
    <xf numFmtId="174" fontId="38" fillId="0" borderId="0" xfId="1" applyNumberFormat="1" applyFont="1" applyAlignment="1" applyProtection="1">
      <alignment horizontal="center"/>
      <protection locked="0"/>
    </xf>
    <xf numFmtId="174" fontId="38" fillId="0" borderId="0" xfId="1" applyNumberFormat="1" applyFont="1" applyProtection="1">
      <protection locked="0"/>
    </xf>
    <xf numFmtId="3" fontId="13" fillId="0" borderId="0" xfId="1" applyNumberFormat="1" applyFont="1" applyProtection="1">
      <protection locked="0"/>
    </xf>
    <xf numFmtId="3" fontId="11" fillId="0" borderId="0" xfId="1" applyNumberFormat="1" applyFont="1" applyProtection="1">
      <protection locked="0"/>
    </xf>
    <xf numFmtId="0" fontId="11" fillId="0" borderId="0" xfId="1" applyFont="1" applyProtection="1">
      <protection locked="0"/>
    </xf>
    <xf numFmtId="0" fontId="11" fillId="0" borderId="0" xfId="0" applyFont="1"/>
    <xf numFmtId="44" fontId="0" fillId="4" borderId="10" xfId="9" applyFont="1" applyFill="1" applyBorder="1" applyAlignment="1" applyProtection="1">
      <alignment horizontal="center" vertical="center" wrapText="1"/>
      <protection locked="0"/>
    </xf>
    <xf numFmtId="14" fontId="19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>
      <alignment horizontal="center" vertical="center" wrapText="1"/>
    </xf>
    <xf numFmtId="0" fontId="11" fillId="6" borderId="10" xfId="1" applyFont="1" applyFill="1" applyBorder="1" applyAlignment="1" applyProtection="1">
      <alignment horizontal="center" vertical="center" wrapText="1"/>
      <protection locked="0"/>
    </xf>
    <xf numFmtId="172" fontId="11" fillId="7" borderId="10" xfId="0" applyNumberFormat="1" applyFont="1" applyFill="1" applyBorder="1" applyAlignment="1" applyProtection="1">
      <alignment horizontal="center" vertical="center"/>
      <protection locked="0"/>
    </xf>
    <xf numFmtId="0" fontId="11" fillId="7" borderId="10" xfId="0" applyFont="1" applyFill="1" applyBorder="1" applyAlignment="1" applyProtection="1">
      <alignment horizontal="justify" vertical="top" wrapText="1"/>
      <protection locked="0"/>
    </xf>
    <xf numFmtId="0" fontId="11" fillId="7" borderId="10" xfId="0" applyFont="1" applyFill="1" applyBorder="1" applyAlignment="1" applyProtection="1">
      <alignment horizontal="center" vertical="center" wrapText="1"/>
      <protection locked="0"/>
    </xf>
    <xf numFmtId="44" fontId="11" fillId="7" borderId="10" xfId="9" applyFont="1" applyFill="1" applyBorder="1" applyAlignment="1" applyProtection="1">
      <alignment horizontal="center" vertical="center" wrapText="1"/>
      <protection locked="0"/>
    </xf>
    <xf numFmtId="44" fontId="11" fillId="7" borderId="7" xfId="9" applyFont="1" applyFill="1" applyBorder="1" applyAlignment="1" applyProtection="1">
      <alignment horizontal="center" vertical="center" wrapText="1"/>
      <protection locked="0"/>
    </xf>
    <xf numFmtId="172" fontId="11" fillId="12" borderId="10" xfId="0" applyNumberFormat="1" applyFont="1" applyFill="1" applyBorder="1" applyAlignment="1" applyProtection="1">
      <alignment horizontal="center" vertical="center"/>
      <protection locked="0"/>
    </xf>
    <xf numFmtId="0" fontId="11" fillId="12" borderId="10" xfId="0" applyFont="1" applyFill="1" applyBorder="1" applyAlignment="1" applyProtection="1">
      <alignment horizontal="justify" vertical="top" wrapText="1"/>
      <protection locked="0"/>
    </xf>
    <xf numFmtId="44" fontId="11" fillId="12" borderId="7" xfId="9" applyFont="1" applyFill="1" applyBorder="1" applyAlignment="1" applyProtection="1">
      <alignment horizontal="center" vertical="center" wrapText="1"/>
      <protection locked="0"/>
    </xf>
    <xf numFmtId="172" fontId="19" fillId="0" borderId="10" xfId="0" applyNumberFormat="1" applyFont="1" applyBorder="1" applyAlignment="1" applyProtection="1">
      <alignment horizontal="center" vertical="center"/>
      <protection locked="0"/>
    </xf>
    <xf numFmtId="172" fontId="11" fillId="0" borderId="10" xfId="0" applyNumberFormat="1" applyFont="1" applyBorder="1" applyAlignment="1" applyProtection="1">
      <alignment horizontal="center" vertical="center"/>
      <protection locked="0"/>
    </xf>
    <xf numFmtId="172" fontId="19" fillId="0" borderId="7" xfId="0" applyNumberFormat="1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justify" vertical="top" wrapText="1"/>
      <protection locked="0"/>
    </xf>
    <xf numFmtId="44" fontId="11" fillId="0" borderId="7" xfId="9" applyFont="1" applyFill="1" applyBorder="1" applyAlignment="1" applyProtection="1">
      <alignment horizontal="center" vertical="center" wrapText="1"/>
      <protection locked="0"/>
    </xf>
    <xf numFmtId="172" fontId="19" fillId="12" borderId="10" xfId="0" applyNumberFormat="1" applyFont="1" applyFill="1" applyBorder="1" applyAlignment="1" applyProtection="1">
      <alignment horizontal="center" vertical="center"/>
      <protection locked="0"/>
    </xf>
    <xf numFmtId="172" fontId="19" fillId="12" borderId="7" xfId="0" applyNumberFormat="1" applyFont="1" applyFill="1" applyBorder="1" applyAlignment="1" applyProtection="1">
      <alignment horizontal="center" vertical="center" wrapText="1"/>
      <protection locked="0"/>
    </xf>
    <xf numFmtId="172" fontId="19" fillId="7" borderId="10" xfId="0" applyNumberFormat="1" applyFont="1" applyFill="1" applyBorder="1" applyAlignment="1" applyProtection="1">
      <alignment horizontal="center" vertical="center"/>
      <protection locked="0"/>
    </xf>
    <xf numFmtId="172" fontId="19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12" borderId="10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justify" vertical="top" wrapText="1"/>
    </xf>
    <xf numFmtId="172" fontId="19" fillId="12" borderId="10" xfId="0" applyNumberFormat="1" applyFont="1" applyFill="1" applyBorder="1" applyAlignment="1" applyProtection="1">
      <alignment horizontal="center" vertical="center" wrapText="1"/>
      <protection locked="0"/>
    </xf>
    <xf numFmtId="44" fontId="11" fillId="12" borderId="10" xfId="9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174" fontId="41" fillId="0" borderId="0" xfId="1" applyNumberFormat="1" applyFont="1" applyAlignment="1" applyProtection="1">
      <alignment horizontal="center"/>
      <protection locked="0"/>
    </xf>
    <xf numFmtId="44" fontId="11" fillId="0" borderId="0" xfId="9" applyFont="1" applyProtection="1">
      <protection locked="0"/>
    </xf>
    <xf numFmtId="0" fontId="11" fillId="0" borderId="0" xfId="0" applyFont="1" applyProtection="1">
      <protection locked="0"/>
    </xf>
    <xf numFmtId="0" fontId="42" fillId="12" borderId="10" xfId="0" applyFont="1" applyFill="1" applyBorder="1" applyAlignment="1" applyProtection="1">
      <alignment horizontal="center" vertical="center" wrapText="1"/>
      <protection locked="0"/>
    </xf>
    <xf numFmtId="0" fontId="42" fillId="12" borderId="10" xfId="0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49" fontId="42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172" fontId="46" fillId="7" borderId="7" xfId="0" applyNumberFormat="1" applyFont="1" applyFill="1" applyBorder="1" applyAlignment="1" applyProtection="1">
      <alignment horizontal="center" vertical="center" wrapText="1"/>
      <protection locked="0"/>
    </xf>
    <xf numFmtId="172" fontId="46" fillId="12" borderId="7" xfId="0" applyNumberFormat="1" applyFont="1" applyFill="1" applyBorder="1" applyAlignment="1" applyProtection="1">
      <alignment horizontal="center" vertical="center" wrapText="1"/>
      <protection locked="0"/>
    </xf>
    <xf numFmtId="172" fontId="46" fillId="7" borderId="10" xfId="0" applyNumberFormat="1" applyFont="1" applyFill="1" applyBorder="1" applyAlignment="1" applyProtection="1">
      <alignment horizontal="center" vertical="center"/>
      <protection locked="0"/>
    </xf>
    <xf numFmtId="172" fontId="47" fillId="7" borderId="10" xfId="0" applyNumberFormat="1" applyFont="1" applyFill="1" applyBorder="1" applyAlignment="1" applyProtection="1">
      <alignment horizontal="center" vertical="center"/>
      <protection locked="0"/>
    </xf>
    <xf numFmtId="172" fontId="46" fillId="12" borderId="10" xfId="0" applyNumberFormat="1" applyFont="1" applyFill="1" applyBorder="1" applyAlignment="1" applyProtection="1">
      <alignment horizontal="center" vertical="center"/>
      <protection locked="0"/>
    </xf>
    <xf numFmtId="172" fontId="47" fillId="12" borderId="10" xfId="0" applyNumberFormat="1" applyFont="1" applyFill="1" applyBorder="1" applyAlignment="1" applyProtection="1">
      <alignment horizontal="center" vertical="center"/>
      <protection locked="0"/>
    </xf>
    <xf numFmtId="0" fontId="47" fillId="7" borderId="10" xfId="0" applyFont="1" applyFill="1" applyBorder="1" applyAlignment="1" applyProtection="1">
      <alignment horizontal="justify" vertical="top" wrapText="1"/>
      <protection locked="0"/>
    </xf>
    <xf numFmtId="0" fontId="46" fillId="7" borderId="10" xfId="0" applyFont="1" applyFill="1" applyBorder="1" applyAlignment="1" applyProtection="1">
      <alignment horizontal="center" vertical="center" wrapText="1"/>
      <protection locked="0"/>
    </xf>
    <xf numFmtId="0" fontId="47" fillId="7" borderId="10" xfId="0" applyFont="1" applyFill="1" applyBorder="1" applyAlignment="1" applyProtection="1">
      <alignment horizontal="center" vertical="center" wrapText="1"/>
      <protection locked="0"/>
    </xf>
    <xf numFmtId="0" fontId="48" fillId="7" borderId="10" xfId="0" applyFont="1" applyFill="1" applyBorder="1" applyAlignment="1" applyProtection="1">
      <alignment horizontal="center" vertical="center" wrapText="1"/>
      <protection locked="0"/>
    </xf>
    <xf numFmtId="44" fontId="47" fillId="7" borderId="7" xfId="9" applyFont="1" applyFill="1" applyBorder="1" applyAlignment="1" applyProtection="1">
      <alignment horizontal="center" vertical="center" wrapText="1"/>
      <protection locked="0"/>
    </xf>
    <xf numFmtId="0" fontId="47" fillId="12" borderId="10" xfId="0" applyFont="1" applyFill="1" applyBorder="1" applyAlignment="1" applyProtection="1">
      <alignment horizontal="justify" vertical="top" wrapText="1"/>
      <protection locked="0"/>
    </xf>
    <xf numFmtId="0" fontId="46" fillId="12" borderId="10" xfId="0" applyFont="1" applyFill="1" applyBorder="1" applyAlignment="1" applyProtection="1">
      <alignment horizontal="center" vertical="center" wrapText="1"/>
      <protection locked="0"/>
    </xf>
    <xf numFmtId="0" fontId="47" fillId="12" borderId="10" xfId="0" applyFont="1" applyFill="1" applyBorder="1" applyAlignment="1" applyProtection="1">
      <alignment horizontal="center" vertical="center" wrapText="1"/>
      <protection locked="0"/>
    </xf>
    <xf numFmtId="0" fontId="48" fillId="12" borderId="10" xfId="0" applyFont="1" applyFill="1" applyBorder="1" applyAlignment="1" applyProtection="1">
      <alignment horizontal="center" vertical="center" wrapText="1"/>
      <protection locked="0"/>
    </xf>
    <xf numFmtId="44" fontId="47" fillId="12" borderId="7" xfId="9" applyFont="1" applyFill="1" applyBorder="1" applyAlignment="1" applyProtection="1">
      <alignment horizontal="center" vertical="center" wrapText="1"/>
      <protection locked="0"/>
    </xf>
    <xf numFmtId="175" fontId="19" fillId="12" borderId="10" xfId="0" applyNumberFormat="1" applyFont="1" applyFill="1" applyBorder="1" applyAlignment="1" applyProtection="1">
      <alignment horizontal="center" vertical="center" wrapText="1"/>
      <protection locked="0"/>
    </xf>
    <xf numFmtId="172" fontId="50" fillId="0" borderId="10" xfId="0" applyNumberFormat="1" applyFont="1" applyBorder="1" applyAlignment="1" applyProtection="1">
      <alignment horizontal="center" vertical="center"/>
      <protection locked="0"/>
    </xf>
    <xf numFmtId="172" fontId="51" fillId="0" borderId="10" xfId="0" applyNumberFormat="1" applyFont="1" applyBorder="1" applyAlignment="1" applyProtection="1">
      <alignment horizontal="center" vertical="center"/>
      <protection locked="0"/>
    </xf>
    <xf numFmtId="0" fontId="52" fillId="0" borderId="10" xfId="0" applyFont="1" applyBorder="1" applyAlignment="1" applyProtection="1">
      <alignment horizontal="justify" vertical="top" wrapText="1"/>
      <protection locked="0"/>
    </xf>
    <xf numFmtId="0" fontId="47" fillId="0" borderId="10" xfId="0" applyFont="1" applyBorder="1" applyAlignment="1" applyProtection="1">
      <alignment horizontal="center" vertical="center" wrapText="1"/>
      <protection locked="0"/>
    </xf>
    <xf numFmtId="0" fontId="47" fillId="25" borderId="10" xfId="0" applyFont="1" applyFill="1" applyBorder="1" applyAlignment="1">
      <alignment horizontal="center" vertical="center"/>
    </xf>
    <xf numFmtId="172" fontId="50" fillId="12" borderId="10" xfId="0" applyNumberFormat="1" applyFont="1" applyFill="1" applyBorder="1" applyAlignment="1" applyProtection="1">
      <alignment horizontal="center" vertical="center"/>
      <protection locked="0"/>
    </xf>
    <xf numFmtId="172" fontId="51" fillId="12" borderId="10" xfId="0" applyNumberFormat="1" applyFont="1" applyFill="1" applyBorder="1" applyAlignment="1" applyProtection="1">
      <alignment horizontal="center" vertical="center"/>
      <protection locked="0"/>
    </xf>
    <xf numFmtId="0" fontId="52" fillId="12" borderId="10" xfId="0" applyFont="1" applyFill="1" applyBorder="1" applyAlignment="1" applyProtection="1">
      <alignment horizontal="justify" vertical="top" wrapText="1"/>
      <protection locked="0"/>
    </xf>
    <xf numFmtId="0" fontId="13" fillId="4" borderId="10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1" fillId="29" borderId="10" xfId="0" applyFont="1" applyFill="1" applyBorder="1" applyAlignment="1">
      <alignment horizontal="center" vertical="center"/>
    </xf>
    <xf numFmtId="0" fontId="37" fillId="29" borderId="10" xfId="0" applyFont="1" applyFill="1" applyBorder="1" applyAlignment="1">
      <alignment horizontal="center" vertical="center"/>
    </xf>
    <xf numFmtId="0" fontId="37" fillId="12" borderId="10" xfId="0" applyFont="1" applyFill="1" applyBorder="1" applyAlignment="1">
      <alignment horizontal="center" vertical="center"/>
    </xf>
    <xf numFmtId="0" fontId="11" fillId="12" borderId="10" xfId="0" applyFont="1" applyFill="1" applyBorder="1" applyAlignment="1">
      <alignment horizontal="center" vertical="center"/>
    </xf>
    <xf numFmtId="0" fontId="13" fillId="4" borderId="10" xfId="0" applyFont="1" applyFill="1" applyBorder="1" applyAlignment="1" applyProtection="1">
      <alignment horizontal="center" vertical="center" wrapText="1"/>
      <protection locked="0"/>
    </xf>
    <xf numFmtId="0" fontId="13" fillId="4" borderId="7" xfId="0" applyFont="1" applyFill="1" applyBorder="1" applyAlignment="1" applyProtection="1">
      <alignment horizontal="center" vertical="center" wrapText="1"/>
      <protection locked="0"/>
    </xf>
    <xf numFmtId="3" fontId="11" fillId="0" borderId="0" xfId="1" applyNumberFormat="1" applyFont="1" applyAlignment="1">
      <alignment horizontal="center" vertical="center" wrapText="1"/>
    </xf>
    <xf numFmtId="0" fontId="47" fillId="29" borderId="10" xfId="0" applyFont="1" applyFill="1" applyBorder="1" applyAlignment="1">
      <alignment horizontal="center" vertical="center"/>
    </xf>
    <xf numFmtId="0" fontId="19" fillId="7" borderId="10" xfId="0" applyFont="1" applyFill="1" applyBorder="1" applyAlignment="1" applyProtection="1">
      <alignment horizontal="center" vertical="center" wrapText="1"/>
      <protection locked="0"/>
    </xf>
    <xf numFmtId="0" fontId="19" fillId="12" borderId="10" xfId="0" applyFont="1" applyFill="1" applyBorder="1" applyAlignment="1" applyProtection="1">
      <alignment horizontal="center" vertical="center" wrapText="1"/>
      <protection locked="0"/>
    </xf>
    <xf numFmtId="173" fontId="41" fillId="0" borderId="0" xfId="1" applyNumberFormat="1" applyFont="1"/>
    <xf numFmtId="44" fontId="41" fillId="0" borderId="0" xfId="1" applyNumberFormat="1" applyFont="1" applyAlignment="1">
      <alignment horizontal="center" vertical="center" wrapText="1"/>
    </xf>
    <xf numFmtId="44" fontId="47" fillId="7" borderId="4" xfId="9" applyFont="1" applyFill="1" applyBorder="1" applyAlignment="1" applyProtection="1">
      <alignment horizontal="center" vertical="center" wrapText="1"/>
      <protection locked="0"/>
    </xf>
    <xf numFmtId="172" fontId="46" fillId="7" borderId="10" xfId="0" applyNumberFormat="1" applyFont="1" applyFill="1" applyBorder="1" applyAlignment="1" applyProtection="1">
      <alignment horizontal="center" vertical="center" wrapText="1"/>
      <protection locked="0"/>
    </xf>
    <xf numFmtId="14" fontId="53" fillId="31" borderId="10" xfId="0" applyNumberFormat="1" applyFont="1" applyFill="1" applyBorder="1" applyAlignment="1">
      <alignment horizontal="center" vertical="center" wrapText="1"/>
    </xf>
    <xf numFmtId="0" fontId="54" fillId="32" borderId="10" xfId="0" applyFont="1" applyFill="1" applyBorder="1" applyAlignment="1">
      <alignment horizontal="center" vertical="center"/>
    </xf>
    <xf numFmtId="0" fontId="55" fillId="0" borderId="0" xfId="0" applyFont="1"/>
    <xf numFmtId="0" fontId="55" fillId="33" borderId="10" xfId="0" applyFont="1" applyFill="1" applyBorder="1" applyAlignment="1">
      <alignment horizontal="center" vertical="center"/>
    </xf>
    <xf numFmtId="0" fontId="55" fillId="34" borderId="10" xfId="0" applyFont="1" applyFill="1" applyBorder="1" applyAlignment="1">
      <alignment horizontal="center" vertical="center"/>
    </xf>
    <xf numFmtId="8" fontId="20" fillId="34" borderId="0" xfId="0" applyNumberFormat="1" applyFont="1" applyFill="1"/>
    <xf numFmtId="8" fontId="20" fillId="0" borderId="0" xfId="0" applyNumberFormat="1" applyFont="1"/>
    <xf numFmtId="0" fontId="55" fillId="34" borderId="0" xfId="0" applyFont="1" applyFill="1"/>
    <xf numFmtId="0" fontId="56" fillId="32" borderId="10" xfId="0" applyFont="1" applyFill="1" applyBorder="1" applyAlignment="1">
      <alignment horizontal="center" vertical="center" wrapText="1"/>
    </xf>
    <xf numFmtId="44" fontId="20" fillId="0" borderId="0" xfId="5" applyFont="1"/>
    <xf numFmtId="14" fontId="56" fillId="31" borderId="10" xfId="0" applyNumberFormat="1" applyFont="1" applyFill="1" applyBorder="1" applyAlignment="1">
      <alignment horizontal="center" vertical="center" wrapText="1"/>
    </xf>
    <xf numFmtId="14" fontId="57" fillId="2" borderId="10" xfId="1" applyNumberFormat="1" applyFont="1" applyFill="1" applyBorder="1" applyAlignment="1" applyProtection="1">
      <alignment horizontal="center" vertical="center" wrapText="1"/>
      <protection locked="0"/>
    </xf>
    <xf numFmtId="8" fontId="34" fillId="0" borderId="0" xfId="0" applyNumberFormat="1" applyFont="1"/>
    <xf numFmtId="0" fontId="55" fillId="0" borderId="0" xfId="0" applyFont="1" applyAlignment="1">
      <alignment wrapText="1"/>
    </xf>
    <xf numFmtId="8" fontId="53" fillId="0" borderId="0" xfId="0" applyNumberFormat="1" applyFont="1" applyAlignment="1">
      <alignment wrapText="1"/>
    </xf>
    <xf numFmtId="172" fontId="11" fillId="7" borderId="3" xfId="0" applyNumberFormat="1" applyFont="1" applyFill="1" applyBorder="1" applyAlignment="1" applyProtection="1">
      <alignment horizontal="center" vertical="center"/>
      <protection locked="0"/>
    </xf>
    <xf numFmtId="14" fontId="55" fillId="31" borderId="10" xfId="0" applyNumberFormat="1" applyFont="1" applyFill="1" applyBorder="1" applyAlignment="1">
      <alignment horizontal="center" vertical="center" wrapText="1"/>
    </xf>
    <xf numFmtId="3" fontId="19" fillId="22" borderId="2" xfId="1" applyNumberFormat="1" applyFont="1" applyFill="1" applyBorder="1" applyAlignment="1" applyProtection="1">
      <alignment horizontal="center" vertical="center" wrapText="1"/>
      <protection locked="0"/>
    </xf>
    <xf numFmtId="3" fontId="19" fillId="22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35" borderId="10" xfId="1" applyFont="1" applyFill="1" applyBorder="1" applyAlignment="1" applyProtection="1">
      <alignment horizontal="center" vertical="center" wrapText="1"/>
      <protection locked="0"/>
    </xf>
    <xf numFmtId="0" fontId="58" fillId="36" borderId="4" xfId="1" applyFont="1" applyFill="1" applyBorder="1" applyAlignment="1">
      <alignment horizontal="center" vertical="center" wrapText="1"/>
    </xf>
    <xf numFmtId="0" fontId="58" fillId="36" borderId="26" xfId="1" applyFont="1" applyFill="1" applyBorder="1" applyAlignment="1" applyProtection="1">
      <alignment horizontal="center" vertical="center" wrapText="1"/>
      <protection locked="0"/>
    </xf>
    <xf numFmtId="44" fontId="58" fillId="36" borderId="22" xfId="1" applyNumberFormat="1" applyFont="1" applyFill="1" applyBorder="1" applyAlignment="1" applyProtection="1">
      <alignment horizontal="center" vertical="center"/>
      <protection locked="0"/>
    </xf>
    <xf numFmtId="44" fontId="58" fillId="36" borderId="0" xfId="1" applyNumberFormat="1" applyFont="1" applyFill="1" applyAlignment="1" applyProtection="1">
      <alignment horizontal="center" vertical="center"/>
      <protection locked="0"/>
    </xf>
    <xf numFmtId="10" fontId="58" fillId="36" borderId="22" xfId="13" applyNumberFormat="1" applyFont="1" applyFill="1" applyBorder="1" applyAlignment="1" applyProtection="1">
      <alignment horizontal="center" vertical="center"/>
      <protection locked="0"/>
    </xf>
    <xf numFmtId="44" fontId="58" fillId="36" borderId="11" xfId="13" applyNumberFormat="1" applyFont="1" applyFill="1" applyBorder="1" applyAlignment="1" applyProtection="1">
      <alignment horizontal="center" vertical="center"/>
      <protection locked="0"/>
    </xf>
    <xf numFmtId="44" fontId="58" fillId="36" borderId="26" xfId="106" applyFont="1" applyFill="1" applyBorder="1" applyAlignment="1" applyProtection="1">
      <alignment horizontal="center" vertical="center"/>
      <protection locked="0"/>
    </xf>
    <xf numFmtId="44" fontId="58" fillId="36" borderId="11" xfId="1" applyNumberFormat="1" applyFont="1" applyFill="1" applyBorder="1" applyAlignment="1" applyProtection="1">
      <alignment horizontal="center" vertical="center"/>
      <protection locked="0"/>
    </xf>
    <xf numFmtId="10" fontId="58" fillId="36" borderId="26" xfId="13" applyNumberFormat="1" applyFont="1" applyFill="1" applyBorder="1" applyAlignment="1" applyProtection="1">
      <alignment horizontal="center" vertical="center"/>
      <protection locked="0"/>
    </xf>
    <xf numFmtId="168" fontId="58" fillId="36" borderId="22" xfId="1" applyNumberFormat="1" applyFont="1" applyFill="1" applyBorder="1" applyAlignment="1" applyProtection="1">
      <alignment horizontal="center" vertical="center"/>
      <protection locked="0"/>
    </xf>
    <xf numFmtId="0" fontId="58" fillId="36" borderId="26" xfId="1" applyFont="1" applyFill="1" applyBorder="1" applyAlignment="1" applyProtection="1">
      <alignment horizontal="center" vertical="center"/>
      <protection locked="0"/>
    </xf>
    <xf numFmtId="0" fontId="58" fillId="36" borderId="26" xfId="1" applyFont="1" applyFill="1" applyBorder="1" applyAlignment="1">
      <alignment horizontal="center" vertical="center" wrapText="1"/>
    </xf>
    <xf numFmtId="0" fontId="59" fillId="36" borderId="10" xfId="1" applyFont="1" applyFill="1" applyBorder="1" applyAlignment="1" applyProtection="1">
      <alignment horizontal="center" vertical="center"/>
      <protection locked="0"/>
    </xf>
    <xf numFmtId="44" fontId="59" fillId="36" borderId="10" xfId="1" applyNumberFormat="1" applyFont="1" applyFill="1" applyBorder="1" applyAlignment="1" applyProtection="1">
      <alignment horizontal="center" vertical="center"/>
      <protection locked="0"/>
    </xf>
    <xf numFmtId="44" fontId="59" fillId="36" borderId="4" xfId="1" applyNumberFormat="1" applyFont="1" applyFill="1" applyBorder="1" applyAlignment="1" applyProtection="1">
      <alignment horizontal="center" vertical="center"/>
      <protection locked="0"/>
    </xf>
    <xf numFmtId="10" fontId="59" fillId="36" borderId="27" xfId="13" applyNumberFormat="1" applyFont="1" applyFill="1" applyBorder="1" applyAlignment="1" applyProtection="1">
      <alignment horizontal="center" vertical="center"/>
      <protection locked="0"/>
    </xf>
    <xf numFmtId="44" fontId="59" fillId="36" borderId="6" xfId="13" applyNumberFormat="1" applyFont="1" applyFill="1" applyBorder="1" applyAlignment="1" applyProtection="1">
      <alignment horizontal="center" vertical="center"/>
      <protection locked="0"/>
    </xf>
    <xf numFmtId="44" fontId="59" fillId="36" borderId="10" xfId="106" applyFont="1" applyFill="1" applyBorder="1" applyAlignment="1" applyProtection="1">
      <alignment horizontal="center" vertical="center"/>
      <protection locked="0"/>
    </xf>
    <xf numFmtId="10" fontId="59" fillId="36" borderId="3" xfId="13" applyNumberFormat="1" applyFont="1" applyFill="1" applyBorder="1" applyAlignment="1" applyProtection="1">
      <alignment horizontal="center" vertical="center"/>
      <protection locked="0"/>
    </xf>
    <xf numFmtId="10" fontId="59" fillId="36" borderId="6" xfId="13" applyNumberFormat="1" applyFont="1" applyFill="1" applyBorder="1" applyAlignment="1" applyProtection="1">
      <alignment horizontal="center" vertical="center"/>
      <protection locked="0"/>
    </xf>
    <xf numFmtId="44" fontId="59" fillId="36" borderId="3" xfId="1" applyNumberFormat="1" applyFont="1" applyFill="1" applyBorder="1" applyAlignment="1" applyProtection="1">
      <alignment horizontal="center" vertical="center"/>
      <protection locked="0"/>
    </xf>
    <xf numFmtId="0" fontId="58" fillId="36" borderId="6" xfId="1" applyFont="1" applyFill="1" applyBorder="1" applyAlignment="1">
      <alignment horizontal="center" vertical="center" wrapText="1"/>
    </xf>
    <xf numFmtId="44" fontId="41" fillId="0" borderId="0" xfId="5" applyFont="1" applyAlignment="1" applyProtection="1">
      <alignment horizontal="center"/>
      <protection locked="0"/>
    </xf>
    <xf numFmtId="0" fontId="58" fillId="36" borderId="10" xfId="1" applyFont="1" applyFill="1" applyBorder="1" applyAlignment="1">
      <alignment horizontal="center" vertical="center" wrapText="1"/>
    </xf>
    <xf numFmtId="3" fontId="19" fillId="22" borderId="10" xfId="1" applyNumberFormat="1" applyFont="1" applyFill="1" applyBorder="1" applyAlignment="1" applyProtection="1">
      <alignment horizontal="center" vertical="center" wrapText="1"/>
      <protection locked="0"/>
    </xf>
    <xf numFmtId="3" fontId="11" fillId="22" borderId="10" xfId="1" applyNumberFormat="1" applyFont="1" applyFill="1" applyBorder="1" applyAlignment="1" applyProtection="1">
      <alignment horizontal="center" vertical="center" wrapText="1"/>
      <protection locked="0"/>
    </xf>
    <xf numFmtId="3" fontId="57" fillId="22" borderId="10" xfId="1" applyNumberFormat="1" applyFont="1" applyFill="1" applyBorder="1" applyAlignment="1" applyProtection="1">
      <alignment horizontal="center" vertical="center" wrapText="1"/>
      <protection locked="0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0" fontId="19" fillId="5" borderId="6" xfId="0" applyFont="1" applyFill="1" applyBorder="1" applyAlignment="1">
      <alignment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11" fillId="23" borderId="4" xfId="0" applyFont="1" applyFill="1" applyBorder="1" applyAlignment="1">
      <alignment horizontal="center" vertical="center" wrapText="1"/>
    </xf>
    <xf numFmtId="0" fontId="11" fillId="23" borderId="5" xfId="0" applyFont="1" applyFill="1" applyBorder="1" applyAlignment="1">
      <alignment horizontal="center" vertical="center" wrapText="1"/>
    </xf>
    <xf numFmtId="0" fontId="11" fillId="23" borderId="6" xfId="0" applyFont="1" applyFill="1" applyBorder="1" applyAlignment="1">
      <alignment horizontal="center" vertical="center" wrapText="1"/>
    </xf>
    <xf numFmtId="172" fontId="19" fillId="7" borderId="10" xfId="0" applyNumberFormat="1" applyFont="1" applyFill="1" applyBorder="1" applyAlignment="1" applyProtection="1">
      <alignment horizontal="center" vertical="center"/>
      <protection locked="0"/>
    </xf>
    <xf numFmtId="172" fontId="19" fillId="7" borderId="3" xfId="0" applyNumberFormat="1" applyFont="1" applyFill="1" applyBorder="1" applyAlignment="1" applyProtection="1">
      <alignment horizontal="center" vertical="center"/>
      <protection locked="0"/>
    </xf>
    <xf numFmtId="172" fontId="19" fillId="7" borderId="2" xfId="0" applyNumberFormat="1" applyFont="1" applyFill="1" applyBorder="1" applyAlignment="1" applyProtection="1">
      <alignment horizontal="center" vertical="center" wrapText="1"/>
      <protection locked="0"/>
    </xf>
    <xf numFmtId="172" fontId="19" fillId="7" borderId="3" xfId="0" applyNumberFormat="1" applyFont="1" applyFill="1" applyBorder="1" applyAlignment="1" applyProtection="1">
      <alignment horizontal="center" vertical="center" wrapText="1"/>
      <protection locked="0"/>
    </xf>
    <xf numFmtId="4" fontId="35" fillId="0" borderId="23" xfId="1" applyNumberFormat="1" applyFont="1" applyBorder="1" applyAlignment="1">
      <alignment horizontal="center" vertical="center" wrapText="1"/>
    </xf>
    <xf numFmtId="4" fontId="35" fillId="0" borderId="24" xfId="1" applyNumberFormat="1" applyFont="1" applyBorder="1" applyAlignment="1">
      <alignment horizontal="center" vertical="center" wrapText="1"/>
    </xf>
    <xf numFmtId="4" fontId="35" fillId="0" borderId="25" xfId="1" applyNumberFormat="1" applyFont="1" applyBorder="1" applyAlignment="1">
      <alignment horizontal="center" vertical="center" wrapText="1"/>
    </xf>
    <xf numFmtId="172" fontId="19" fillId="12" borderId="10" xfId="0" applyNumberFormat="1" applyFont="1" applyFill="1" applyBorder="1" applyAlignment="1" applyProtection="1">
      <alignment horizontal="center" vertical="center"/>
      <protection locked="0"/>
    </xf>
    <xf numFmtId="172" fontId="19" fillId="12" borderId="2" xfId="0" applyNumberFormat="1" applyFont="1" applyFill="1" applyBorder="1" applyAlignment="1" applyProtection="1">
      <alignment horizontal="center" vertical="center" wrapText="1"/>
      <protection locked="0"/>
    </xf>
    <xf numFmtId="172" fontId="19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53" fillId="30" borderId="2" xfId="0" applyFont="1" applyFill="1" applyBorder="1" applyAlignment="1">
      <alignment horizontal="center" vertical="center" wrapText="1"/>
    </xf>
    <xf numFmtId="0" fontId="53" fillId="30" borderId="3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left" vertical="center" wrapText="1"/>
    </xf>
    <xf numFmtId="172" fontId="33" fillId="12" borderId="10" xfId="0" applyNumberFormat="1" applyFont="1" applyFill="1" applyBorder="1" applyAlignment="1" applyProtection="1">
      <alignment horizontal="center" vertical="center"/>
      <protection locked="0"/>
    </xf>
    <xf numFmtId="172" fontId="34" fillId="12" borderId="2" xfId="0" applyNumberFormat="1" applyFont="1" applyFill="1" applyBorder="1" applyAlignment="1" applyProtection="1">
      <alignment horizontal="center" vertical="center" wrapText="1"/>
      <protection locked="0"/>
    </xf>
    <xf numFmtId="172" fontId="34" fillId="12" borderId="3" xfId="0" applyNumberFormat="1" applyFont="1" applyFill="1" applyBorder="1" applyAlignment="1" applyProtection="1">
      <alignment horizontal="center" vertical="center" wrapText="1"/>
      <protection locked="0"/>
    </xf>
    <xf numFmtId="172" fontId="33" fillId="7" borderId="10" xfId="0" applyNumberFormat="1" applyFont="1" applyFill="1" applyBorder="1" applyAlignment="1" applyProtection="1">
      <alignment horizontal="center" vertical="center"/>
      <protection locked="0"/>
    </xf>
    <xf numFmtId="172" fontId="34" fillId="7" borderId="2" xfId="0" applyNumberFormat="1" applyFont="1" applyFill="1" applyBorder="1" applyAlignment="1" applyProtection="1">
      <alignment horizontal="center" vertical="center" wrapText="1"/>
      <protection locked="0"/>
    </xf>
    <xf numFmtId="172" fontId="34" fillId="7" borderId="22" xfId="0" applyNumberFormat="1" applyFont="1" applyFill="1" applyBorder="1" applyAlignment="1" applyProtection="1">
      <alignment horizontal="center" vertical="center" wrapText="1"/>
      <protection locked="0"/>
    </xf>
    <xf numFmtId="172" fontId="34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55" fillId="30" borderId="2" xfId="0" applyFont="1" applyFill="1" applyBorder="1" applyAlignment="1">
      <alignment horizontal="center" vertical="center" wrapText="1"/>
    </xf>
    <xf numFmtId="0" fontId="55" fillId="30" borderId="3" xfId="0" applyFont="1" applyFill="1" applyBorder="1" applyAlignment="1">
      <alignment horizontal="center" vertical="center" wrapText="1"/>
    </xf>
    <xf numFmtId="0" fontId="56" fillId="30" borderId="2" xfId="0" applyFont="1" applyFill="1" applyBorder="1" applyAlignment="1">
      <alignment horizontal="center" vertical="center" wrapText="1"/>
    </xf>
    <xf numFmtId="0" fontId="56" fillId="30" borderId="3" xfId="0" applyFont="1" applyFill="1" applyBorder="1" applyAlignment="1">
      <alignment horizontal="center" vertical="center" wrapText="1"/>
    </xf>
    <xf numFmtId="0" fontId="58" fillId="36" borderId="4" xfId="1" applyFont="1" applyFill="1" applyBorder="1" applyAlignment="1">
      <alignment horizontal="center" vertical="center" wrapText="1"/>
    </xf>
    <xf numFmtId="0" fontId="58" fillId="36" borderId="5" xfId="1" applyFont="1" applyFill="1" applyBorder="1" applyAlignment="1">
      <alignment horizontal="center" vertical="center" wrapText="1"/>
    </xf>
    <xf numFmtId="0" fontId="58" fillId="36" borderId="6" xfId="1" applyFont="1" applyFill="1" applyBorder="1" applyAlignment="1">
      <alignment horizontal="center" vertical="center" wrapText="1"/>
    </xf>
    <xf numFmtId="0" fontId="60" fillId="36" borderId="4" xfId="1" applyFont="1" applyFill="1" applyBorder="1" applyAlignment="1">
      <alignment horizontal="center" vertical="center" wrapText="1"/>
    </xf>
    <xf numFmtId="0" fontId="60" fillId="36" borderId="5" xfId="1" applyFont="1" applyFill="1" applyBorder="1" applyAlignment="1">
      <alignment horizontal="center" vertical="center" wrapText="1"/>
    </xf>
    <xf numFmtId="0" fontId="60" fillId="36" borderId="9" xfId="1" applyFont="1" applyFill="1" applyBorder="1" applyAlignment="1">
      <alignment horizontal="center" vertical="center" wrapText="1"/>
    </xf>
    <xf numFmtId="0" fontId="60" fillId="36" borderId="6" xfId="1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wrapText="1"/>
    </xf>
    <xf numFmtId="0" fontId="19" fillId="0" borderId="9" xfId="1" applyFont="1" applyBorder="1" applyAlignment="1">
      <alignment horizontal="center" wrapText="1"/>
    </xf>
    <xf numFmtId="0" fontId="22" fillId="8" borderId="6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0" fontId="22" fillId="11" borderId="6" xfId="0" applyFont="1" applyFill="1" applyBorder="1" applyAlignment="1">
      <alignment horizontal="center" vertical="center" wrapText="1"/>
    </xf>
    <xf numFmtId="0" fontId="23" fillId="11" borderId="4" xfId="0" quotePrefix="1" applyFont="1" applyFill="1" applyBorder="1" applyAlignment="1">
      <alignment horizontal="center" vertical="center" wrapText="1"/>
    </xf>
    <xf numFmtId="0" fontId="23" fillId="11" borderId="5" xfId="0" quotePrefix="1" applyFont="1" applyFill="1" applyBorder="1" applyAlignment="1">
      <alignment horizontal="center" vertical="center" wrapText="1"/>
    </xf>
    <xf numFmtId="0" fontId="23" fillId="11" borderId="6" xfId="0" quotePrefix="1" applyFont="1" applyFill="1" applyBorder="1" applyAlignment="1">
      <alignment horizontal="center" vertical="center" wrapText="1"/>
    </xf>
    <xf numFmtId="0" fontId="23" fillId="17" borderId="17" xfId="0" applyFont="1" applyFill="1" applyBorder="1" applyAlignment="1">
      <alignment horizontal="center" vertical="center" wrapText="1"/>
    </xf>
    <xf numFmtId="0" fontId="23" fillId="17" borderId="18" xfId="0" applyFont="1" applyFill="1" applyBorder="1" applyAlignment="1">
      <alignment horizontal="center" vertical="center" wrapText="1"/>
    </xf>
    <xf numFmtId="0" fontId="23" fillId="17" borderId="19" xfId="0" applyFont="1" applyFill="1" applyBorder="1" applyAlignment="1">
      <alignment horizontal="center" vertical="center" wrapText="1"/>
    </xf>
    <xf numFmtId="0" fontId="23" fillId="18" borderId="17" xfId="0" applyFont="1" applyFill="1" applyBorder="1" applyAlignment="1">
      <alignment horizontal="center" vertical="center" wrapText="1"/>
    </xf>
    <xf numFmtId="0" fontId="23" fillId="18" borderId="18" xfId="0" applyFont="1" applyFill="1" applyBorder="1" applyAlignment="1">
      <alignment horizontal="center" vertical="center" wrapText="1"/>
    </xf>
    <xf numFmtId="0" fontId="23" fillId="18" borderId="19" xfId="0" applyFont="1" applyFill="1" applyBorder="1" applyAlignment="1">
      <alignment horizontal="center" vertical="center" wrapText="1"/>
    </xf>
    <xf numFmtId="0" fontId="23" fillId="19" borderId="17" xfId="0" applyFont="1" applyFill="1" applyBorder="1" applyAlignment="1">
      <alignment horizontal="center" vertical="center" wrapText="1"/>
    </xf>
    <xf numFmtId="0" fontId="23" fillId="19" borderId="18" xfId="0" applyFont="1" applyFill="1" applyBorder="1" applyAlignment="1">
      <alignment horizontal="center" vertical="center" wrapText="1"/>
    </xf>
    <xf numFmtId="0" fontId="23" fillId="19" borderId="19" xfId="0" applyFont="1" applyFill="1" applyBorder="1" applyAlignment="1">
      <alignment horizontal="center" vertical="center" wrapText="1"/>
    </xf>
    <xf numFmtId="0" fontId="23" fillId="14" borderId="17" xfId="0" applyFont="1" applyFill="1" applyBorder="1" applyAlignment="1">
      <alignment horizontal="center" vertical="center" wrapText="1"/>
    </xf>
    <xf numFmtId="0" fontId="23" fillId="14" borderId="18" xfId="0" applyFont="1" applyFill="1" applyBorder="1" applyAlignment="1">
      <alignment horizontal="center" vertical="center" wrapText="1"/>
    </xf>
    <xf numFmtId="0" fontId="23" fillId="14" borderId="19" xfId="0" applyFont="1" applyFill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10" fontId="58" fillId="36" borderId="3" xfId="13" applyNumberFormat="1" applyFont="1" applyFill="1" applyBorder="1" applyAlignment="1" applyProtection="1">
      <alignment horizontal="center" vertical="center"/>
      <protection locked="0"/>
    </xf>
    <xf numFmtId="0" fontId="58" fillId="36" borderId="28" xfId="1" applyFont="1" applyFill="1" applyBorder="1" applyAlignment="1">
      <alignment horizontal="center" vertical="center" wrapText="1"/>
    </xf>
    <xf numFmtId="0" fontId="59" fillId="36" borderId="27" xfId="1" applyFont="1" applyFill="1" applyBorder="1" applyAlignment="1">
      <alignment horizontal="center" vertical="center" wrapText="1"/>
    </xf>
  </cellXfs>
  <cellStyles count="107">
    <cellStyle name="Moeda" xfId="5" builtinId="4"/>
    <cellStyle name="Moeda 10" xfId="106" xr:uid="{C8345B51-C2E7-4DDF-9FA6-F79DE57EFB3F}"/>
    <cellStyle name="Moeda 10 2" xfId="14" xr:uid="{27572BDD-8F2C-4C8A-A655-1E845BDB1C13}"/>
    <cellStyle name="Moeda 10 2 2" xfId="16" xr:uid="{00000000-0005-0000-0000-000001000000}"/>
    <cellStyle name="Moeda 10 2 3" xfId="30" xr:uid="{00000000-0005-0000-0000-000001000000}"/>
    <cellStyle name="Moeda 10 2 3 2" xfId="51" xr:uid="{00000000-0005-0000-0000-000001000000}"/>
    <cellStyle name="Moeda 10 2 3 3" xfId="72" xr:uid="{00000000-0005-0000-0000-000001000000}"/>
    <cellStyle name="Moeda 10 2 3 4" xfId="93" xr:uid="{00000000-0005-0000-0000-000001000000}"/>
    <cellStyle name="Moeda 10 2 4" xfId="42" xr:uid="{27572BDD-8F2C-4C8A-A655-1E845BDB1C13}"/>
    <cellStyle name="Moeda 10 2 4 2" xfId="63" xr:uid="{27572BDD-8F2C-4C8A-A655-1E845BDB1C13}"/>
    <cellStyle name="Moeda 10 2 4 3" xfId="84" xr:uid="{27572BDD-8F2C-4C8A-A655-1E845BDB1C13}"/>
    <cellStyle name="Moeda 10 2 4 4" xfId="105" xr:uid="{27572BDD-8F2C-4C8A-A655-1E845BDB1C13}"/>
    <cellStyle name="Moeda 10 2 5" xfId="49" xr:uid="{27572BDD-8F2C-4C8A-A655-1E845BDB1C13}"/>
    <cellStyle name="Moeda 10 2 6" xfId="70" xr:uid="{27572BDD-8F2C-4C8A-A655-1E845BDB1C13}"/>
    <cellStyle name="Moeda 10 2 7" xfId="91" xr:uid="{27572BDD-8F2C-4C8A-A655-1E845BDB1C13}"/>
    <cellStyle name="Moeda 2" xfId="6" xr:uid="{00000000-0005-0000-0000-000002000000}"/>
    <cellStyle name="Moeda 2 2" xfId="10" xr:uid="{00000000-0005-0000-0000-000003000000}"/>
    <cellStyle name="Moeda 2 2 2" xfId="18" xr:uid="{00000000-0005-0000-0000-000003000000}"/>
    <cellStyle name="Moeda 2 3" xfId="17" xr:uid="{00000000-0005-0000-0000-000002000000}"/>
    <cellStyle name="Moeda 3" xfId="9" xr:uid="{00000000-0005-0000-0000-000004000000}"/>
    <cellStyle name="Moeda 3 2" xfId="19" xr:uid="{00000000-0005-0000-0000-000004000000}"/>
    <cellStyle name="Moeda 3 3" xfId="29" xr:uid="{00000000-0005-0000-0000-000004000000}"/>
    <cellStyle name="Moeda 3 3 2" xfId="50" xr:uid="{00000000-0005-0000-0000-000004000000}"/>
    <cellStyle name="Moeda 3 3 3" xfId="71" xr:uid="{00000000-0005-0000-0000-000004000000}"/>
    <cellStyle name="Moeda 3 3 4" xfId="92" xr:uid="{00000000-0005-0000-0000-000004000000}"/>
    <cellStyle name="Moeda 3 4" xfId="39" xr:uid="{00000000-0005-0000-0000-000004000000}"/>
    <cellStyle name="Moeda 3 4 2" xfId="60" xr:uid="{00000000-0005-0000-0000-000004000000}"/>
    <cellStyle name="Moeda 3 4 3" xfId="81" xr:uid="{00000000-0005-0000-0000-000004000000}"/>
    <cellStyle name="Moeda 3 4 4" xfId="102" xr:uid="{00000000-0005-0000-0000-000004000000}"/>
    <cellStyle name="Moeda 3 5" xfId="46" xr:uid="{00000000-0005-0000-0000-000004000000}"/>
    <cellStyle name="Moeda 3 6" xfId="67" xr:uid="{00000000-0005-0000-0000-000004000000}"/>
    <cellStyle name="Moeda 3 7" xfId="88" xr:uid="{00000000-0005-0000-0000-000004000000}"/>
    <cellStyle name="Moeda 4" xfId="15" xr:uid="{00000000-0005-0000-0000-00003E000000}"/>
    <cellStyle name="Moeda 5" xfId="35" xr:uid="{00000000-0005-0000-0000-00004C000000}"/>
    <cellStyle name="Moeda 5 2" xfId="56" xr:uid="{00000000-0005-0000-0000-00004C000000}"/>
    <cellStyle name="Moeda 5 3" xfId="77" xr:uid="{00000000-0005-0000-0000-00004C000000}"/>
    <cellStyle name="Moeda 5 4" xfId="98" xr:uid="{00000000-0005-0000-0000-00004C000000}"/>
    <cellStyle name="Moeda 6" xfId="36" xr:uid="{00000000-0005-0000-0000-000053000000}"/>
    <cellStyle name="Moeda 6 2" xfId="57" xr:uid="{00000000-0005-0000-0000-000053000000}"/>
    <cellStyle name="Moeda 6 3" xfId="78" xr:uid="{00000000-0005-0000-0000-000053000000}"/>
    <cellStyle name="Moeda 6 4" xfId="99" xr:uid="{00000000-0005-0000-0000-000053000000}"/>
    <cellStyle name="Moeda 7" xfId="43" xr:uid="{00000000-0005-0000-0000-00005A000000}"/>
    <cellStyle name="Moeda 8" xfId="64" xr:uid="{00000000-0005-0000-0000-00006F000000}"/>
    <cellStyle name="Moeda 9" xfId="85" xr:uid="{00000000-0005-0000-0000-000084000000}"/>
    <cellStyle name="Normal" xfId="0" builtinId="0"/>
    <cellStyle name="Normal 2" xfId="1" xr:uid="{00000000-0005-0000-0000-000006000000}"/>
    <cellStyle name="Normal 2 2" xfId="20" xr:uid="{00000000-0005-0000-0000-000006000000}"/>
    <cellStyle name="Porcentagem 2" xfId="13" xr:uid="{00000000-0005-0000-0000-000007000000}"/>
    <cellStyle name="Porcentagem 2 2" xfId="21" xr:uid="{00000000-0005-0000-0000-000007000000}"/>
    <cellStyle name="Separador de milhares 2" xfId="2" xr:uid="{00000000-0005-0000-0000-000008000000}"/>
    <cellStyle name="Separador de milhares 2 2" xfId="8" xr:uid="{00000000-0005-0000-0000-000009000000}"/>
    <cellStyle name="Separador de milhares 2 2 2" xfId="12" xr:uid="{00000000-0005-0000-0000-00000A000000}"/>
    <cellStyle name="Separador de milhares 2 2 2 2" xfId="24" xr:uid="{00000000-0005-0000-0000-00000A000000}"/>
    <cellStyle name="Separador de milhares 2 2 2 3" xfId="31" xr:uid="{00000000-0005-0000-0000-00000A000000}"/>
    <cellStyle name="Separador de milhares 2 2 2 3 2" xfId="52" xr:uid="{00000000-0005-0000-0000-00000A000000}"/>
    <cellStyle name="Separador de milhares 2 2 2 3 3" xfId="73" xr:uid="{00000000-0005-0000-0000-00000A000000}"/>
    <cellStyle name="Separador de milhares 2 2 2 3 4" xfId="94" xr:uid="{00000000-0005-0000-0000-00000A000000}"/>
    <cellStyle name="Separador de milhares 2 2 2 4" xfId="41" xr:uid="{00000000-0005-0000-0000-00000A000000}"/>
    <cellStyle name="Separador de milhares 2 2 2 4 2" xfId="62" xr:uid="{00000000-0005-0000-0000-00000A000000}"/>
    <cellStyle name="Separador de milhares 2 2 2 4 3" xfId="83" xr:uid="{00000000-0005-0000-0000-00000A000000}"/>
    <cellStyle name="Separador de milhares 2 2 2 4 4" xfId="104" xr:uid="{00000000-0005-0000-0000-00000A000000}"/>
    <cellStyle name="Separador de milhares 2 2 2 5" xfId="48" xr:uid="{00000000-0005-0000-0000-00000A000000}"/>
    <cellStyle name="Separador de milhares 2 2 2 6" xfId="69" xr:uid="{00000000-0005-0000-0000-00000A000000}"/>
    <cellStyle name="Separador de milhares 2 2 2 7" xfId="90" xr:uid="{00000000-0005-0000-0000-00000A000000}"/>
    <cellStyle name="Separador de milhares 2 2 3" xfId="23" xr:uid="{00000000-0005-0000-0000-000009000000}"/>
    <cellStyle name="Separador de milhares 2 2 4" xfId="33" xr:uid="{00000000-0005-0000-0000-000009000000}"/>
    <cellStyle name="Separador de milhares 2 2 4 2" xfId="54" xr:uid="{00000000-0005-0000-0000-000009000000}"/>
    <cellStyle name="Separador de milhares 2 2 4 3" xfId="75" xr:uid="{00000000-0005-0000-0000-000009000000}"/>
    <cellStyle name="Separador de milhares 2 2 4 4" xfId="96" xr:uid="{00000000-0005-0000-0000-000009000000}"/>
    <cellStyle name="Separador de milhares 2 2 5" xfId="38" xr:uid="{00000000-0005-0000-0000-000009000000}"/>
    <cellStyle name="Separador de milhares 2 2 5 2" xfId="59" xr:uid="{00000000-0005-0000-0000-000009000000}"/>
    <cellStyle name="Separador de milhares 2 2 5 3" xfId="80" xr:uid="{00000000-0005-0000-0000-000009000000}"/>
    <cellStyle name="Separador de milhares 2 2 5 4" xfId="101" xr:uid="{00000000-0005-0000-0000-000009000000}"/>
    <cellStyle name="Separador de milhares 2 2 6" xfId="45" xr:uid="{00000000-0005-0000-0000-000009000000}"/>
    <cellStyle name="Separador de milhares 2 2 7" xfId="66" xr:uid="{00000000-0005-0000-0000-000009000000}"/>
    <cellStyle name="Separador de milhares 2 2 8" xfId="87" xr:uid="{00000000-0005-0000-0000-000009000000}"/>
    <cellStyle name="Separador de milhares 2 3" xfId="7" xr:uid="{00000000-0005-0000-0000-00000B000000}"/>
    <cellStyle name="Separador de milhares 2 3 2" xfId="11" xr:uid="{00000000-0005-0000-0000-00000C000000}"/>
    <cellStyle name="Separador de milhares 2 3 2 2" xfId="26" xr:uid="{00000000-0005-0000-0000-00000C000000}"/>
    <cellStyle name="Separador de milhares 2 3 2 3" xfId="32" xr:uid="{00000000-0005-0000-0000-00000C000000}"/>
    <cellStyle name="Separador de milhares 2 3 2 3 2" xfId="53" xr:uid="{00000000-0005-0000-0000-00000C000000}"/>
    <cellStyle name="Separador de milhares 2 3 2 3 3" xfId="74" xr:uid="{00000000-0005-0000-0000-00000C000000}"/>
    <cellStyle name="Separador de milhares 2 3 2 3 4" xfId="95" xr:uid="{00000000-0005-0000-0000-00000C000000}"/>
    <cellStyle name="Separador de milhares 2 3 2 4" xfId="40" xr:uid="{00000000-0005-0000-0000-00000C000000}"/>
    <cellStyle name="Separador de milhares 2 3 2 4 2" xfId="61" xr:uid="{00000000-0005-0000-0000-00000C000000}"/>
    <cellStyle name="Separador de milhares 2 3 2 4 3" xfId="82" xr:uid="{00000000-0005-0000-0000-00000C000000}"/>
    <cellStyle name="Separador de milhares 2 3 2 4 4" xfId="103" xr:uid="{00000000-0005-0000-0000-00000C000000}"/>
    <cellStyle name="Separador de milhares 2 3 2 5" xfId="47" xr:uid="{00000000-0005-0000-0000-00000C000000}"/>
    <cellStyle name="Separador de milhares 2 3 2 6" xfId="68" xr:uid="{00000000-0005-0000-0000-00000C000000}"/>
    <cellStyle name="Separador de milhares 2 3 2 7" xfId="89" xr:uid="{00000000-0005-0000-0000-00000C000000}"/>
    <cellStyle name="Separador de milhares 2 3 3" xfId="25" xr:uid="{00000000-0005-0000-0000-00000B000000}"/>
    <cellStyle name="Separador de milhares 2 3 4" xfId="34" xr:uid="{00000000-0005-0000-0000-00000B000000}"/>
    <cellStyle name="Separador de milhares 2 3 4 2" xfId="55" xr:uid="{00000000-0005-0000-0000-00000B000000}"/>
    <cellStyle name="Separador de milhares 2 3 4 3" xfId="76" xr:uid="{00000000-0005-0000-0000-00000B000000}"/>
    <cellStyle name="Separador de milhares 2 3 4 4" xfId="97" xr:uid="{00000000-0005-0000-0000-00000B000000}"/>
    <cellStyle name="Separador de milhares 2 3 5" xfId="37" xr:uid="{00000000-0005-0000-0000-00000B000000}"/>
    <cellStyle name="Separador de milhares 2 3 5 2" xfId="58" xr:uid="{00000000-0005-0000-0000-00000B000000}"/>
    <cellStyle name="Separador de milhares 2 3 5 3" xfId="79" xr:uid="{00000000-0005-0000-0000-00000B000000}"/>
    <cellStyle name="Separador de milhares 2 3 5 4" xfId="100" xr:uid="{00000000-0005-0000-0000-00000B000000}"/>
    <cellStyle name="Separador de milhares 2 3 6" xfId="44" xr:uid="{00000000-0005-0000-0000-00000B000000}"/>
    <cellStyle name="Separador de milhares 2 3 7" xfId="65" xr:uid="{00000000-0005-0000-0000-00000B000000}"/>
    <cellStyle name="Separador de milhares 2 3 8" xfId="86" xr:uid="{00000000-0005-0000-0000-00000B000000}"/>
    <cellStyle name="Separador de milhares 2 4" xfId="22" xr:uid="{00000000-0005-0000-0000-000008000000}"/>
    <cellStyle name="Separador de milhares 3" xfId="3" xr:uid="{00000000-0005-0000-0000-00000D000000}"/>
    <cellStyle name="Separador de milhares 3 2" xfId="27" xr:uid="{00000000-0005-0000-0000-00000D000000}"/>
    <cellStyle name="Título 5" xfId="4" xr:uid="{00000000-0005-0000-0000-00000E000000}"/>
    <cellStyle name="Título 5 2" xfId="28" xr:uid="{00000000-0005-0000-0000-00000E000000}"/>
  </cellStyles>
  <dxfs count="43"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</dxfs>
  <tableStyles count="1" defaultTableStyle="TableStyleMedium9" defaultPivotStyle="PivotStyleLight16">
    <tableStyle name="Invisible" pivot="0" table="0" count="0" xr9:uid="{92C96A6F-A2D6-4973-910B-0FCCF4645B2F}"/>
  </tableStyles>
  <colors>
    <mruColors>
      <color rgb="FFCCFFFF"/>
      <color rgb="FF0000FF"/>
      <color rgb="FFFD8DD5"/>
      <color rgb="FF31FF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514B-E58C-4C81-B2FC-38B67DB88A36}">
  <sheetPr>
    <tabColor rgb="FF92D050"/>
  </sheetPr>
  <dimension ref="A1:AH33"/>
  <sheetViews>
    <sheetView zoomScale="70" zoomScaleNormal="7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A2" sqref="A2:I2"/>
    </sheetView>
  </sheetViews>
  <sheetFormatPr defaultColWidth="9.81640625" defaultRowHeight="38.5" customHeight="1" x14ac:dyDescent="0.35"/>
  <cols>
    <col min="1" max="1" width="6.54296875" style="1" customWidth="1"/>
    <col min="2" max="2" width="5.81640625" style="1" customWidth="1"/>
    <col min="3" max="3" width="10.81640625" style="149" customWidth="1"/>
    <col min="4" max="4" width="16.54296875" style="1" customWidth="1"/>
    <col min="5" max="5" width="12.453125" style="1" customWidth="1"/>
    <col min="6" max="6" width="12.81640625" style="1" customWidth="1"/>
    <col min="7" max="7" width="9.81640625" style="152"/>
    <col min="8" max="8" width="13.81640625" style="1" customWidth="1"/>
    <col min="9" max="9" width="13.1796875" style="1" customWidth="1"/>
    <col min="10" max="10" width="11" style="13" customWidth="1"/>
    <col min="11" max="17" width="6.54296875" style="4" customWidth="1"/>
    <col min="18" max="18" width="8.81640625" style="4" customWidth="1"/>
    <col min="19" max="19" width="6.54296875" style="12" customWidth="1"/>
    <col min="20" max="20" width="14.453125" style="5" customWidth="1"/>
    <col min="21" max="21" width="14.54296875" style="4" customWidth="1"/>
    <col min="22" max="22" width="13.81640625" style="4" customWidth="1"/>
    <col min="23" max="23" width="15.1796875" style="4" customWidth="1"/>
    <col min="24" max="28" width="13.1796875" style="4" customWidth="1"/>
    <col min="29" max="29" width="14.54296875" style="4" customWidth="1"/>
    <col min="30" max="32" width="13.1796875" style="4" customWidth="1"/>
    <col min="33" max="34" width="13.1796875" style="2" customWidth="1"/>
    <col min="35" max="16384" width="9.81640625" style="2"/>
  </cols>
  <sheetData>
    <row r="1" spans="1:34" s="64" customFormat="1" ht="38.5" customHeight="1" x14ac:dyDescent="0.35">
      <c r="A1" s="247" t="s">
        <v>100</v>
      </c>
      <c r="B1" s="248"/>
      <c r="C1" s="249"/>
      <c r="D1" s="250" t="s">
        <v>56</v>
      </c>
      <c r="E1" s="251"/>
      <c r="F1" s="251"/>
      <c r="G1" s="251"/>
      <c r="H1" s="251"/>
      <c r="I1" s="25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44" t="s">
        <v>116</v>
      </c>
      <c r="U1" s="246" t="s">
        <v>161</v>
      </c>
      <c r="V1" s="244" t="s">
        <v>117</v>
      </c>
      <c r="W1" s="244" t="s">
        <v>140</v>
      </c>
      <c r="X1" s="244" t="s">
        <v>151</v>
      </c>
      <c r="Y1" s="244" t="s">
        <v>152</v>
      </c>
      <c r="Z1" s="244" t="s">
        <v>153</v>
      </c>
      <c r="AA1" s="244" t="s">
        <v>196</v>
      </c>
      <c r="AB1" s="244" t="s">
        <v>197</v>
      </c>
      <c r="AC1" s="244" t="s">
        <v>198</v>
      </c>
      <c r="AD1" s="244" t="s">
        <v>199</v>
      </c>
      <c r="AE1" s="244" t="s">
        <v>200</v>
      </c>
      <c r="AF1" s="245" t="s">
        <v>58</v>
      </c>
      <c r="AG1" s="245" t="s">
        <v>58</v>
      </c>
      <c r="AH1" s="245" t="s">
        <v>58</v>
      </c>
    </row>
    <row r="2" spans="1:34" s="64" customFormat="1" ht="38.5" customHeight="1" x14ac:dyDescent="0.35">
      <c r="A2" s="254" t="s">
        <v>139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44"/>
      <c r="U2" s="246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5"/>
      <c r="AG2" s="245"/>
      <c r="AH2" s="245"/>
    </row>
    <row r="3" spans="1:34" s="71" customFormat="1" ht="38.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125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126" t="s">
        <v>1</v>
      </c>
      <c r="T3" s="124">
        <v>45791</v>
      </c>
      <c r="U3" s="211">
        <v>45791</v>
      </c>
      <c r="V3" s="124">
        <v>45804</v>
      </c>
      <c r="W3" s="124">
        <v>45868</v>
      </c>
      <c r="X3" s="124">
        <v>45926</v>
      </c>
      <c r="Y3" s="124">
        <v>45961</v>
      </c>
      <c r="Z3" s="124">
        <v>45972</v>
      </c>
      <c r="AA3" s="124">
        <v>45980</v>
      </c>
      <c r="AB3" s="124">
        <v>45993</v>
      </c>
      <c r="AC3" s="124">
        <v>46043</v>
      </c>
      <c r="AD3" s="124">
        <v>46125</v>
      </c>
      <c r="AE3" s="124">
        <v>46125</v>
      </c>
      <c r="AF3" s="70" t="s">
        <v>65</v>
      </c>
      <c r="AG3" s="70" t="s">
        <v>65</v>
      </c>
      <c r="AH3" s="70" t="s">
        <v>65</v>
      </c>
    </row>
    <row r="4" spans="1:34" s="64" customFormat="1" ht="38.5" customHeight="1" x14ac:dyDescent="0.35">
      <c r="A4" s="260">
        <v>1</v>
      </c>
      <c r="B4" s="127">
        <v>1</v>
      </c>
      <c r="C4" s="262" t="s">
        <v>66</v>
      </c>
      <c r="D4" s="128" t="s">
        <v>125</v>
      </c>
      <c r="E4" s="74" t="s">
        <v>68</v>
      </c>
      <c r="F4" s="129" t="s">
        <v>195</v>
      </c>
      <c r="G4" s="129" t="s">
        <v>119</v>
      </c>
      <c r="H4" s="129" t="s">
        <v>102</v>
      </c>
      <c r="I4" s="130">
        <v>10.5</v>
      </c>
      <c r="J4" s="157">
        <v>2600</v>
      </c>
      <c r="K4" s="78">
        <f>IF(SUM(T4:AH4)&gt;J4+M4,J4+M4,SUM(T4:AH4))</f>
        <v>2350</v>
      </c>
      <c r="L4" s="26">
        <f>(SUM(T4:AH4))</f>
        <v>2350</v>
      </c>
      <c r="M4" s="29">
        <f>-100-150</f>
        <v>-250</v>
      </c>
      <c r="N4" s="79">
        <f>ROUND(IF(J4*0.25-0.5&lt;0,0,J4*0.25-0.5),0)-Q4-O4</f>
        <v>650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82"/>
      <c r="U4" s="82"/>
      <c r="V4" s="82"/>
      <c r="W4" s="82">
        <v>800</v>
      </c>
      <c r="X4" s="82"/>
      <c r="Y4" s="82"/>
      <c r="Z4" s="82"/>
      <c r="AA4" s="82">
        <v>200</v>
      </c>
      <c r="AB4" s="82"/>
      <c r="AC4" s="82">
        <v>800</v>
      </c>
      <c r="AD4" s="82"/>
      <c r="AE4" s="82">
        <v>550</v>
      </c>
      <c r="AF4" s="82"/>
      <c r="AG4" s="82"/>
      <c r="AH4" s="82"/>
    </row>
    <row r="5" spans="1:34" s="64" customFormat="1" ht="38.5" customHeight="1" x14ac:dyDescent="0.35">
      <c r="A5" s="260"/>
      <c r="B5" s="127">
        <v>2</v>
      </c>
      <c r="C5" s="263"/>
      <c r="D5" s="128" t="s">
        <v>127</v>
      </c>
      <c r="E5" s="74" t="s">
        <v>68</v>
      </c>
      <c r="F5" s="129" t="s">
        <v>128</v>
      </c>
      <c r="G5" s="129" t="s">
        <v>120</v>
      </c>
      <c r="H5" s="129" t="s">
        <v>102</v>
      </c>
      <c r="I5" s="130">
        <v>13</v>
      </c>
      <c r="J5" s="158">
        <v>700</v>
      </c>
      <c r="K5" s="78">
        <f t="shared" ref="K5:K17" si="0">IF(SUM(T5:AH5)&gt;J5+M5,J5+M5,SUM(T5:AH5))</f>
        <v>660</v>
      </c>
      <c r="L5" s="26">
        <f t="shared" ref="L5:L17" si="1">(SUM(T5:AH5))</f>
        <v>660</v>
      </c>
      <c r="M5" s="29">
        <v>-40</v>
      </c>
      <c r="N5" s="79">
        <f t="shared" ref="N5:N17" si="2">ROUND(IF(J5*0.25-0.5&lt;0,0,J5*0.25-0.5),0)-Q5-O5</f>
        <v>175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82">
        <v>150</v>
      </c>
      <c r="U5" s="82"/>
      <c r="V5" s="82"/>
      <c r="W5" s="82">
        <v>150</v>
      </c>
      <c r="X5" s="82"/>
      <c r="Y5" s="82"/>
      <c r="Z5" s="82">
        <v>150</v>
      </c>
      <c r="AA5" s="82"/>
      <c r="AB5" s="82"/>
      <c r="AC5" s="82">
        <v>150</v>
      </c>
      <c r="AD5" s="82"/>
      <c r="AE5" s="82">
        <v>60</v>
      </c>
      <c r="AF5" s="82"/>
      <c r="AG5" s="82"/>
      <c r="AH5" s="82"/>
    </row>
    <row r="6" spans="1:34" s="64" customFormat="1" ht="38.5" customHeight="1" x14ac:dyDescent="0.35">
      <c r="A6" s="261"/>
      <c r="B6" s="215">
        <v>3</v>
      </c>
      <c r="C6" s="263"/>
      <c r="D6" s="128" t="s">
        <v>129</v>
      </c>
      <c r="E6" s="74" t="s">
        <v>68</v>
      </c>
      <c r="F6" s="129" t="s">
        <v>130</v>
      </c>
      <c r="G6" s="129" t="s">
        <v>121</v>
      </c>
      <c r="H6" s="129" t="s">
        <v>102</v>
      </c>
      <c r="I6" s="131">
        <v>28</v>
      </c>
      <c r="J6" s="158">
        <v>40</v>
      </c>
      <c r="K6" s="78">
        <f t="shared" si="0"/>
        <v>35</v>
      </c>
      <c r="L6" s="26">
        <f t="shared" si="1"/>
        <v>35</v>
      </c>
      <c r="M6" s="29"/>
      <c r="N6" s="79">
        <f t="shared" si="2"/>
        <v>10</v>
      </c>
      <c r="O6" s="29"/>
      <c r="P6" s="29"/>
      <c r="Q6" s="29"/>
      <c r="R6" s="80">
        <f t="shared" si="3"/>
        <v>5</v>
      </c>
      <c r="S6" s="81" t="str">
        <f t="shared" si="4"/>
        <v>OK</v>
      </c>
      <c r="T6" s="82"/>
      <c r="U6" s="82"/>
      <c r="V6" s="82">
        <v>20</v>
      </c>
      <c r="W6" s="82"/>
      <c r="X6" s="82"/>
      <c r="Y6" s="82">
        <v>15</v>
      </c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38.5" customHeight="1" x14ac:dyDescent="0.35">
      <c r="A7" s="267">
        <v>3</v>
      </c>
      <c r="B7" s="132">
        <v>6</v>
      </c>
      <c r="C7" s="268" t="s">
        <v>74</v>
      </c>
      <c r="D7" s="133" t="s">
        <v>131</v>
      </c>
      <c r="E7" s="88" t="s">
        <v>76</v>
      </c>
      <c r="F7" s="101" t="s">
        <v>126</v>
      </c>
      <c r="G7" s="153" t="s">
        <v>119</v>
      </c>
      <c r="H7" s="101" t="s">
        <v>102</v>
      </c>
      <c r="I7" s="134">
        <v>16.670000000000002</v>
      </c>
      <c r="J7" s="158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38.5" customHeight="1" x14ac:dyDescent="0.35">
      <c r="A8" s="267"/>
      <c r="B8" s="132">
        <v>7</v>
      </c>
      <c r="C8" s="269"/>
      <c r="D8" s="133" t="s">
        <v>132</v>
      </c>
      <c r="E8" s="88" t="s">
        <v>78</v>
      </c>
      <c r="F8" s="101" t="s">
        <v>128</v>
      </c>
      <c r="G8" s="153" t="s">
        <v>120</v>
      </c>
      <c r="H8" s="101" t="s">
        <v>102</v>
      </c>
      <c r="I8" s="134">
        <v>14.58</v>
      </c>
      <c r="J8" s="158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38.5" customHeight="1" x14ac:dyDescent="0.35">
      <c r="A9" s="161">
        <v>4</v>
      </c>
      <c r="B9" s="162">
        <v>8</v>
      </c>
      <c r="C9" s="19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98">
        <v>27.59</v>
      </c>
      <c r="J9" s="157">
        <v>1400</v>
      </c>
      <c r="K9" s="78">
        <f t="shared" si="0"/>
        <v>800</v>
      </c>
      <c r="L9" s="26">
        <f t="shared" si="1"/>
        <v>800</v>
      </c>
      <c r="M9" s="29">
        <v>-160</v>
      </c>
      <c r="N9" s="79">
        <f t="shared" si="2"/>
        <v>350</v>
      </c>
      <c r="O9" s="29"/>
      <c r="P9" s="29"/>
      <c r="Q9" s="29"/>
      <c r="R9" s="80">
        <f t="shared" si="3"/>
        <v>440</v>
      </c>
      <c r="S9" s="81" t="str">
        <f t="shared" si="4"/>
        <v>OK</v>
      </c>
      <c r="T9" s="82"/>
      <c r="U9" s="82">
        <f>260-260</f>
        <v>0</v>
      </c>
      <c r="V9" s="82"/>
      <c r="W9" s="82"/>
      <c r="X9" s="82">
        <v>300</v>
      </c>
      <c r="Y9" s="82"/>
      <c r="Z9" s="82"/>
      <c r="AA9" s="82"/>
      <c r="AB9" s="82">
        <v>300</v>
      </c>
      <c r="AC9" s="82"/>
      <c r="AD9" s="82">
        <v>200</v>
      </c>
      <c r="AE9" s="82"/>
      <c r="AF9" s="82"/>
      <c r="AG9" s="82"/>
      <c r="AH9" s="82"/>
    </row>
    <row r="10" spans="1:34" s="64" customFormat="1" ht="38.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58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38.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58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38.5" customHeight="1" x14ac:dyDescent="0.35">
      <c r="A12" s="140">
        <v>8</v>
      </c>
      <c r="B12" s="132">
        <v>12</v>
      </c>
      <c r="C12" s="141" t="s">
        <v>86</v>
      </c>
      <c r="D12" s="133" t="s">
        <v>133</v>
      </c>
      <c r="E12" s="88" t="s">
        <v>88</v>
      </c>
      <c r="F12" s="88" t="s">
        <v>85</v>
      </c>
      <c r="G12" s="153" t="s">
        <v>123</v>
      </c>
      <c r="H12" s="101" t="s">
        <v>102</v>
      </c>
      <c r="I12" s="134">
        <v>4.8499999999999996</v>
      </c>
      <c r="J12" s="158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38.5" customHeight="1" x14ac:dyDescent="0.35">
      <c r="A13" s="142">
        <v>11</v>
      </c>
      <c r="B13" s="127">
        <v>15</v>
      </c>
      <c r="C13" s="143" t="s">
        <v>90</v>
      </c>
      <c r="D13" s="128" t="s">
        <v>134</v>
      </c>
      <c r="E13" s="74" t="s">
        <v>92</v>
      </c>
      <c r="F13" s="74" t="s">
        <v>89</v>
      </c>
      <c r="G13" s="156" t="s">
        <v>124</v>
      </c>
      <c r="H13" s="129" t="s">
        <v>103</v>
      </c>
      <c r="I13" s="131">
        <v>127.74</v>
      </c>
      <c r="J13" s="158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38.5" customHeight="1" x14ac:dyDescent="0.35">
      <c r="A14" s="267">
        <v>13</v>
      </c>
      <c r="B14" s="132">
        <v>17</v>
      </c>
      <c r="C14" s="268" t="s">
        <v>93</v>
      </c>
      <c r="D14" s="133" t="s">
        <v>135</v>
      </c>
      <c r="E14" s="88" t="s">
        <v>95</v>
      </c>
      <c r="F14" s="144" t="s">
        <v>126</v>
      </c>
      <c r="G14" s="154" t="s">
        <v>119</v>
      </c>
      <c r="H14" s="144" t="s">
        <v>102</v>
      </c>
      <c r="I14" s="134">
        <v>15.31</v>
      </c>
      <c r="J14" s="158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38.5" customHeight="1" x14ac:dyDescent="0.35">
      <c r="A15" s="267"/>
      <c r="B15" s="132">
        <v>18</v>
      </c>
      <c r="C15" s="269"/>
      <c r="D15" s="145" t="s">
        <v>136</v>
      </c>
      <c r="E15" s="106" t="s">
        <v>95</v>
      </c>
      <c r="F15" s="144" t="s">
        <v>128</v>
      </c>
      <c r="G15" s="154" t="s">
        <v>120</v>
      </c>
      <c r="H15" s="144" t="s">
        <v>102</v>
      </c>
      <c r="I15" s="134">
        <v>13.94</v>
      </c>
      <c r="J15" s="158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38.5" customHeight="1" x14ac:dyDescent="0.35">
      <c r="A16" s="135">
        <v>14</v>
      </c>
      <c r="B16" s="136">
        <v>19</v>
      </c>
      <c r="C16" s="137" t="s">
        <v>79</v>
      </c>
      <c r="D16" s="138" t="s">
        <v>149</v>
      </c>
      <c r="E16" s="96" t="s">
        <v>81</v>
      </c>
      <c r="F16" s="107" t="s">
        <v>82</v>
      </c>
      <c r="G16" s="155" t="s">
        <v>122</v>
      </c>
      <c r="H16" s="107" t="s">
        <v>102</v>
      </c>
      <c r="I16" s="139">
        <v>25.77</v>
      </c>
      <c r="J16" s="158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38.5" customHeight="1" x14ac:dyDescent="0.35">
      <c r="A17" s="140">
        <v>15</v>
      </c>
      <c r="B17" s="132">
        <v>20</v>
      </c>
      <c r="C17" s="146" t="s">
        <v>93</v>
      </c>
      <c r="D17" s="145" t="s">
        <v>137</v>
      </c>
      <c r="E17" s="106" t="s">
        <v>99</v>
      </c>
      <c r="F17" s="106" t="s">
        <v>85</v>
      </c>
      <c r="G17" s="154" t="s">
        <v>123</v>
      </c>
      <c r="H17" s="144" t="s">
        <v>102</v>
      </c>
      <c r="I17" s="147">
        <v>4.42</v>
      </c>
      <c r="J17" s="157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64" customFormat="1" ht="22" customHeight="1" thickBot="1" x14ac:dyDescent="0.4">
      <c r="A18" s="1"/>
      <c r="B18" s="1"/>
      <c r="C18" s="11"/>
      <c r="D18" s="148"/>
      <c r="E18" s="149"/>
      <c r="F18" s="149"/>
      <c r="G18" s="149"/>
      <c r="H18" s="149"/>
      <c r="I18" s="71"/>
      <c r="J18" s="196">
        <f>SUM(J4:J17)</f>
        <v>4740</v>
      </c>
      <c r="M18" s="150"/>
      <c r="N18" s="150"/>
      <c r="O18" s="150"/>
      <c r="P18" s="150"/>
      <c r="Q18" s="150"/>
      <c r="R18" s="150">
        <f>SUM(R4:R17)</f>
        <v>445</v>
      </c>
      <c r="S18" s="120" t="str">
        <f t="shared" si="4"/>
        <v>OK</v>
      </c>
      <c r="T18" s="151">
        <f>SUMPRODUCT($I$4:$I$17,T4:T17)</f>
        <v>1950</v>
      </c>
      <c r="U18" s="151">
        <f>SUMPRODUCT($I$4:$I$17,U4:U17)</f>
        <v>0</v>
      </c>
      <c r="V18" s="151">
        <f t="shared" ref="V18:AH18" si="5">SUMPRODUCT($I$4:$I$17,V4:V17)</f>
        <v>560</v>
      </c>
      <c r="W18" s="151">
        <f t="shared" si="5"/>
        <v>10350</v>
      </c>
      <c r="X18" s="151">
        <f>SUMPRODUCT($I$4:$I$17,X4:X17)</f>
        <v>8277</v>
      </c>
      <c r="Y18" s="151">
        <f t="shared" si="5"/>
        <v>420</v>
      </c>
      <c r="Z18" s="151">
        <f t="shared" si="5"/>
        <v>1950</v>
      </c>
      <c r="AA18" s="151">
        <f t="shared" si="5"/>
        <v>2100</v>
      </c>
      <c r="AB18" s="151">
        <f t="shared" si="5"/>
        <v>8277</v>
      </c>
      <c r="AC18" s="151">
        <f t="shared" si="5"/>
        <v>10350</v>
      </c>
      <c r="AD18" s="151">
        <f t="shared" si="5"/>
        <v>5518</v>
      </c>
      <c r="AE18" s="151">
        <f t="shared" si="5"/>
        <v>6555</v>
      </c>
      <c r="AF18" s="151">
        <f t="shared" si="5"/>
        <v>0</v>
      </c>
      <c r="AG18" s="151">
        <f t="shared" si="5"/>
        <v>0</v>
      </c>
      <c r="AH18" s="151">
        <f t="shared" si="5"/>
        <v>0</v>
      </c>
    </row>
    <row r="19" spans="1:34" s="64" customFormat="1" ht="38.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76146</v>
      </c>
      <c r="K19" s="242">
        <f>SUMPRODUCT($I$4:$I$17,K4:K17)</f>
        <v>56307</v>
      </c>
      <c r="L19" s="242">
        <f t="shared" ref="L19:R19" si="6">SUMPRODUCT($I$4:$I$17,L4:L17)</f>
        <v>56307</v>
      </c>
      <c r="M19" s="242">
        <f t="shared" si="6"/>
        <v>-7559.4</v>
      </c>
      <c r="N19" s="242">
        <f t="shared" si="6"/>
        <v>19036.5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12279.6</v>
      </c>
      <c r="S19" s="120"/>
      <c r="T19" s="121"/>
      <c r="U19" s="121"/>
      <c r="AA19" s="122"/>
    </row>
    <row r="20" spans="1:34" ht="11.5" customHeight="1" x14ac:dyDescent="0.35">
      <c r="G20" s="1"/>
    </row>
    <row r="21" spans="1:34" ht="14.15" customHeight="1" x14ac:dyDescent="0.35">
      <c r="G21" s="1"/>
      <c r="I21" s="197">
        <f>I5*T5</f>
        <v>1950</v>
      </c>
    </row>
    <row r="22" spans="1:34" ht="38.5" customHeight="1" x14ac:dyDescent="0.35">
      <c r="G22" s="1"/>
    </row>
    <row r="23" spans="1:34" ht="38.5" customHeight="1" x14ac:dyDescent="0.35">
      <c r="G23" s="1"/>
    </row>
    <row r="24" spans="1:34" ht="38.5" customHeight="1" x14ac:dyDescent="0.35">
      <c r="G24" s="1"/>
    </row>
    <row r="25" spans="1:34" ht="38.5" customHeight="1" x14ac:dyDescent="0.35">
      <c r="G25" s="1"/>
    </row>
    <row r="26" spans="1:34" ht="38.5" customHeight="1" x14ac:dyDescent="0.35">
      <c r="G26" s="1"/>
    </row>
    <row r="27" spans="1:34" ht="38.5" customHeight="1" x14ac:dyDescent="0.35">
      <c r="G27" s="1"/>
    </row>
    <row r="28" spans="1:34" ht="38.5" customHeight="1" x14ac:dyDescent="0.35">
      <c r="G28" s="1"/>
    </row>
    <row r="29" spans="1:34" ht="38.5" customHeight="1" x14ac:dyDescent="0.35">
      <c r="G29" s="1"/>
    </row>
    <row r="30" spans="1:34" ht="38.5" customHeight="1" x14ac:dyDescent="0.35">
      <c r="G30" s="1"/>
    </row>
    <row r="31" spans="1:34" ht="38.5" customHeight="1" x14ac:dyDescent="0.35">
      <c r="G31" s="1"/>
    </row>
    <row r="32" spans="1:34" ht="38.5" customHeight="1" x14ac:dyDescent="0.35">
      <c r="G32" s="1"/>
    </row>
    <row r="33" spans="7:7" ht="38.5" customHeight="1" x14ac:dyDescent="0.35">
      <c r="G33" s="1"/>
    </row>
  </sheetData>
  <autoFilter ref="A3:AL19" xr:uid="{8294514B-E58C-4C81-B2FC-38B67DB88A36}"/>
  <mergeCells count="27">
    <mergeCell ref="A4:A6"/>
    <mergeCell ref="C4:C6"/>
    <mergeCell ref="C19:I19"/>
    <mergeCell ref="A7:A8"/>
    <mergeCell ref="C7:C8"/>
    <mergeCell ref="A14:A15"/>
    <mergeCell ref="C14:C15"/>
    <mergeCell ref="AC1:AC2"/>
    <mergeCell ref="X1:X2"/>
    <mergeCell ref="Y1:Y2"/>
    <mergeCell ref="Z1:Z2"/>
    <mergeCell ref="AA1:AA2"/>
    <mergeCell ref="AB1:AB2"/>
    <mergeCell ref="W1:W2"/>
    <mergeCell ref="U1:U2"/>
    <mergeCell ref="V1:V2"/>
    <mergeCell ref="A1:C1"/>
    <mergeCell ref="D1:I1"/>
    <mergeCell ref="J1:S1"/>
    <mergeCell ref="T1:T2"/>
    <mergeCell ref="A2:I2"/>
    <mergeCell ref="J2:S2"/>
    <mergeCell ref="AD1:AD2"/>
    <mergeCell ref="AE1:AE2"/>
    <mergeCell ref="AF1:AF2"/>
    <mergeCell ref="AG1:AG2"/>
    <mergeCell ref="AH1:AH2"/>
  </mergeCells>
  <conditionalFormatting sqref="T4:AH17">
    <cfRule type="cellIs" dxfId="42" priority="1" stopIfTrue="1" operator="greaterThan">
      <formula>0</formula>
    </cfRule>
    <cfRule type="cellIs" dxfId="41" priority="2" stopIfTrue="1" operator="greaterThan">
      <formula>0</formula>
    </cfRule>
    <cfRule type="cellIs" dxfId="40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H19"/>
  <sheetViews>
    <sheetView topLeftCell="A16" zoomScale="50" zoomScaleNormal="50" workbookViewId="0">
      <selection activeCell="L25" sqref="L25"/>
    </sheetView>
  </sheetViews>
  <sheetFormatPr defaultColWidth="9.81640625" defaultRowHeight="51.75" customHeight="1" x14ac:dyDescent="0.35"/>
  <cols>
    <col min="1" max="1" width="8.81640625" style="1" customWidth="1"/>
    <col min="2" max="2" width="17.81640625" style="15" customWidth="1"/>
    <col min="3" max="3" width="19.453125" style="16" customWidth="1"/>
    <col min="4" max="4" width="41.45312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2.453125" style="13" customWidth="1"/>
    <col min="11" max="18" width="12.453125" style="4" customWidth="1"/>
    <col min="19" max="19" width="12.453125" style="12" customWidth="1"/>
    <col min="20" max="20" width="13.1796875" style="5" customWidth="1"/>
    <col min="21" max="32" width="13.81640625" style="4" customWidth="1"/>
    <col min="33" max="38" width="13.81640625" style="2" customWidth="1"/>
    <col min="39" max="16384" width="9.81640625" style="2"/>
  </cols>
  <sheetData>
    <row r="1" spans="1:34" s="64" customFormat="1" ht="51.7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227</v>
      </c>
      <c r="U1" s="270" t="s">
        <v>228</v>
      </c>
      <c r="V1" s="270" t="s">
        <v>229</v>
      </c>
      <c r="W1" s="245" t="s">
        <v>58</v>
      </c>
      <c r="X1" s="245" t="s">
        <v>58</v>
      </c>
      <c r="Y1" s="245" t="s">
        <v>58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51.75" customHeight="1" x14ac:dyDescent="0.35">
      <c r="A2" s="254" t="s">
        <v>111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51.7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45973</v>
      </c>
      <c r="U3" s="200">
        <v>46339</v>
      </c>
      <c r="V3" s="200">
        <v>46135</v>
      </c>
      <c r="W3" s="219" t="s">
        <v>65</v>
      </c>
      <c r="X3" s="70" t="s">
        <v>65</v>
      </c>
      <c r="Y3" s="70" t="s">
        <v>65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51.7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0</v>
      </c>
      <c r="K4" s="78">
        <f>IF(SUM(T4:AH4)&gt;J4+M4,J4+M4,SUM(T4:AH4))</f>
        <v>0</v>
      </c>
      <c r="L4" s="26">
        <f>(SUM(T4:AH4))</f>
        <v>0</v>
      </c>
      <c r="M4" s="29"/>
      <c r="N4" s="79">
        <f>ROUND(IF(J4*0.25-0.5&lt;0,0,J4*0.25-0.5),0)-Q4-O4</f>
        <v>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3"/>
      <c r="V4" s="203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51.7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22</v>
      </c>
      <c r="K5" s="78">
        <f t="shared" ref="K5:K17" si="0">IF(SUM(T5:AH5)&gt;J5+M5,J5+M5,SUM(T5:AH5))</f>
        <v>22</v>
      </c>
      <c r="L5" s="26">
        <f t="shared" ref="L5:L17" si="1">(SUM(T5:AH5))</f>
        <v>22</v>
      </c>
      <c r="M5" s="29"/>
      <c r="N5" s="79">
        <f t="shared" ref="N5:N17" si="2">ROUND(IF(J5*0.25-0.5&lt;0,0,J5*0.25-0.5),0)-Q5-O5</f>
        <v>5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1">
        <v>22</v>
      </c>
      <c r="U5" s="203"/>
      <c r="V5" s="203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51.7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51.7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9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51.7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9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51.7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224</v>
      </c>
      <c r="K9" s="78">
        <f t="shared" si="0"/>
        <v>224</v>
      </c>
      <c r="L9" s="26">
        <f t="shared" si="1"/>
        <v>224</v>
      </c>
      <c r="M9" s="29"/>
      <c r="N9" s="79">
        <f t="shared" si="2"/>
        <v>56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1">
        <v>100</v>
      </c>
      <c r="V9" s="201">
        <v>124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51.7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51.7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51.7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9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51.7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51.7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8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51.7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8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51.7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51.7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8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51.7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246</v>
      </c>
      <c r="M18" s="117"/>
      <c r="N18" s="117"/>
      <c r="O18" s="117"/>
      <c r="P18" s="117"/>
      <c r="Q18" s="117"/>
      <c r="R18" s="118">
        <f>SUM(R4:R17)</f>
        <v>0</v>
      </c>
      <c r="S18" s="119" t="str">
        <f t="shared" si="4"/>
        <v>OK</v>
      </c>
      <c r="T18" s="209">
        <f>SUMPRODUCT($I$4:$I$17,T4:T17)</f>
        <v>286</v>
      </c>
      <c r="U18" s="209">
        <f t="shared" ref="U18:AH18" si="5">SUMPRODUCT($I$4:$I$17,U4:U17)</f>
        <v>2759</v>
      </c>
      <c r="V18" s="209">
        <f t="shared" si="5"/>
        <v>3421.16</v>
      </c>
      <c r="W18" s="209">
        <f t="shared" si="5"/>
        <v>0</v>
      </c>
      <c r="X18" s="209">
        <f t="shared" si="5"/>
        <v>0</v>
      </c>
      <c r="Y18" s="209">
        <f t="shared" si="5"/>
        <v>0</v>
      </c>
      <c r="Z18" s="209">
        <f t="shared" si="5"/>
        <v>0</v>
      </c>
      <c r="AA18" s="209">
        <f t="shared" si="5"/>
        <v>0</v>
      </c>
      <c r="AB18" s="209">
        <f t="shared" si="5"/>
        <v>0</v>
      </c>
      <c r="AC18" s="209">
        <f t="shared" si="5"/>
        <v>0</v>
      </c>
      <c r="AD18" s="209">
        <f t="shared" si="5"/>
        <v>0</v>
      </c>
      <c r="AE18" s="209">
        <f t="shared" si="5"/>
        <v>0</v>
      </c>
      <c r="AF18" s="209">
        <f t="shared" si="5"/>
        <v>0</v>
      </c>
      <c r="AG18" s="209">
        <f t="shared" si="5"/>
        <v>0</v>
      </c>
      <c r="AH18" s="209">
        <f t="shared" si="5"/>
        <v>0</v>
      </c>
    </row>
    <row r="19" spans="1:34" s="64" customFormat="1" ht="51.7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6466.16</v>
      </c>
      <c r="K19" s="242">
        <f t="shared" ref="K19:R19" si="6">SUMPRODUCT($I$4:$I$17,K4:K17)</f>
        <v>6466.16</v>
      </c>
      <c r="L19" s="242">
        <f t="shared" si="6"/>
        <v>6466.16</v>
      </c>
      <c r="M19" s="242">
        <f t="shared" si="6"/>
        <v>0</v>
      </c>
      <c r="N19" s="242">
        <f t="shared" si="6"/>
        <v>1610.04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0</v>
      </c>
      <c r="S19" s="120"/>
      <c r="T19" s="202"/>
      <c r="U19" s="202"/>
      <c r="V19" s="202"/>
      <c r="AA19" s="122"/>
    </row>
  </sheetData>
  <mergeCells count="27">
    <mergeCell ref="AG1:AG2"/>
    <mergeCell ref="AH1:AH2"/>
    <mergeCell ref="AF1:AF2"/>
    <mergeCell ref="AA1:AA2"/>
    <mergeCell ref="AB1:AB2"/>
    <mergeCell ref="AC1:AC2"/>
    <mergeCell ref="AD1:AD2"/>
    <mergeCell ref="Y1:Y2"/>
    <mergeCell ref="Z1:Z2"/>
    <mergeCell ref="V1:V2"/>
    <mergeCell ref="U1:U2"/>
    <mergeCell ref="AE1:AE2"/>
    <mergeCell ref="W1:W2"/>
    <mergeCell ref="X1:X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W4:AH17">
    <cfRule type="cellIs" dxfId="15" priority="1" stopIfTrue="1" operator="greaterThan">
      <formula>0</formula>
    </cfRule>
    <cfRule type="cellIs" dxfId="14" priority="2" stopIfTrue="1" operator="greaterThan">
      <formula>0</formula>
    </cfRule>
    <cfRule type="cellIs" dxfId="13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E5C7-C334-47FF-99EB-B795B05DE9C5}">
  <sheetPr>
    <tabColor rgb="FF92D050"/>
  </sheetPr>
  <dimension ref="A1:AH19"/>
  <sheetViews>
    <sheetView topLeftCell="A10" zoomScale="50" zoomScaleNormal="50" workbookViewId="0">
      <selection activeCell="M22" sqref="M22"/>
    </sheetView>
  </sheetViews>
  <sheetFormatPr defaultColWidth="9.81640625" defaultRowHeight="48.75" customHeight="1" x14ac:dyDescent="0.35"/>
  <cols>
    <col min="1" max="1" width="8.81640625" style="1" customWidth="1"/>
    <col min="2" max="2" width="12.1796875" style="15" customWidth="1"/>
    <col min="3" max="3" width="13.1796875" style="16" customWidth="1"/>
    <col min="4" max="4" width="25.0898437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1.81640625" style="13" customWidth="1"/>
    <col min="11" max="18" width="11.81640625" style="4" customWidth="1"/>
    <col min="19" max="19" width="11.81640625" style="12" customWidth="1"/>
    <col min="20" max="20" width="15" style="5" customWidth="1"/>
    <col min="21" max="21" width="16.81640625" style="4" customWidth="1"/>
    <col min="22" max="32" width="13.81640625" style="4" customWidth="1"/>
    <col min="33" max="38" width="13.81640625" style="2" customWidth="1"/>
    <col min="39" max="16384" width="9.81640625" style="2"/>
  </cols>
  <sheetData>
    <row r="1" spans="1:34" s="64" customFormat="1" ht="48.7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166</v>
      </c>
      <c r="U1" s="270" t="s">
        <v>167</v>
      </c>
      <c r="V1" s="270" t="s">
        <v>216</v>
      </c>
      <c r="W1" s="270" t="s">
        <v>217</v>
      </c>
      <c r="X1" s="245" t="s">
        <v>58</v>
      </c>
      <c r="Y1" s="245" t="s">
        <v>58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48.75" customHeight="1" x14ac:dyDescent="0.35">
      <c r="A2" s="254" t="s">
        <v>112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48.7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45814</v>
      </c>
      <c r="U3" s="200">
        <v>45902</v>
      </c>
      <c r="V3" s="200">
        <v>46104</v>
      </c>
      <c r="W3" s="200">
        <v>46126</v>
      </c>
      <c r="X3" s="70" t="s">
        <v>65</v>
      </c>
      <c r="Y3" s="70" t="s">
        <v>65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8.7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650</v>
      </c>
      <c r="K4" s="78">
        <f>IF(SUM(T4:AH4)&gt;J4+M4,J4+M4,SUM(T4:AH4))</f>
        <v>650</v>
      </c>
      <c r="L4" s="26">
        <f>(SUM(T4:AH4))</f>
        <v>650</v>
      </c>
      <c r="M4" s="29"/>
      <c r="N4" s="79">
        <f>ROUND(IF(J4*0.25-0.5&lt;0,0,J4*0.25-0.5),0)-Q4-O4</f>
        <v>162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1">
        <v>330</v>
      </c>
      <c r="V4" s="201">
        <v>320</v>
      </c>
      <c r="W4" s="203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48.7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120</v>
      </c>
      <c r="K5" s="78">
        <f t="shared" ref="K5:K17" si="0">IF(SUM(T5:AH5)&gt;J5+M5,J5+M5,SUM(T5:AH5))</f>
        <v>100</v>
      </c>
      <c r="L5" s="26">
        <f t="shared" ref="L5:L17" si="1">(SUM(T5:AH5))</f>
        <v>100</v>
      </c>
      <c r="M5" s="29"/>
      <c r="N5" s="79">
        <f t="shared" ref="N5:N17" si="2">ROUND(IF(J5*0.25-0.5&lt;0,0,J5*0.25-0.5),0)-Q5-O5</f>
        <v>30</v>
      </c>
      <c r="O5" s="29"/>
      <c r="P5" s="29"/>
      <c r="Q5" s="29"/>
      <c r="R5" s="80">
        <f t="shared" ref="R5:R17" si="3">J5-(SUM(T5:AH5))+M5</f>
        <v>20</v>
      </c>
      <c r="S5" s="81" t="str">
        <f t="shared" ref="S5:S18" si="4">IF(R5&lt;0,"ATENÇÃO","OK")</f>
        <v>OK</v>
      </c>
      <c r="T5" s="201">
        <v>50</v>
      </c>
      <c r="U5" s="203"/>
      <c r="V5" s="203"/>
      <c r="W5" s="201">
        <v>50</v>
      </c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48.7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8</v>
      </c>
      <c r="K6" s="78">
        <f t="shared" si="0"/>
        <v>8</v>
      </c>
      <c r="L6" s="26">
        <f t="shared" si="1"/>
        <v>8</v>
      </c>
      <c r="M6" s="29"/>
      <c r="N6" s="79">
        <f t="shared" si="2"/>
        <v>2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1">
        <v>8</v>
      </c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48.7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9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48.7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9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48.7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450</v>
      </c>
      <c r="K9" s="78">
        <f t="shared" si="0"/>
        <v>0</v>
      </c>
      <c r="L9" s="26">
        <f t="shared" si="1"/>
        <v>0</v>
      </c>
      <c r="M9" s="29"/>
      <c r="N9" s="79">
        <f t="shared" si="2"/>
        <v>112</v>
      </c>
      <c r="O9" s="29"/>
      <c r="P9" s="29"/>
      <c r="Q9" s="29"/>
      <c r="R9" s="80">
        <f t="shared" si="3"/>
        <v>450</v>
      </c>
      <c r="S9" s="81" t="str">
        <f t="shared" si="4"/>
        <v>OK</v>
      </c>
      <c r="T9" s="203"/>
      <c r="U9" s="203"/>
      <c r="V9" s="203"/>
      <c r="W9" s="203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48.7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48.7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48.7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9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48.7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48.7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8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48.7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8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48.7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48.7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8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48.7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1228</v>
      </c>
      <c r="M18" s="117"/>
      <c r="N18" s="117"/>
      <c r="O18" s="117"/>
      <c r="P18" s="117"/>
      <c r="Q18" s="117"/>
      <c r="R18" s="118">
        <f>SUM(R4:R17)</f>
        <v>470</v>
      </c>
      <c r="S18" s="119" t="str">
        <f t="shared" si="4"/>
        <v>OK</v>
      </c>
      <c r="T18" s="209">
        <f>SUMPRODUCT($I$4:$I$17,T4:T17)</f>
        <v>650</v>
      </c>
      <c r="U18" s="209">
        <f t="shared" ref="U18:AH18" si="5">SUMPRODUCT($I$4:$I$17,U4:U17)</f>
        <v>3465</v>
      </c>
      <c r="V18" s="209">
        <f t="shared" si="5"/>
        <v>3360</v>
      </c>
      <c r="W18" s="209">
        <f t="shared" si="5"/>
        <v>874</v>
      </c>
      <c r="X18" s="209">
        <f t="shared" si="5"/>
        <v>0</v>
      </c>
      <c r="Y18" s="209">
        <f t="shared" si="5"/>
        <v>0</v>
      </c>
      <c r="Z18" s="209">
        <f t="shared" si="5"/>
        <v>0</v>
      </c>
      <c r="AA18" s="209">
        <f t="shared" si="5"/>
        <v>0</v>
      </c>
      <c r="AB18" s="209">
        <f t="shared" si="5"/>
        <v>0</v>
      </c>
      <c r="AC18" s="209">
        <f t="shared" si="5"/>
        <v>0</v>
      </c>
      <c r="AD18" s="209">
        <f t="shared" si="5"/>
        <v>0</v>
      </c>
      <c r="AE18" s="209">
        <f t="shared" si="5"/>
        <v>0</v>
      </c>
      <c r="AF18" s="209">
        <f t="shared" si="5"/>
        <v>0</v>
      </c>
      <c r="AG18" s="209">
        <f t="shared" si="5"/>
        <v>0</v>
      </c>
      <c r="AH18" s="209">
        <f t="shared" si="5"/>
        <v>0</v>
      </c>
    </row>
    <row r="19" spans="1:34" s="64" customFormat="1" ht="48.7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21024.5</v>
      </c>
      <c r="K19" s="242">
        <f t="shared" ref="K19:R19" si="6">SUMPRODUCT($I$4:$I$17,K4:K17)</f>
        <v>8349</v>
      </c>
      <c r="L19" s="242">
        <f t="shared" si="6"/>
        <v>8349</v>
      </c>
      <c r="M19" s="242">
        <f t="shared" si="6"/>
        <v>0</v>
      </c>
      <c r="N19" s="242">
        <f t="shared" si="6"/>
        <v>5237.08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12675.5</v>
      </c>
      <c r="S19" s="120"/>
      <c r="T19" s="202"/>
      <c r="U19" s="202"/>
      <c r="V19" s="202"/>
      <c r="W19" s="202"/>
      <c r="AA19" s="122"/>
    </row>
  </sheetData>
  <mergeCells count="27">
    <mergeCell ref="V1:V2"/>
    <mergeCell ref="U1:U2"/>
    <mergeCell ref="AH1:AH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X4:AH17">
    <cfRule type="cellIs" dxfId="12" priority="1" stopIfTrue="1" operator="greaterThan">
      <formula>0</formula>
    </cfRule>
    <cfRule type="cellIs" dxfId="11" priority="2" stopIfTrue="1" operator="greaterThan">
      <formula>0</formula>
    </cfRule>
    <cfRule type="cellIs" dxfId="10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80B7-F7A0-4CCE-9945-1297BBF86082}">
  <sheetPr>
    <tabColor rgb="FF92D050"/>
  </sheetPr>
  <dimension ref="A1:AH19"/>
  <sheetViews>
    <sheetView topLeftCell="A10" zoomScale="50" zoomScaleNormal="50" workbookViewId="0">
      <selection activeCell="J26" sqref="J26"/>
    </sheetView>
  </sheetViews>
  <sheetFormatPr defaultColWidth="9.81640625" defaultRowHeight="47.25" customHeight="1" x14ac:dyDescent="0.35"/>
  <cols>
    <col min="1" max="1" width="8.81640625" style="1" customWidth="1"/>
    <col min="2" max="2" width="11" style="15" customWidth="1"/>
    <col min="3" max="3" width="16.81640625" style="16" customWidth="1"/>
    <col min="4" max="4" width="23.1796875" style="17" customWidth="1"/>
    <col min="5" max="5" width="12.54296875" style="17" bestFit="1" customWidth="1"/>
    <col min="6" max="6" width="14.81640625" style="1" bestFit="1" customWidth="1"/>
    <col min="7" max="7" width="10.36328125" style="1" customWidth="1"/>
    <col min="8" max="8" width="11.54296875" style="1" bestFit="1" customWidth="1"/>
    <col min="9" max="9" width="15.54296875" style="1" customWidth="1"/>
    <col min="10" max="10" width="12" style="13" customWidth="1"/>
    <col min="11" max="18" width="12" style="4" customWidth="1"/>
    <col min="19" max="19" width="12" style="12" customWidth="1"/>
    <col min="20" max="20" width="15.54296875" style="5" customWidth="1"/>
    <col min="21" max="22" width="15.54296875" style="4" customWidth="1"/>
    <col min="23" max="32" width="13.81640625" style="4" customWidth="1"/>
    <col min="33" max="38" width="13.81640625" style="2" customWidth="1"/>
    <col min="39" max="16384" width="9.81640625" style="2"/>
  </cols>
  <sheetData>
    <row r="1" spans="1:34" s="64" customFormat="1" ht="47.2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192</v>
      </c>
      <c r="U1" s="270" t="s">
        <v>193</v>
      </c>
      <c r="V1" s="270" t="s">
        <v>194</v>
      </c>
      <c r="W1" s="270" t="s">
        <v>211</v>
      </c>
      <c r="X1" s="270" t="s">
        <v>212</v>
      </c>
      <c r="Y1" s="270" t="s">
        <v>213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47.25" customHeight="1" x14ac:dyDescent="0.35">
      <c r="A2" s="254" t="s">
        <v>113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71"/>
      <c r="Y2" s="271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47.2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45820</v>
      </c>
      <c r="U3" s="200">
        <v>45916</v>
      </c>
      <c r="V3" s="200">
        <v>45895</v>
      </c>
      <c r="W3" s="200">
        <v>45992</v>
      </c>
      <c r="X3" s="200">
        <v>45992</v>
      </c>
      <c r="Y3" s="200">
        <v>46086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7.2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206</v>
      </c>
      <c r="K4" s="78">
        <f>IF(SUM(T4:AH4)&gt;J4+M4,J4+M4,SUM(T4:AH4))</f>
        <v>356</v>
      </c>
      <c r="L4" s="26">
        <f>(SUM(T4:AH4))</f>
        <v>356</v>
      </c>
      <c r="M4" s="29">
        <v>150</v>
      </c>
      <c r="N4" s="79">
        <f>ROUND(IF(J4*0.25-0.5&lt;0,0,J4*0.25-0.5),0)-Q4-O4</f>
        <v>51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1">
        <v>150</v>
      </c>
      <c r="V4" s="203"/>
      <c r="W4" s="203"/>
      <c r="X4" s="201">
        <v>56</v>
      </c>
      <c r="Y4" s="201">
        <v>150</v>
      </c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47.2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180</v>
      </c>
      <c r="K5" s="78">
        <f t="shared" ref="K5:K17" si="0">IF(SUM(T5:AH5)&gt;J5+M5,J5+M5,SUM(T5:AH5))</f>
        <v>180</v>
      </c>
      <c r="L5" s="26">
        <f t="shared" ref="L5:L17" si="1">(SUM(T5:AH5))</f>
        <v>180</v>
      </c>
      <c r="M5" s="29"/>
      <c r="N5" s="79">
        <f t="shared" ref="N5:N17" si="2">ROUND(IF(J5*0.25-0.5&lt;0,0,J5*0.25-0.5),0)-Q5-O5</f>
        <v>45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1">
        <v>100</v>
      </c>
      <c r="U5" s="203"/>
      <c r="V5" s="203"/>
      <c r="W5" s="203"/>
      <c r="X5" s="201">
        <v>80</v>
      </c>
      <c r="Y5" s="203"/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47.2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203"/>
      <c r="Y6" s="203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47.2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203"/>
      <c r="Y7" s="203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47.2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203"/>
      <c r="Y8" s="203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47.2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425</v>
      </c>
      <c r="K9" s="78">
        <f t="shared" si="0"/>
        <v>425</v>
      </c>
      <c r="L9" s="26">
        <f t="shared" si="1"/>
        <v>425</v>
      </c>
      <c r="M9" s="29"/>
      <c r="N9" s="79">
        <f t="shared" si="2"/>
        <v>106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3"/>
      <c r="V9" s="201">
        <v>240</v>
      </c>
      <c r="W9" s="201">
        <v>185</v>
      </c>
      <c r="X9" s="203"/>
      <c r="Y9" s="203"/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47.2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203"/>
      <c r="Y10" s="203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47.2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203"/>
      <c r="Y11" s="203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47.2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203"/>
      <c r="Y12" s="203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47.2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203"/>
      <c r="Y13" s="203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47.2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203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47.2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203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47.2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203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47.2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203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47.2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811</v>
      </c>
      <c r="M18" s="117"/>
      <c r="N18" s="117"/>
      <c r="O18" s="117"/>
      <c r="P18" s="117"/>
      <c r="Q18" s="117"/>
      <c r="R18" s="118">
        <f>SUM(R4:R17)</f>
        <v>0</v>
      </c>
      <c r="S18" s="119" t="str">
        <f t="shared" si="4"/>
        <v>OK</v>
      </c>
      <c r="T18" s="209">
        <f>SUMPRODUCT($I$4:$I$17,T4:T17)</f>
        <v>1300</v>
      </c>
      <c r="U18" s="209">
        <f t="shared" ref="U18:AH18" si="5">SUMPRODUCT($I$4:$I$17,U4:U17)</f>
        <v>1575</v>
      </c>
      <c r="V18" s="209">
        <f t="shared" si="5"/>
        <v>6621.6</v>
      </c>
      <c r="W18" s="209">
        <f t="shared" si="5"/>
        <v>5104.1499999999996</v>
      </c>
      <c r="X18" s="209">
        <f t="shared" si="5"/>
        <v>1628</v>
      </c>
      <c r="Y18" s="209">
        <f t="shared" si="5"/>
        <v>1575</v>
      </c>
      <c r="Z18" s="209">
        <f t="shared" si="5"/>
        <v>0</v>
      </c>
      <c r="AA18" s="209">
        <f t="shared" si="5"/>
        <v>0</v>
      </c>
      <c r="AB18" s="209">
        <f t="shared" si="5"/>
        <v>0</v>
      </c>
      <c r="AC18" s="209">
        <f t="shared" si="5"/>
        <v>0</v>
      </c>
      <c r="AD18" s="209">
        <f t="shared" si="5"/>
        <v>0</v>
      </c>
      <c r="AE18" s="209">
        <f t="shared" si="5"/>
        <v>0</v>
      </c>
      <c r="AF18" s="209">
        <f t="shared" si="5"/>
        <v>0</v>
      </c>
      <c r="AG18" s="209">
        <f t="shared" si="5"/>
        <v>0</v>
      </c>
      <c r="AH18" s="209">
        <f t="shared" si="5"/>
        <v>0</v>
      </c>
    </row>
    <row r="19" spans="1:34" s="64" customFormat="1" ht="47.2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16228.75</v>
      </c>
      <c r="K19" s="242">
        <f t="shared" ref="K19:R19" si="6">SUMPRODUCT($I$4:$I$17,K4:K17)</f>
        <v>17803.75</v>
      </c>
      <c r="L19" s="242">
        <f t="shared" si="6"/>
        <v>17803.75</v>
      </c>
      <c r="M19" s="242">
        <f t="shared" si="6"/>
        <v>1575</v>
      </c>
      <c r="N19" s="242">
        <f t="shared" si="6"/>
        <v>4045.04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0</v>
      </c>
      <c r="S19" s="120"/>
      <c r="T19" s="202"/>
      <c r="U19" s="202"/>
      <c r="V19" s="202"/>
      <c r="W19" s="202"/>
      <c r="X19" s="202"/>
      <c r="Y19" s="202"/>
      <c r="AA19" s="122"/>
    </row>
  </sheetData>
  <mergeCells count="27"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V1:V2"/>
    <mergeCell ref="U1:U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Z4:AH17">
    <cfRule type="cellIs" dxfId="9" priority="1" stopIfTrue="1" operator="greaterThan">
      <formula>0</formula>
    </cfRule>
    <cfRule type="cellIs" dxfId="8" priority="2" stopIfTrue="1" operator="greaterThan">
      <formula>0</formula>
    </cfRule>
    <cfRule type="cellIs" dxfId="7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FDC9-FFE1-4C7A-83F3-8014CBDE0F06}">
  <sheetPr>
    <tabColor rgb="FF92D050"/>
  </sheetPr>
  <dimension ref="A1:AH21"/>
  <sheetViews>
    <sheetView topLeftCell="A10" zoomScale="50" zoomScaleNormal="50" workbookViewId="0">
      <selection activeCell="R21" sqref="R21"/>
    </sheetView>
  </sheetViews>
  <sheetFormatPr defaultColWidth="13.54296875" defaultRowHeight="46" customHeight="1" x14ac:dyDescent="0.35"/>
  <cols>
    <col min="1" max="1" width="10.81640625" style="1" customWidth="1"/>
    <col min="2" max="2" width="9.1796875" style="15" customWidth="1"/>
    <col min="3" max="3" width="13.54296875" style="16"/>
    <col min="4" max="4" width="20.08984375" style="17" customWidth="1"/>
    <col min="5" max="5" width="13.54296875" style="17"/>
    <col min="6" max="9" width="13.54296875" style="1"/>
    <col min="10" max="10" width="11.1796875" style="13" customWidth="1"/>
    <col min="11" max="18" width="11.1796875" style="4" customWidth="1"/>
    <col min="19" max="19" width="11.1796875" style="12" customWidth="1"/>
    <col min="20" max="20" width="15.1796875" style="5" customWidth="1"/>
    <col min="21" max="23" width="15.1796875" style="4" customWidth="1"/>
    <col min="24" max="32" width="13.54296875" style="4"/>
    <col min="33" max="16384" width="13.54296875" style="2"/>
  </cols>
  <sheetData>
    <row r="1" spans="1:34" s="64" customFormat="1" ht="46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174</v>
      </c>
      <c r="U1" s="270" t="s">
        <v>175</v>
      </c>
      <c r="V1" s="270" t="s">
        <v>176</v>
      </c>
      <c r="W1" s="270" t="s">
        <v>177</v>
      </c>
      <c r="X1" s="245" t="s">
        <v>58</v>
      </c>
      <c r="Y1" s="245" t="s">
        <v>58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25.5" customHeight="1" x14ac:dyDescent="0.35">
      <c r="A2" s="254" t="s">
        <v>114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46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45790</v>
      </c>
      <c r="U3" s="200">
        <v>45834</v>
      </c>
      <c r="V3" s="200">
        <v>45908</v>
      </c>
      <c r="W3" s="200">
        <v>45929</v>
      </c>
      <c r="X3" s="70" t="s">
        <v>65</v>
      </c>
      <c r="Y3" s="70" t="s">
        <v>65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6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90">
        <v>0</v>
      </c>
      <c r="K4" s="78">
        <f>IF(SUM(T4:AH4)&gt;J4+M4,J4+M4,SUM(T4:AH4))</f>
        <v>0</v>
      </c>
      <c r="L4" s="26">
        <f>(SUM(T4:AH4))</f>
        <v>0</v>
      </c>
      <c r="M4" s="29"/>
      <c r="N4" s="79">
        <f>ROUND(IF(J4*0.25-0.5&lt;0,0,J4*0.25-0.5),0)-Q4-O4</f>
        <v>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3"/>
      <c r="V4" s="203"/>
      <c r="W4" s="203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46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91">
        <v>0</v>
      </c>
      <c r="K5" s="78">
        <f t="shared" ref="K5:K17" si="0">IF(SUM(T5:AH5)&gt;J5+M5,J5+M5,SUM(T5:AH5))</f>
        <v>40</v>
      </c>
      <c r="L5" s="26">
        <f t="shared" ref="L5:L17" si="1">(SUM(T5:AH5))</f>
        <v>40</v>
      </c>
      <c r="M5" s="29">
        <v>40</v>
      </c>
      <c r="N5" s="79">
        <f t="shared" ref="N5:N17" si="2">ROUND(IF(J5*0.25-0.5&lt;0,0,J5*0.25-0.5),0)-Q5-O5</f>
        <v>0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3"/>
      <c r="U5" s="203"/>
      <c r="V5" s="201">
        <v>40</v>
      </c>
      <c r="W5" s="203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46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91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46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91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46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91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46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91">
        <v>0</v>
      </c>
      <c r="K9" s="78">
        <f t="shared" si="0"/>
        <v>160</v>
      </c>
      <c r="L9" s="26">
        <f t="shared" si="1"/>
        <v>160</v>
      </c>
      <c r="M9" s="29">
        <v>160</v>
      </c>
      <c r="N9" s="79">
        <f t="shared" si="2"/>
        <v>0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3"/>
      <c r="V9" s="203"/>
      <c r="W9" s="201">
        <v>160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46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91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46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91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46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91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46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91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46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91">
        <v>1500</v>
      </c>
      <c r="K14" s="78">
        <f t="shared" si="0"/>
        <v>40</v>
      </c>
      <c r="L14" s="26">
        <f t="shared" si="1"/>
        <v>40</v>
      </c>
      <c r="M14" s="29"/>
      <c r="N14" s="79">
        <f t="shared" si="2"/>
        <v>375</v>
      </c>
      <c r="O14" s="29"/>
      <c r="P14" s="29"/>
      <c r="Q14" s="29"/>
      <c r="R14" s="80">
        <f t="shared" si="3"/>
        <v>1460</v>
      </c>
      <c r="S14" s="81" t="str">
        <f t="shared" si="4"/>
        <v>OK</v>
      </c>
      <c r="T14" s="201">
        <v>20</v>
      </c>
      <c r="U14" s="201">
        <v>20</v>
      </c>
      <c r="V14" s="203"/>
      <c r="W14" s="203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46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91">
        <v>330</v>
      </c>
      <c r="K15" s="78">
        <f t="shared" si="0"/>
        <v>20</v>
      </c>
      <c r="L15" s="26">
        <f t="shared" si="1"/>
        <v>20</v>
      </c>
      <c r="M15" s="29"/>
      <c r="N15" s="79">
        <f t="shared" si="2"/>
        <v>82</v>
      </c>
      <c r="O15" s="29"/>
      <c r="P15" s="29"/>
      <c r="Q15" s="29"/>
      <c r="R15" s="80">
        <f t="shared" si="3"/>
        <v>310</v>
      </c>
      <c r="S15" s="81" t="str">
        <f t="shared" si="4"/>
        <v>OK</v>
      </c>
      <c r="T15" s="203"/>
      <c r="U15" s="201">
        <v>20</v>
      </c>
      <c r="V15" s="203"/>
      <c r="W15" s="203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46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91">
        <v>300</v>
      </c>
      <c r="K16" s="78">
        <f t="shared" si="0"/>
        <v>0</v>
      </c>
      <c r="L16" s="26">
        <f t="shared" si="1"/>
        <v>0</v>
      </c>
      <c r="M16" s="29"/>
      <c r="N16" s="79">
        <f t="shared" si="2"/>
        <v>75</v>
      </c>
      <c r="O16" s="29"/>
      <c r="P16" s="29"/>
      <c r="Q16" s="29"/>
      <c r="R16" s="80">
        <f t="shared" si="3"/>
        <v>300</v>
      </c>
      <c r="S16" s="81" t="str">
        <f t="shared" si="4"/>
        <v>OK</v>
      </c>
      <c r="T16" s="203"/>
      <c r="U16" s="203"/>
      <c r="V16" s="203"/>
      <c r="W16" s="203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46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90">
        <v>350</v>
      </c>
      <c r="K17" s="78">
        <f t="shared" si="0"/>
        <v>10</v>
      </c>
      <c r="L17" s="26">
        <f t="shared" si="1"/>
        <v>10</v>
      </c>
      <c r="M17" s="29"/>
      <c r="N17" s="79">
        <f t="shared" si="2"/>
        <v>87</v>
      </c>
      <c r="O17" s="29"/>
      <c r="P17" s="29"/>
      <c r="Q17" s="29"/>
      <c r="R17" s="80">
        <f t="shared" si="3"/>
        <v>340</v>
      </c>
      <c r="S17" s="81" t="str">
        <f t="shared" si="4"/>
        <v>OK</v>
      </c>
      <c r="T17" s="203"/>
      <c r="U17" s="201">
        <v>10</v>
      </c>
      <c r="V17" s="203"/>
      <c r="W17" s="203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24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2480</v>
      </c>
      <c r="M18" s="117"/>
      <c r="N18" s="117"/>
      <c r="O18" s="117"/>
      <c r="P18" s="117"/>
      <c r="Q18" s="117"/>
      <c r="R18" s="118">
        <f>SUM(R4:R17)</f>
        <v>2410</v>
      </c>
      <c r="S18" s="119" t="str">
        <f t="shared" si="4"/>
        <v>OK</v>
      </c>
      <c r="T18" s="212">
        <f>SUMPRODUCT($I$4:$I$17,T4:T17)</f>
        <v>306.2</v>
      </c>
      <c r="U18" s="212">
        <f t="shared" ref="U18:AH18" si="5">SUMPRODUCT($I$4:$I$17,U4:U17)</f>
        <v>629.20000000000005</v>
      </c>
      <c r="V18" s="212">
        <f t="shared" si="5"/>
        <v>520</v>
      </c>
      <c r="W18" s="212">
        <f t="shared" si="5"/>
        <v>4414.3999999999996</v>
      </c>
      <c r="X18" s="206">
        <f t="shared" si="5"/>
        <v>0</v>
      </c>
      <c r="Y18" s="206">
        <f t="shared" si="5"/>
        <v>0</v>
      </c>
      <c r="Z18" s="206">
        <f t="shared" si="5"/>
        <v>0</v>
      </c>
      <c r="AA18" s="206">
        <f t="shared" si="5"/>
        <v>0</v>
      </c>
      <c r="AB18" s="206">
        <f t="shared" si="5"/>
        <v>0</v>
      </c>
      <c r="AC18" s="206">
        <f t="shared" si="5"/>
        <v>0</v>
      </c>
      <c r="AD18" s="206">
        <f t="shared" si="5"/>
        <v>0</v>
      </c>
      <c r="AE18" s="206">
        <f t="shared" si="5"/>
        <v>0</v>
      </c>
      <c r="AF18" s="206">
        <f t="shared" si="5"/>
        <v>0</v>
      </c>
      <c r="AG18" s="206">
        <f t="shared" si="5"/>
        <v>0</v>
      </c>
      <c r="AH18" s="206">
        <f t="shared" si="5"/>
        <v>0</v>
      </c>
    </row>
    <row r="19" spans="1:34" s="64" customFormat="1" ht="46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36843.199999999997</v>
      </c>
      <c r="K19" s="242">
        <f t="shared" ref="K19:R19" si="6">SUMPRODUCT($I$4:$I$17,K4:K17)</f>
        <v>5869.7999999999993</v>
      </c>
      <c r="L19" s="242">
        <f t="shared" si="6"/>
        <v>5869.7999999999993</v>
      </c>
      <c r="M19" s="242">
        <f t="shared" si="6"/>
        <v>4934.3999999999996</v>
      </c>
      <c r="N19" s="242">
        <f t="shared" si="6"/>
        <v>9201.6200000000008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35907.800000000003</v>
      </c>
      <c r="S19" s="120"/>
      <c r="T19" s="202"/>
      <c r="U19" s="206"/>
      <c r="V19" s="202"/>
      <c r="W19" s="202"/>
      <c r="AA19" s="122"/>
    </row>
    <row r="20" spans="1:34" ht="46" customHeight="1" x14ac:dyDescent="0.35">
      <c r="T20" s="213"/>
      <c r="U20" s="206"/>
      <c r="V20" s="213"/>
      <c r="W20" s="213"/>
    </row>
    <row r="21" spans="1:34" ht="46" customHeight="1" x14ac:dyDescent="0.35">
      <c r="T21" s="213"/>
      <c r="U21" s="214"/>
      <c r="V21" s="213"/>
      <c r="W21" s="213"/>
    </row>
  </sheetData>
  <mergeCells count="27"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V1:V2"/>
    <mergeCell ref="U1:U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X4:AH17">
    <cfRule type="cellIs" dxfId="6" priority="1" stopIfTrue="1" operator="greaterThan">
      <formula>0</formula>
    </cfRule>
    <cfRule type="cellIs" dxfId="5" priority="2" stopIfTrue="1" operator="greaterThan">
      <formula>0</formula>
    </cfRule>
    <cfRule type="cellIs" dxfId="4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W38"/>
  <sheetViews>
    <sheetView tabSelected="1" topLeftCell="A21" zoomScale="50" zoomScaleNormal="50" workbookViewId="0">
      <selection activeCell="H39" sqref="H39"/>
    </sheetView>
  </sheetViews>
  <sheetFormatPr defaultColWidth="9.81640625" defaultRowHeight="40" customHeight="1" x14ac:dyDescent="0.35"/>
  <cols>
    <col min="1" max="1" width="10" style="1" customWidth="1"/>
    <col min="2" max="2" width="11.81640625" style="1" customWidth="1"/>
    <col min="3" max="3" width="15.81640625" style="1" customWidth="1"/>
    <col min="4" max="4" width="41.1796875" style="1" customWidth="1"/>
    <col min="5" max="5" width="15.453125" style="1" customWidth="1"/>
    <col min="6" max="6" width="13.54296875" style="1" customWidth="1"/>
    <col min="7" max="7" width="12.453125" style="1" customWidth="1"/>
    <col min="8" max="8" width="14.26953125" style="1" customWidth="1"/>
    <col min="9" max="9" width="17.81640625" style="1" customWidth="1"/>
    <col min="10" max="10" width="17.26953125" style="4" customWidth="1"/>
    <col min="11" max="11" width="16.90625" style="4" customWidth="1"/>
    <col min="12" max="12" width="18.6328125" style="12" customWidth="1"/>
    <col min="13" max="13" width="16.453125" style="12" bestFit="1" customWidth="1"/>
    <col min="14" max="14" width="16.453125" style="12" customWidth="1"/>
    <col min="15" max="15" width="20.36328125" style="5" customWidth="1"/>
    <col min="16" max="16" width="16" style="2" customWidth="1"/>
    <col min="17" max="18" width="17.453125" style="2" customWidth="1"/>
    <col min="19" max="19" width="20" style="2" customWidth="1"/>
    <col min="20" max="16384" width="9.81640625" style="2"/>
  </cols>
  <sheetData>
    <row r="1" spans="1:22" ht="34" customHeight="1" x14ac:dyDescent="0.35">
      <c r="A1" s="291" t="str">
        <f>CEO!A1</f>
        <v>PE 629/2025 SRP - SGPe 1965/2025</v>
      </c>
      <c r="B1" s="298"/>
      <c r="C1" s="291" t="str">
        <f>CEO!D1</f>
        <v>OBJETO: AQUISIÇÃO DE GÊNEROS ALIMENTÍCIOS, ÁGUA E GÁS PARA A UDESC</v>
      </c>
      <c r="D1" s="292"/>
      <c r="E1" s="292"/>
      <c r="F1" s="292"/>
      <c r="G1" s="292"/>
      <c r="H1" s="292"/>
      <c r="I1" s="298"/>
      <c r="J1" s="291" t="str">
        <f>CEO!J1</f>
        <v>VIGÊNCIA DA ATA:  08/05/2025 até 08/05/2026.</v>
      </c>
      <c r="K1" s="292"/>
      <c r="L1" s="292"/>
      <c r="M1" s="292"/>
      <c r="N1" s="292"/>
      <c r="O1" s="292"/>
      <c r="P1" s="292"/>
      <c r="Q1" s="292"/>
      <c r="R1" s="292"/>
    </row>
    <row r="2" spans="1:22" ht="27" customHeight="1" x14ac:dyDescent="0.35">
      <c r="A2" s="293" t="s">
        <v>55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5"/>
      <c r="S2" s="296" t="s">
        <v>12</v>
      </c>
      <c r="T2" s="297"/>
      <c r="U2" s="297"/>
      <c r="V2" s="297"/>
    </row>
    <row r="3" spans="1:22" s="3" customFormat="1" ht="40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9" t="s">
        <v>3</v>
      </c>
      <c r="J3" s="30" t="s">
        <v>40</v>
      </c>
      <c r="K3" s="10" t="s">
        <v>39</v>
      </c>
      <c r="L3" s="27" t="s">
        <v>14</v>
      </c>
      <c r="M3" s="27" t="s">
        <v>13</v>
      </c>
      <c r="N3" s="8" t="s">
        <v>2</v>
      </c>
      <c r="O3" s="14" t="s">
        <v>7</v>
      </c>
      <c r="P3" s="14" t="s">
        <v>8</v>
      </c>
      <c r="Q3" s="28" t="s">
        <v>32</v>
      </c>
      <c r="R3" s="14" t="s">
        <v>4</v>
      </c>
      <c r="S3" s="28" t="s">
        <v>15</v>
      </c>
      <c r="T3" s="28" t="s">
        <v>16</v>
      </c>
      <c r="U3" s="28" t="s">
        <v>17</v>
      </c>
      <c r="V3" s="21" t="s">
        <v>10</v>
      </c>
    </row>
    <row r="4" spans="1:22" ht="40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36">
        <f>REITORIA!J4+CESFI!J4+CEFID!J4+CAV!J4+CCT!J4+CEART!J4+ESAG!J4+CEAD!J4+CEPLAN!J4+CEAVI!J4+CERES!J4+FAED!J4+CEO!J4</f>
        <v>6886</v>
      </c>
      <c r="J4" s="37">
        <f>REITORIA!K4+ESAG!K4+CEART!K4+FAED!K4+CEAD!K4+CEFID!K4+CERES!K4+CESFI!K4+CCT!K4+CEPLAN!K4+CEAVI!K4+CAV!K4+CEO!K4</f>
        <v>6886</v>
      </c>
      <c r="K4" s="37">
        <f>REITORIA!L4+ESAG!L4+CEART!L4+FAED!L4+CEAD!L4+CEFID!L4+CERES!L4+CESFI!L4+CCT!L4+CEPLAN!L4+CEAVI!L4+CAV!L4+CEO!L4</f>
        <v>6886</v>
      </c>
      <c r="L4" s="32">
        <f>I4*0.25-0.5-M4</f>
        <v>1721</v>
      </c>
      <c r="M4" s="33">
        <f>REITORIA!O4+CESFI!O4+CEFID!O4+CAV!O4+CCT!O4+CEART!O4+ESAG!O4+CEAD!O4+CEPLAN!O4+CEAVI!O4+CERES!O4+FAED!O4+CEO!O4</f>
        <v>0</v>
      </c>
      <c r="N4" s="34">
        <f>I4+M4-K4</f>
        <v>0</v>
      </c>
      <c r="O4" s="123">
        <v>10.5</v>
      </c>
      <c r="P4" s="7">
        <f>O4*I4</f>
        <v>72303</v>
      </c>
      <c r="Q4" s="25">
        <f>M4*O4</f>
        <v>0</v>
      </c>
      <c r="R4" s="6">
        <f>O4*K4</f>
        <v>72303</v>
      </c>
      <c r="S4" s="19"/>
      <c r="T4" s="19"/>
      <c r="U4" s="19"/>
      <c r="V4" s="22"/>
    </row>
    <row r="5" spans="1:22" ht="40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36">
        <f>REITORIA!J5+CESFI!J5+CEFID!J5+CAV!J5+CCT!J5+CEART!J5+ESAG!J5+CEAD!J5+CEPLAN!J5+CEAVI!J5+CERES!J5+FAED!J5+CEO!J5</f>
        <v>2777</v>
      </c>
      <c r="J5" s="37">
        <f>REITORIA!K5+ESAG!K5+CEART!K5+FAED!K5+CEAD!K5+CEFID!K5+CERES!K5+CESFI!K5+CCT!K5+CEPLAN!K5+CEAVI!K5+CAV!K5+CEO!K5</f>
        <v>2622</v>
      </c>
      <c r="K5" s="37">
        <f>REITORIA!L5+ESAG!L5+CEART!L5+FAED!L5+CEAD!L5+CEFID!L5+CERES!L5+CESFI!L5+CCT!L5+CEPLAN!L5+CEAVI!L5+CAV!L5+CEO!L5</f>
        <v>2622</v>
      </c>
      <c r="L5" s="32">
        <f>I5*0.25-0.5-M5</f>
        <v>693.75</v>
      </c>
      <c r="M5" s="33">
        <f>REITORIA!O5+CESFI!O5+CEFID!O5+CAV!O5+CCT!O5+CEART!O5+ESAG!O5+CEAD!O5+CEPLAN!O5+CEAVI!O5+CERES!O5+FAED!O5+CEO!O5</f>
        <v>0</v>
      </c>
      <c r="N5" s="34">
        <f t="shared" ref="N5:N17" si="0">I5+M5-K5</f>
        <v>155</v>
      </c>
      <c r="O5" s="85">
        <v>13</v>
      </c>
      <c r="P5" s="7">
        <f t="shared" ref="P5:P17" si="1">O5*I5</f>
        <v>36101</v>
      </c>
      <c r="Q5" s="25">
        <f t="shared" ref="Q5:Q17" si="2">M5*O5</f>
        <v>0</v>
      </c>
      <c r="R5" s="6">
        <f t="shared" ref="R5:R17" si="3">O5*K5</f>
        <v>34086</v>
      </c>
      <c r="S5" s="19"/>
      <c r="T5" s="19"/>
      <c r="U5" s="19"/>
      <c r="V5" s="22"/>
    </row>
    <row r="6" spans="1:22" ht="40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36">
        <f>REITORIA!J6+CESFI!J6+CEFID!J6+CAV!J6+CCT!J6+CEART!J6+ESAG!J6+CEAD!J6+CEPLAN!J6+CEAVI!J6+CERES!J6+FAED!J6+CEO!J6</f>
        <v>64</v>
      </c>
      <c r="J6" s="37">
        <f>REITORIA!K6+ESAG!K6+CEART!K6+FAED!K6+CEAD!K6+CEFID!K6+CERES!K6+CESFI!K6+CCT!K6+CEPLAN!K6+CEAVI!K6+CAV!K6+CEO!K6</f>
        <v>59</v>
      </c>
      <c r="K6" s="37">
        <f>REITORIA!L6+ESAG!L6+CEART!L6+FAED!L6+CEAD!L6+CEFID!L6+CERES!L6+CESFI!L6+CCT!L6+CEPLAN!L6+CEAVI!L6+CAV!L6+CEO!L6</f>
        <v>59</v>
      </c>
      <c r="L6" s="32">
        <f t="shared" ref="L6:L17" si="4">I6*0.25-0.5-M6</f>
        <v>15.5</v>
      </c>
      <c r="M6" s="33">
        <f>REITORIA!O6+CESFI!O6+CEFID!O6+CAV!O6+CCT!O6+CEART!O6+ESAG!O6+CEAD!O6+CEPLAN!O6+CEAVI!O6+CERES!O6+FAED!O6+CEO!O6</f>
        <v>0</v>
      </c>
      <c r="N6" s="34">
        <f t="shared" si="0"/>
        <v>5</v>
      </c>
      <c r="O6" s="85">
        <v>28</v>
      </c>
      <c r="P6" s="7">
        <f t="shared" si="1"/>
        <v>1792</v>
      </c>
      <c r="Q6" s="25">
        <f t="shared" si="2"/>
        <v>0</v>
      </c>
      <c r="R6" s="6">
        <f t="shared" si="3"/>
        <v>1652</v>
      </c>
      <c r="S6" s="19"/>
      <c r="T6" s="19"/>
      <c r="U6" s="19"/>
      <c r="V6" s="22"/>
    </row>
    <row r="7" spans="1:22" ht="40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36">
        <f>REITORIA!J7+CESFI!J7+CEFID!J7+CAV!J7+CCT!J7+CEART!J7+ESAG!J7+CEAD!J7+CEPLAN!J7+CEAVI!J7+CERES!J7+FAED!J7+CEO!J7</f>
        <v>3500</v>
      </c>
      <c r="J7" s="37">
        <f>REITORIA!K7+ESAG!K7+CEART!K7+FAED!K7+CEAD!K7+CEFID!K7+CERES!K7+CESFI!K7+CCT!K7+CEPLAN!K7+CEAVI!K7+CAV!K7+CEO!K7</f>
        <v>2840</v>
      </c>
      <c r="K7" s="37">
        <f>REITORIA!L7+ESAG!L7+CEART!L7+FAED!L7+CEAD!L7+CEFID!L7+CERES!L7+CESFI!L7+CCT!L7+CEPLAN!L7+CEAVI!L7+CAV!L7+CEO!L7</f>
        <v>2840</v>
      </c>
      <c r="L7" s="32">
        <f t="shared" si="4"/>
        <v>874.5</v>
      </c>
      <c r="M7" s="33">
        <f>REITORIA!O7+CESFI!O7+CEFID!O7+CAV!O7+CCT!O7+CEART!O7+ESAG!O7+CEAD!O7+CEPLAN!O7+CEAVI!O7+CERES!O7+FAED!O7+CEO!O7</f>
        <v>0</v>
      </c>
      <c r="N7" s="34">
        <f t="shared" si="0"/>
        <v>660</v>
      </c>
      <c r="O7" s="85">
        <v>16.670000000000002</v>
      </c>
      <c r="P7" s="7">
        <f t="shared" si="1"/>
        <v>58345.000000000007</v>
      </c>
      <c r="Q7" s="25">
        <f t="shared" si="2"/>
        <v>0</v>
      </c>
      <c r="R7" s="6">
        <f t="shared" si="3"/>
        <v>47342.8</v>
      </c>
      <c r="S7" s="19"/>
      <c r="T7" s="19"/>
      <c r="U7" s="19"/>
      <c r="V7" s="22"/>
    </row>
    <row r="8" spans="1:22" ht="40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36">
        <f>REITORIA!J8+CESFI!J8+CEFID!J8+CAV!J8+CCT!J8+CEART!J8+ESAG!J8+CEAD!J8+CEPLAN!J8+CEAVI!J8+CERES!J8+FAED!J8+CEO!J8</f>
        <v>515</v>
      </c>
      <c r="J8" s="37">
        <f>REITORIA!K8+ESAG!K8+CEART!K8+FAED!K8+CEAD!K8+CEFID!K8+CERES!K8+CESFI!K8+CCT!K8+CEPLAN!K8+CEAVI!K8+CAV!K8+CEO!K8</f>
        <v>515</v>
      </c>
      <c r="K8" s="37">
        <f>REITORIA!L8+ESAG!L8+CEART!L8+FAED!L8+CEAD!L8+CEFID!L8+CERES!L8+CESFI!L8+CCT!L8+CEPLAN!L8+CEAVI!L8+CAV!L8+CEO!L8</f>
        <v>515</v>
      </c>
      <c r="L8" s="32">
        <f t="shared" si="4"/>
        <v>128.25</v>
      </c>
      <c r="M8" s="33">
        <f>REITORIA!O8+CESFI!O8+CEFID!O8+CAV!O8+CCT!O8+CEART!O8+ESAG!O8+CEAD!O8+CEPLAN!O8+CEAVI!O8+CERES!O8+FAED!O8+CEO!O8</f>
        <v>0</v>
      </c>
      <c r="N8" s="34">
        <f t="shared" si="0"/>
        <v>0</v>
      </c>
      <c r="O8" s="85">
        <v>14.58</v>
      </c>
      <c r="P8" s="7">
        <f t="shared" si="1"/>
        <v>7508.7</v>
      </c>
      <c r="Q8" s="25">
        <f t="shared" si="2"/>
        <v>0</v>
      </c>
      <c r="R8" s="6">
        <f t="shared" si="3"/>
        <v>7508.7</v>
      </c>
      <c r="S8" s="19"/>
      <c r="T8" s="19"/>
      <c r="U8" s="19"/>
      <c r="V8" s="22"/>
    </row>
    <row r="9" spans="1:22" ht="40" customHeight="1" x14ac:dyDescent="0.35">
      <c r="A9" s="176">
        <v>4</v>
      </c>
      <c r="B9" s="177">
        <v>8</v>
      </c>
      <c r="C9" s="159" t="s">
        <v>141</v>
      </c>
      <c r="D9" s="178" t="s">
        <v>146</v>
      </c>
      <c r="E9" s="166" t="s">
        <v>150</v>
      </c>
      <c r="F9" s="179" t="s">
        <v>143</v>
      </c>
      <c r="G9" s="168" t="s">
        <v>122</v>
      </c>
      <c r="H9" s="180" t="s">
        <v>102</v>
      </c>
      <c r="I9" s="36">
        <f>REITORIA!J9+CESFI!J9+CEFID!J9+CAV!J9+CCT!J9+CEART!J9+ESAG!J9+CEAD!J9+CEPLAN!J9+CEAVI!J9+CERES!J9+FAED!J9+CEO!J9</f>
        <v>4999</v>
      </c>
      <c r="J9" s="37">
        <f>REITORIA!K9+ESAG!K9+CEART!K9+FAED!K9+CEAD!K9+CEFID!K9+CERES!K9+CESFI!K9+CCT!K9+CEPLAN!K9+CEAVI!K9+CAV!K9+CEO!K9</f>
        <v>4059</v>
      </c>
      <c r="K9" s="37">
        <f>REITORIA!L9+ESAG!L9+CEART!L9+FAED!L9+CEAD!L9+CEFID!L9+CERES!L9+CESFI!L9+CCT!L9+CEPLAN!L9+CEAVI!L9+CAV!L9+CEO!L9</f>
        <v>4059</v>
      </c>
      <c r="L9" s="32">
        <f t="shared" si="4"/>
        <v>1249.25</v>
      </c>
      <c r="M9" s="33">
        <f>REITORIA!O9+CESFI!O9+CEFID!O9+CAV!O9+CCT!O9+CEART!O9+ESAG!O9+CEAD!O9+CEPLAN!O9+CEAVI!O9+CERES!O9+FAED!O9+CEO!O9</f>
        <v>0</v>
      </c>
      <c r="N9" s="34">
        <f t="shared" si="0"/>
        <v>940</v>
      </c>
      <c r="O9" s="85">
        <v>27.59</v>
      </c>
      <c r="P9" s="7">
        <f t="shared" si="1"/>
        <v>137922.41</v>
      </c>
      <c r="Q9" s="25">
        <f t="shared" si="2"/>
        <v>0</v>
      </c>
      <c r="R9" s="6">
        <f t="shared" si="3"/>
        <v>111987.81</v>
      </c>
      <c r="S9" s="19"/>
      <c r="T9" s="19"/>
      <c r="U9" s="19"/>
      <c r="V9" s="22"/>
    </row>
    <row r="10" spans="1:22" ht="40" customHeight="1" x14ac:dyDescent="0.35">
      <c r="A10" s="181">
        <v>5</v>
      </c>
      <c r="B10" s="182">
        <v>9</v>
      </c>
      <c r="C10" s="159" t="s">
        <v>141</v>
      </c>
      <c r="D10" s="183" t="s">
        <v>147</v>
      </c>
      <c r="E10" s="171" t="s">
        <v>150</v>
      </c>
      <c r="F10" s="172" t="s">
        <v>143</v>
      </c>
      <c r="G10" s="173" t="s">
        <v>122</v>
      </c>
      <c r="H10" s="193" t="s">
        <v>102</v>
      </c>
      <c r="I10" s="36">
        <f>REITORIA!J10+CESFI!J10+CEFID!J10+CAV!J10+CCT!J10+CEART!J10+ESAG!J10+CEAD!J10+CEPLAN!J10+CEAVI!J10+CERES!J10+FAED!J10+CEO!J10</f>
        <v>1250</v>
      </c>
      <c r="J10" s="37">
        <f>REITORIA!K10+ESAG!K10+CEART!K10+FAED!K10+CEAD!K10+CEFID!K10+CERES!K10+CESFI!K10+CCT!K10+CEPLAN!K10+CEAVI!K10+CAV!K10+CEO!K10</f>
        <v>920</v>
      </c>
      <c r="K10" s="37">
        <f>REITORIA!L10+ESAG!L10+CEART!L10+FAED!L10+CEAD!L10+CEFID!L10+CERES!L10+CESFI!L10+CCT!L10+CEPLAN!L10+CEAVI!L10+CAV!L10+CEO!L10</f>
        <v>920</v>
      </c>
      <c r="L10" s="32">
        <f t="shared" si="4"/>
        <v>312</v>
      </c>
      <c r="M10" s="33">
        <f>REITORIA!O10+CESFI!O10+CEFID!O10+CAV!O10+CCT!O10+CEART!O10+ESAG!O10+CEAD!O10+CEPLAN!O10+CEAVI!O10+CERES!O10+FAED!O10+CEO!O10</f>
        <v>0</v>
      </c>
      <c r="N10" s="34">
        <f t="shared" si="0"/>
        <v>330</v>
      </c>
      <c r="O10" s="85">
        <v>26.9</v>
      </c>
      <c r="P10" s="7">
        <f t="shared" si="1"/>
        <v>33625</v>
      </c>
      <c r="Q10" s="25">
        <f t="shared" si="2"/>
        <v>0</v>
      </c>
      <c r="R10" s="6">
        <f t="shared" si="3"/>
        <v>24748</v>
      </c>
      <c r="S10" s="19"/>
      <c r="T10" s="19"/>
      <c r="U10" s="19"/>
      <c r="V10" s="22"/>
    </row>
    <row r="11" spans="1:22" ht="40" customHeight="1" x14ac:dyDescent="0.35">
      <c r="A11" s="176">
        <v>6</v>
      </c>
      <c r="B11" s="177">
        <v>10</v>
      </c>
      <c r="C11" s="159" t="s">
        <v>141</v>
      </c>
      <c r="D11" s="178" t="s">
        <v>148</v>
      </c>
      <c r="E11" s="166" t="s">
        <v>150</v>
      </c>
      <c r="F11" s="179" t="s">
        <v>143</v>
      </c>
      <c r="G11" s="168" t="s">
        <v>122</v>
      </c>
      <c r="H11" s="180" t="s">
        <v>102</v>
      </c>
      <c r="I11" s="36">
        <f>REITORIA!J11+CESFI!J11+CEFID!J11+CAV!J11+CCT!J11+CEART!J11+ESAG!J11+CEAD!J11+CEPLAN!J11+CEAVI!J11+CERES!J11+FAED!J11+CEO!J11</f>
        <v>1685</v>
      </c>
      <c r="J11" s="37">
        <f>REITORIA!K11+ESAG!K11+CEART!K11+FAED!K11+CEAD!K11+CEFID!K11+CERES!K11+CESFI!K11+CCT!K11+CEPLAN!K11+CEAVI!K11+CAV!K11+CEO!K11</f>
        <v>1320</v>
      </c>
      <c r="K11" s="37">
        <f>REITORIA!L11+ESAG!L11+CEART!L11+FAED!L11+CEAD!L11+CEFID!L11+CERES!L11+CESFI!L11+CCT!L11+CEPLAN!L11+CEAVI!L11+CAV!L11+CEO!L11</f>
        <v>1320</v>
      </c>
      <c r="L11" s="32">
        <f t="shared" si="4"/>
        <v>420.75</v>
      </c>
      <c r="M11" s="33">
        <f>REITORIA!O11+CESFI!O11+CEFID!O11+CAV!O11+CCT!O11+CEART!O11+ESAG!O11+CEAD!O11+CEPLAN!O11+CEAVI!O11+CERES!O11+FAED!O11+CEO!O11</f>
        <v>0</v>
      </c>
      <c r="N11" s="34">
        <f t="shared" si="0"/>
        <v>365</v>
      </c>
      <c r="O11" s="85">
        <v>27.37</v>
      </c>
      <c r="P11" s="7">
        <f t="shared" si="1"/>
        <v>46118.450000000004</v>
      </c>
      <c r="Q11" s="25">
        <f t="shared" si="2"/>
        <v>0</v>
      </c>
      <c r="R11" s="6">
        <f t="shared" si="3"/>
        <v>36128.400000000001</v>
      </c>
      <c r="S11" s="19"/>
      <c r="T11" s="19"/>
      <c r="U11" s="19"/>
      <c r="V11" s="22"/>
    </row>
    <row r="12" spans="1:22" ht="40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36">
        <f>REITORIA!J12+CESFI!J12+CEFID!J12+CAV!J12+CCT!J12+CEART!J12+ESAG!J12+CEAD!J12+CEPLAN!J12+CEAVI!J12+CERES!J12+FAED!J12+CEO!J12</f>
        <v>600</v>
      </c>
      <c r="J12" s="37">
        <f>REITORIA!K12+ESAG!K12+CEART!K12+FAED!K12+CEAD!K12+CEFID!K12+CERES!K12+CESFI!K12+CCT!K12+CEPLAN!K12+CEAVI!K12+CAV!K12+CEO!K12</f>
        <v>395</v>
      </c>
      <c r="K12" s="37">
        <f>REITORIA!L12+ESAG!L12+CEART!L12+FAED!L12+CEAD!L12+CEFID!L12+CERES!L12+CESFI!L12+CCT!L12+CEPLAN!L12+CEAVI!L12+CAV!L12+CEO!L12</f>
        <v>395</v>
      </c>
      <c r="L12" s="32">
        <f t="shared" si="4"/>
        <v>149.5</v>
      </c>
      <c r="M12" s="33">
        <f>REITORIA!O12+CESFI!O12+CEFID!O12+CAV!O12+CCT!O12+CEART!O12+ESAG!O12+CEAD!O12+CEPLAN!O12+CEAVI!O12+CERES!O12+FAED!O12+CEO!O12</f>
        <v>0</v>
      </c>
      <c r="N12" s="34">
        <f t="shared" si="0"/>
        <v>205</v>
      </c>
      <c r="O12" s="85">
        <v>4.8499999999999996</v>
      </c>
      <c r="P12" s="7">
        <f t="shared" si="1"/>
        <v>2910</v>
      </c>
      <c r="Q12" s="25">
        <f t="shared" si="2"/>
        <v>0</v>
      </c>
      <c r="R12" s="6">
        <f t="shared" si="3"/>
        <v>1915.7499999999998</v>
      </c>
      <c r="S12" s="19"/>
      <c r="T12" s="19"/>
      <c r="U12" s="19"/>
      <c r="V12" s="22"/>
    </row>
    <row r="13" spans="1:22" ht="40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36">
        <f>REITORIA!J13+CESFI!J13+CEFID!J13+CAV!J13+CCT!J13+CEART!J13+ESAG!J13+CEAD!J13+CEPLAN!J13+CEAVI!J13+CERES!J13+FAED!J13+CEO!J13</f>
        <v>40</v>
      </c>
      <c r="J13" s="37">
        <f>REITORIA!K13+ESAG!K13+CEART!K13+FAED!K13+CEAD!K13+CEFID!K13+CERES!K13+CESFI!K13+CCT!K13+CEPLAN!K13+CEAVI!K13+CAV!K13+CEO!K13</f>
        <v>34</v>
      </c>
      <c r="K13" s="37">
        <f>REITORIA!L13+ESAG!L13+CEART!L13+FAED!L13+CEAD!L13+CEFID!L13+CERES!L13+CESFI!L13+CCT!L13+CEPLAN!L13+CEAVI!L13+CAV!L13+CEO!L13</f>
        <v>34</v>
      </c>
      <c r="L13" s="32">
        <f t="shared" si="4"/>
        <v>9.5</v>
      </c>
      <c r="M13" s="33">
        <f>REITORIA!O13+CESFI!O13+CEFID!O13+CAV!O13+CCT!O13+CEART!O13+ESAG!O13+CEAD!O13+CEPLAN!O13+CEAVI!O13+CERES!O13+FAED!O13+CEO!O13</f>
        <v>0</v>
      </c>
      <c r="N13" s="34">
        <f t="shared" si="0"/>
        <v>6</v>
      </c>
      <c r="O13" s="85">
        <v>127.74</v>
      </c>
      <c r="P13" s="7">
        <f t="shared" si="1"/>
        <v>5109.5999999999995</v>
      </c>
      <c r="Q13" s="25">
        <f t="shared" si="2"/>
        <v>0</v>
      </c>
      <c r="R13" s="6">
        <f t="shared" si="3"/>
        <v>4343.16</v>
      </c>
      <c r="S13" s="19"/>
      <c r="T13" s="19"/>
      <c r="U13" s="19"/>
      <c r="V13" s="22"/>
    </row>
    <row r="14" spans="1:22" ht="40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36">
        <f>REITORIA!J14+CESFI!J14+CEFID!J14+CAV!J14+CCT!J14+CEART!J14+ESAG!J14+CEAD!J14+CEPLAN!J14+CEAVI!J14+CERES!J14+FAED!J14+CEO!J14</f>
        <v>1500</v>
      </c>
      <c r="J14" s="37">
        <f>REITORIA!K14+ESAG!K14+CEART!K14+FAED!K14+CEAD!K14+CEFID!K14+CERES!K14+CESFI!K14+CCT!K14+CEPLAN!K14+CEAVI!K14+CAV!K14+CEO!K14</f>
        <v>40</v>
      </c>
      <c r="K14" s="37">
        <f>REITORIA!L14+ESAG!L14+CEART!L14+FAED!L14+CEAD!L14+CEFID!L14+CERES!L14+CESFI!L14+CCT!L14+CEPLAN!L14+CEAVI!L14+CAV!L14+CEO!L14</f>
        <v>40</v>
      </c>
      <c r="L14" s="32">
        <f t="shared" si="4"/>
        <v>374.5</v>
      </c>
      <c r="M14" s="33">
        <f>REITORIA!O14+CESFI!O14+CEFID!O14+CAV!O14+CCT!O14+CEART!O14+ESAG!O14+CEAD!O14+CEPLAN!O14+CEAVI!O14+CERES!O14+FAED!O14+CEO!O14</f>
        <v>0</v>
      </c>
      <c r="N14" s="34">
        <f t="shared" si="0"/>
        <v>1460</v>
      </c>
      <c r="O14" s="85">
        <v>15.31</v>
      </c>
      <c r="P14" s="7">
        <f t="shared" si="1"/>
        <v>22965</v>
      </c>
      <c r="Q14" s="25">
        <f t="shared" si="2"/>
        <v>0</v>
      </c>
      <c r="R14" s="6">
        <f t="shared" si="3"/>
        <v>612.4</v>
      </c>
      <c r="S14" s="19"/>
      <c r="T14" s="19"/>
      <c r="U14" s="19"/>
      <c r="V14" s="22"/>
    </row>
    <row r="15" spans="1:22" ht="40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36">
        <f>REITORIA!J15+CESFI!J15+CEFID!J15+CAV!J15+CCT!J15+CEART!J15+ESAG!J15+CEAD!J15+CEPLAN!J15+CEAVI!J15+CERES!J15+FAED!J15+CEO!J15</f>
        <v>330</v>
      </c>
      <c r="J15" s="37">
        <f>REITORIA!K15+ESAG!K15+CEART!K15+FAED!K15+CEAD!K15+CEFID!K15+CERES!K15+CESFI!K15+CCT!K15+CEPLAN!K15+CEAVI!K15+CAV!K15+CEO!K15</f>
        <v>20</v>
      </c>
      <c r="K15" s="37">
        <f>REITORIA!L15+ESAG!L15+CEART!L15+FAED!L15+CEAD!L15+CEFID!L15+CERES!L15+CESFI!L15+CCT!L15+CEPLAN!L15+CEAVI!L15+CAV!L15+CEO!L15</f>
        <v>20</v>
      </c>
      <c r="L15" s="32">
        <f t="shared" si="4"/>
        <v>82</v>
      </c>
      <c r="M15" s="33">
        <f>REITORIA!O15+CESFI!O15+CEFID!O15+CAV!O15+CCT!O15+CEART!O15+ESAG!O15+CEAD!O15+CEPLAN!O15+CEAVI!O15+CERES!O15+FAED!O15+CEO!O15</f>
        <v>0</v>
      </c>
      <c r="N15" s="34">
        <f t="shared" si="0"/>
        <v>310</v>
      </c>
      <c r="O15" s="85">
        <v>13.94</v>
      </c>
      <c r="P15" s="7">
        <f t="shared" si="1"/>
        <v>4600.2</v>
      </c>
      <c r="Q15" s="25">
        <f t="shared" si="2"/>
        <v>0</v>
      </c>
      <c r="R15" s="6">
        <f t="shared" si="3"/>
        <v>278.8</v>
      </c>
      <c r="S15" s="19"/>
      <c r="T15" s="19"/>
      <c r="U15" s="19"/>
      <c r="V15" s="22"/>
    </row>
    <row r="16" spans="1:22" ht="40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36">
        <f>REITORIA!J16+CESFI!J16+CEFID!J16+CAV!J16+CCT!J16+CEART!J16+ESAG!J16+CEAD!J16+CEPLAN!J16+CEAVI!J16+CERES!J16+FAED!J16+CEO!J16</f>
        <v>300</v>
      </c>
      <c r="J16" s="37">
        <f>REITORIA!K16+ESAG!K16+CEART!K16+FAED!K16+CEAD!K16+CEFID!K16+CERES!K16+CESFI!K16+CCT!K16+CEPLAN!K16+CEAVI!K16+CAV!K16+CEO!K16</f>
        <v>0</v>
      </c>
      <c r="K16" s="37">
        <f>REITORIA!L16+ESAG!L16+CEART!L16+FAED!L16+CEAD!L16+CEFID!L16+CERES!L16+CESFI!L16+CCT!L16+CEPLAN!L16+CEAVI!L16+CAV!L16+CEO!L16</f>
        <v>0</v>
      </c>
      <c r="L16" s="32">
        <f t="shared" si="4"/>
        <v>74.5</v>
      </c>
      <c r="M16" s="33">
        <f>REITORIA!O16+CESFI!O16+CEFID!O16+CAV!O16+CCT!O16+CEART!O16+ESAG!O16+CEAD!O16+CEPLAN!O16+CEAVI!O16+CERES!O16+FAED!O16+CEO!O16</f>
        <v>0</v>
      </c>
      <c r="N16" s="34">
        <f t="shared" si="0"/>
        <v>300</v>
      </c>
      <c r="O16" s="85">
        <v>25.77</v>
      </c>
      <c r="P16" s="7">
        <f t="shared" si="1"/>
        <v>7731</v>
      </c>
      <c r="Q16" s="25">
        <f t="shared" si="2"/>
        <v>0</v>
      </c>
      <c r="R16" s="6">
        <f t="shared" si="3"/>
        <v>0</v>
      </c>
      <c r="S16" s="19"/>
      <c r="T16" s="19"/>
      <c r="U16" s="19"/>
      <c r="V16" s="22"/>
    </row>
    <row r="17" spans="1:23" ht="40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36">
        <f>REITORIA!J17+CESFI!J17+CEFID!J17+CAV!J17+CCT!J17+CEART!J17+ESAG!J17+CEAD!J17+CEPLAN!J17+CEAVI!J17+CERES!J17+FAED!J17+CEO!J17</f>
        <v>350</v>
      </c>
      <c r="J17" s="37">
        <f>REITORIA!K17+ESAG!K17+CEART!K17+FAED!K17+CEAD!K17+CEFID!K17+CERES!K17+CESFI!K17+CCT!K17+CEPLAN!K17+CEAVI!K17+CAV!K17+CEO!K17</f>
        <v>10</v>
      </c>
      <c r="K17" s="37">
        <f>REITORIA!L17+ESAG!L17+CEART!L17+FAED!L17+CEAD!L17+CEFID!L17+CERES!L17+CESFI!L17+CCT!L17+CEPLAN!L17+CEAVI!L17+CAV!L17+CEO!L17</f>
        <v>10</v>
      </c>
      <c r="L17" s="32">
        <f t="shared" si="4"/>
        <v>87</v>
      </c>
      <c r="M17" s="33">
        <f>REITORIA!O17+CESFI!O17+CEFID!O17+CAV!O17+CCT!O17+CEART!O17+ESAG!O17+CEAD!O17+CEPLAN!O17+CEAVI!O17+CERES!O17+FAED!O17+CEO!O17</f>
        <v>0</v>
      </c>
      <c r="N17" s="34">
        <f t="shared" si="0"/>
        <v>340</v>
      </c>
      <c r="O17" s="123">
        <v>4.42</v>
      </c>
      <c r="P17" s="7">
        <f t="shared" si="1"/>
        <v>1547</v>
      </c>
      <c r="Q17" s="25">
        <f t="shared" si="2"/>
        <v>0</v>
      </c>
      <c r="R17" s="6">
        <f t="shared" si="3"/>
        <v>44.2</v>
      </c>
      <c r="S17" s="19"/>
      <c r="T17" s="19"/>
      <c r="U17" s="19"/>
      <c r="V17" s="22"/>
    </row>
    <row r="18" spans="1:23" ht="40" customHeight="1" x14ac:dyDescent="0.35">
      <c r="I18" s="192">
        <f>SUM(I4:I17)</f>
        <v>24796</v>
      </c>
      <c r="J18" s="24"/>
      <c r="K18" s="24"/>
      <c r="P18" s="31">
        <f>SUMPRODUCT(I4:I17,O4:O17)</f>
        <v>438578.36</v>
      </c>
      <c r="Q18" s="31">
        <f>SUM(Q4:Q17)</f>
        <v>0</v>
      </c>
      <c r="R18" s="31">
        <f>SUM(R4:R17)</f>
        <v>342951.02</v>
      </c>
      <c r="T18" s="1"/>
      <c r="U18" s="1"/>
      <c r="V18" s="1"/>
      <c r="W18" s="1"/>
    </row>
    <row r="20" spans="1:23" ht="40" customHeight="1" x14ac:dyDescent="0.35">
      <c r="H20" s="284" t="str">
        <f>A1</f>
        <v>PE 629/2025 SRP - SGPe 1965/2025</v>
      </c>
      <c r="I20" s="285"/>
      <c r="J20" s="285"/>
      <c r="K20" s="285"/>
      <c r="L20" s="285"/>
      <c r="M20" s="285"/>
      <c r="N20" s="285"/>
      <c r="O20" s="285"/>
      <c r="P20" s="285"/>
      <c r="Q20" s="286"/>
    </row>
    <row r="21" spans="1:23" ht="40" customHeight="1" x14ac:dyDescent="0.35">
      <c r="H21" s="284" t="str">
        <f>C1</f>
        <v>OBJETO: AQUISIÇÃO DE GÊNEROS ALIMENTÍCIOS, ÁGUA E GÁS PARA A UDESC</v>
      </c>
      <c r="I21" s="285"/>
      <c r="J21" s="285"/>
      <c r="K21" s="285"/>
      <c r="L21" s="285"/>
      <c r="M21" s="285"/>
      <c r="N21" s="285"/>
      <c r="O21" s="285"/>
      <c r="P21" s="285"/>
      <c r="Q21" s="286"/>
    </row>
    <row r="22" spans="1:23" ht="40" customHeight="1" thickBot="1" x14ac:dyDescent="0.4">
      <c r="H22" s="284" t="str">
        <f>J1</f>
        <v>VIGÊNCIA DA ATA:  08/05/2025 até 08/05/2026.</v>
      </c>
      <c r="I22" s="285"/>
      <c r="J22" s="285"/>
      <c r="K22" s="320"/>
      <c r="L22" s="285"/>
      <c r="M22" s="285"/>
      <c r="N22" s="285"/>
      <c r="O22" s="285"/>
      <c r="P22" s="285"/>
      <c r="Q22" s="286"/>
    </row>
    <row r="23" spans="1:23" ht="40" customHeight="1" thickBot="1" x14ac:dyDescent="0.4">
      <c r="H23" s="243" t="s">
        <v>237</v>
      </c>
      <c r="I23" s="243" t="s">
        <v>238</v>
      </c>
      <c r="J23" s="220" t="s">
        <v>239</v>
      </c>
      <c r="K23" s="321" t="s">
        <v>240</v>
      </c>
      <c r="L23" s="241" t="s">
        <v>241</v>
      </c>
      <c r="M23" s="243" t="s">
        <v>242</v>
      </c>
      <c r="N23" s="241" t="s">
        <v>243</v>
      </c>
      <c r="O23" s="243" t="s">
        <v>244</v>
      </c>
      <c r="P23" s="243" t="s">
        <v>245</v>
      </c>
      <c r="Q23" s="243" t="s">
        <v>246</v>
      </c>
    </row>
    <row r="24" spans="1:23" ht="40" customHeight="1" x14ac:dyDescent="0.35">
      <c r="H24" s="221" t="s">
        <v>247</v>
      </c>
      <c r="I24" s="222">
        <f>REITORIA!J19</f>
        <v>76146</v>
      </c>
      <c r="J24" s="223">
        <f>REITORIA!K19</f>
        <v>56307</v>
      </c>
      <c r="K24" s="224">
        <f>J24/I24</f>
        <v>0.73946103537940278</v>
      </c>
      <c r="L24" s="225">
        <f>REITORIA!M19</f>
        <v>-7559.4</v>
      </c>
      <c r="M24" s="226">
        <f>REITORIA!O19+REITORIA!P19</f>
        <v>0</v>
      </c>
      <c r="N24" s="224">
        <f>M24/I24</f>
        <v>0</v>
      </c>
      <c r="O24" s="227">
        <f>REITORIA!L19</f>
        <v>56307</v>
      </c>
      <c r="P24" s="228">
        <f>O24/I24</f>
        <v>0.73946103537940278</v>
      </c>
      <c r="Q24" s="229">
        <f>M24+I24</f>
        <v>76146</v>
      </c>
    </row>
    <row r="25" spans="1:23" ht="40" customHeight="1" x14ac:dyDescent="0.35">
      <c r="H25" s="230" t="s">
        <v>26</v>
      </c>
      <c r="I25" s="222">
        <f>CESFI!J19</f>
        <v>20784.599999999999</v>
      </c>
      <c r="J25" s="223">
        <f>CESFI!K19</f>
        <v>21304.6</v>
      </c>
      <c r="K25" s="224">
        <f t="shared" ref="K25:K36" si="5">J25/I25</f>
        <v>1.0250185233297731</v>
      </c>
      <c r="L25" s="225">
        <f>CESFI!M19</f>
        <v>520</v>
      </c>
      <c r="M25" s="226">
        <f>CESFI!O19+CESFI!P19</f>
        <v>0</v>
      </c>
      <c r="N25" s="224">
        <f t="shared" ref="N25:N36" si="6">M25/I25</f>
        <v>0</v>
      </c>
      <c r="O25" s="227">
        <f>CESFI!L19</f>
        <v>21304.6</v>
      </c>
      <c r="P25" s="228">
        <f t="shared" ref="P25:P36" si="7">O25/I25</f>
        <v>1.0250185233297731</v>
      </c>
      <c r="Q25" s="229">
        <f t="shared" ref="Q25:Q36" si="8">M25+I25</f>
        <v>20784.599999999999</v>
      </c>
    </row>
    <row r="26" spans="1:23" ht="40" customHeight="1" x14ac:dyDescent="0.35">
      <c r="H26" s="230" t="s">
        <v>24</v>
      </c>
      <c r="I26" s="222">
        <f>CEFID!J19</f>
        <v>39872</v>
      </c>
      <c r="J26" s="223">
        <f>CEFID!K19</f>
        <v>39872</v>
      </c>
      <c r="K26" s="224">
        <f t="shared" si="5"/>
        <v>1</v>
      </c>
      <c r="L26" s="225">
        <f>CEFID!M19</f>
        <v>0</v>
      </c>
      <c r="M26" s="226">
        <f>CEFID!O19+CEFID!P19</f>
        <v>0</v>
      </c>
      <c r="N26" s="224">
        <f t="shared" si="6"/>
        <v>0</v>
      </c>
      <c r="O26" s="227">
        <f>CEFID!L19</f>
        <v>39872</v>
      </c>
      <c r="P26" s="228">
        <f t="shared" si="7"/>
        <v>1</v>
      </c>
      <c r="Q26" s="229">
        <f t="shared" si="8"/>
        <v>39872</v>
      </c>
    </row>
    <row r="27" spans="1:23" ht="40" customHeight="1" x14ac:dyDescent="0.35">
      <c r="H27" s="230" t="s">
        <v>30</v>
      </c>
      <c r="I27" s="222">
        <f>CAV!J19</f>
        <v>41644.6</v>
      </c>
      <c r="J27" s="223">
        <f>CAV!K19</f>
        <v>31006.91</v>
      </c>
      <c r="K27" s="224">
        <f t="shared" si="5"/>
        <v>0.74456015906023831</v>
      </c>
      <c r="L27" s="225">
        <f>CAV!M19</f>
        <v>0</v>
      </c>
      <c r="M27" s="226">
        <f>CAV!O19+CAV!P19</f>
        <v>0</v>
      </c>
      <c r="N27" s="224">
        <f t="shared" si="6"/>
        <v>0</v>
      </c>
      <c r="O27" s="227">
        <f>CAV!L19</f>
        <v>31006.91</v>
      </c>
      <c r="P27" s="228">
        <f t="shared" si="7"/>
        <v>0.74456015906023831</v>
      </c>
      <c r="Q27" s="229">
        <f t="shared" si="8"/>
        <v>41644.6</v>
      </c>
    </row>
    <row r="28" spans="1:23" ht="40" customHeight="1" x14ac:dyDescent="0.35">
      <c r="H28" s="230" t="s">
        <v>27</v>
      </c>
      <c r="I28" s="222">
        <f>CCT!J19</f>
        <v>91898.25</v>
      </c>
      <c r="J28" s="223">
        <f>CCT!K19</f>
        <v>72573</v>
      </c>
      <c r="K28" s="224">
        <f t="shared" si="5"/>
        <v>0.78971035901118902</v>
      </c>
      <c r="L28" s="225">
        <f>CCT!M19</f>
        <v>0</v>
      </c>
      <c r="M28" s="226">
        <f>CCT!O19+CCT!P19</f>
        <v>0</v>
      </c>
      <c r="N28" s="224">
        <f t="shared" si="6"/>
        <v>0</v>
      </c>
      <c r="O28" s="227">
        <f>CCT!L19</f>
        <v>72573</v>
      </c>
      <c r="P28" s="228">
        <f t="shared" si="7"/>
        <v>0.78971035901118902</v>
      </c>
      <c r="Q28" s="229">
        <f t="shared" si="8"/>
        <v>91898.25</v>
      </c>
    </row>
    <row r="29" spans="1:23" ht="40" customHeight="1" x14ac:dyDescent="0.35">
      <c r="H29" s="231" t="s">
        <v>21</v>
      </c>
      <c r="I29" s="222">
        <f>CEART!J19</f>
        <v>16070.4</v>
      </c>
      <c r="J29" s="223">
        <f>CEART!K19</f>
        <v>17120.400000000001</v>
      </c>
      <c r="K29" s="224">
        <f t="shared" si="5"/>
        <v>1.0653375149342892</v>
      </c>
      <c r="L29" s="225">
        <f>CEART!M19</f>
        <v>1050</v>
      </c>
      <c r="M29" s="226">
        <f>CEART!O19+CEART!P19</f>
        <v>0</v>
      </c>
      <c r="N29" s="224">
        <f t="shared" si="6"/>
        <v>0</v>
      </c>
      <c r="O29" s="227">
        <f>CEART!L19</f>
        <v>17120.400000000001</v>
      </c>
      <c r="P29" s="228">
        <f t="shared" si="7"/>
        <v>1.0653375149342892</v>
      </c>
      <c r="Q29" s="229">
        <f t="shared" si="8"/>
        <v>16070.4</v>
      </c>
    </row>
    <row r="30" spans="1:23" ht="40" customHeight="1" x14ac:dyDescent="0.35">
      <c r="H30" s="231" t="s">
        <v>20</v>
      </c>
      <c r="I30" s="222">
        <f>ESAG!J19</f>
        <v>21979.5</v>
      </c>
      <c r="J30" s="223">
        <f>ESAG!K19</f>
        <v>18000</v>
      </c>
      <c r="K30" s="224">
        <f t="shared" si="5"/>
        <v>0.81894492595372959</v>
      </c>
      <c r="L30" s="225">
        <f>ESAG!M19</f>
        <v>-845</v>
      </c>
      <c r="M30" s="226">
        <f>ESAG!O19+ESAG!P19</f>
        <v>0</v>
      </c>
      <c r="N30" s="224">
        <f t="shared" si="6"/>
        <v>0</v>
      </c>
      <c r="O30" s="227">
        <f>ESAG!L19</f>
        <v>18000</v>
      </c>
      <c r="P30" s="228">
        <f t="shared" si="7"/>
        <v>0.81894492595372959</v>
      </c>
      <c r="Q30" s="229">
        <f t="shared" si="8"/>
        <v>21979.5</v>
      </c>
    </row>
    <row r="31" spans="1:23" ht="40" customHeight="1" x14ac:dyDescent="0.35">
      <c r="H31" s="231" t="s">
        <v>23</v>
      </c>
      <c r="I31" s="222">
        <f>CEAD!J19</f>
        <v>29546.5</v>
      </c>
      <c r="J31" s="223">
        <f>CEAD!K19</f>
        <v>29871.5</v>
      </c>
      <c r="K31" s="224">
        <f t="shared" si="5"/>
        <v>1.010999610783003</v>
      </c>
      <c r="L31" s="225">
        <f>CEAD!M19</f>
        <v>325</v>
      </c>
      <c r="M31" s="226">
        <f>CEAD!O19+CEAD!P19</f>
        <v>0</v>
      </c>
      <c r="N31" s="224">
        <f t="shared" si="6"/>
        <v>0</v>
      </c>
      <c r="O31" s="227">
        <f>CEAD!L19</f>
        <v>29871.5</v>
      </c>
      <c r="P31" s="228">
        <f t="shared" si="7"/>
        <v>1.010999610783003</v>
      </c>
      <c r="Q31" s="229">
        <f t="shared" si="8"/>
        <v>29546.5</v>
      </c>
    </row>
    <row r="32" spans="1:23" ht="40" customHeight="1" x14ac:dyDescent="0.35">
      <c r="H32" s="231" t="s">
        <v>28</v>
      </c>
      <c r="I32" s="222">
        <f>CEPLAN!J19</f>
        <v>20073.900000000001</v>
      </c>
      <c r="J32" s="223">
        <f>CEPLAN!K19</f>
        <v>18406.900000000001</v>
      </c>
      <c r="K32" s="224">
        <f t="shared" si="5"/>
        <v>0.91695684445972137</v>
      </c>
      <c r="L32" s="225">
        <f>CEPLAN!M19</f>
        <v>0</v>
      </c>
      <c r="M32" s="226">
        <f>CEPLAN!O19+CEPLAN!P19</f>
        <v>0</v>
      </c>
      <c r="N32" s="224">
        <f t="shared" si="6"/>
        <v>0</v>
      </c>
      <c r="O32" s="227">
        <f>CEPLAN!L19</f>
        <v>18406.900000000001</v>
      </c>
      <c r="P32" s="228">
        <f t="shared" si="7"/>
        <v>0.91695684445972137</v>
      </c>
      <c r="Q32" s="229">
        <f t="shared" si="8"/>
        <v>20073.900000000001</v>
      </c>
    </row>
    <row r="33" spans="8:17" ht="40" customHeight="1" x14ac:dyDescent="0.35">
      <c r="H33" s="230" t="s">
        <v>29</v>
      </c>
      <c r="I33" s="222">
        <f>CEAVI!J19</f>
        <v>6466.16</v>
      </c>
      <c r="J33" s="223">
        <f>CEAVI!K19</f>
        <v>6466.16</v>
      </c>
      <c r="K33" s="224">
        <f t="shared" si="5"/>
        <v>1</v>
      </c>
      <c r="L33" s="225">
        <f>CEAVI!M19</f>
        <v>0</v>
      </c>
      <c r="M33" s="226">
        <f>CEAVI!O19+CEAVI!P19</f>
        <v>0</v>
      </c>
      <c r="N33" s="224">
        <f t="shared" si="6"/>
        <v>0</v>
      </c>
      <c r="O33" s="227">
        <f>CEAVI!L19</f>
        <v>6466.16</v>
      </c>
      <c r="P33" s="228">
        <f t="shared" si="7"/>
        <v>1</v>
      </c>
      <c r="Q33" s="229">
        <f t="shared" si="8"/>
        <v>6466.16</v>
      </c>
    </row>
    <row r="34" spans="8:17" ht="40" customHeight="1" x14ac:dyDescent="0.35">
      <c r="H34" s="230" t="s">
        <v>25</v>
      </c>
      <c r="I34" s="222">
        <f>CERES!J19</f>
        <v>21024.5</v>
      </c>
      <c r="J34" s="223">
        <f>CERES!K19</f>
        <v>8349</v>
      </c>
      <c r="K34" s="224">
        <f t="shared" si="5"/>
        <v>0.39710813574639109</v>
      </c>
      <c r="L34" s="225">
        <f>CERES!M19</f>
        <v>0</v>
      </c>
      <c r="M34" s="226">
        <f>CERES!O19+CERES!P19</f>
        <v>0</v>
      </c>
      <c r="N34" s="224">
        <f t="shared" si="6"/>
        <v>0</v>
      </c>
      <c r="O34" s="227">
        <f>CERES!L19</f>
        <v>8349</v>
      </c>
      <c r="P34" s="228">
        <f t="shared" si="7"/>
        <v>0.39710813574639109</v>
      </c>
      <c r="Q34" s="229">
        <f t="shared" si="8"/>
        <v>21024.5</v>
      </c>
    </row>
    <row r="35" spans="8:17" ht="40" customHeight="1" x14ac:dyDescent="0.35">
      <c r="H35" s="230" t="s">
        <v>22</v>
      </c>
      <c r="I35" s="222">
        <f>FAED!J19</f>
        <v>16228.75</v>
      </c>
      <c r="J35" s="223">
        <f>FAED!K19</f>
        <v>17803.75</v>
      </c>
      <c r="K35" s="224">
        <f t="shared" si="5"/>
        <v>1.09704998844643</v>
      </c>
      <c r="L35" s="225">
        <f>FAED!M19</f>
        <v>1575</v>
      </c>
      <c r="M35" s="226">
        <f>FAED!O19+FAED!P19</f>
        <v>0</v>
      </c>
      <c r="N35" s="224">
        <f t="shared" si="6"/>
        <v>0</v>
      </c>
      <c r="O35" s="227">
        <f>FAED!L19</f>
        <v>17803.75</v>
      </c>
      <c r="P35" s="228">
        <f t="shared" si="7"/>
        <v>1.09704998844643</v>
      </c>
      <c r="Q35" s="229">
        <f t="shared" si="8"/>
        <v>16228.75</v>
      </c>
    </row>
    <row r="36" spans="8:17" ht="40" customHeight="1" thickBot="1" x14ac:dyDescent="0.4">
      <c r="H36" s="230" t="s">
        <v>31</v>
      </c>
      <c r="I36" s="222">
        <f>CEO!J19</f>
        <v>36843.199999999997</v>
      </c>
      <c r="J36" s="223">
        <f>CEO!K19</f>
        <v>5869.7999999999993</v>
      </c>
      <c r="K36" s="224">
        <f t="shared" si="5"/>
        <v>0.1593184088244235</v>
      </c>
      <c r="L36" s="225">
        <f>CEO!M19</f>
        <v>4934.3999999999996</v>
      </c>
      <c r="M36" s="226">
        <f>CEO!O19+CEO!P19</f>
        <v>0</v>
      </c>
      <c r="N36" s="319">
        <f t="shared" si="6"/>
        <v>0</v>
      </c>
      <c r="O36" s="227">
        <f>CEO!L19</f>
        <v>5869.7999999999993</v>
      </c>
      <c r="P36" s="228">
        <f t="shared" si="7"/>
        <v>0.1593184088244235</v>
      </c>
      <c r="Q36" s="229">
        <f t="shared" si="8"/>
        <v>36843.199999999997</v>
      </c>
    </row>
    <row r="37" spans="8:17" ht="40" customHeight="1" thickBot="1" x14ac:dyDescent="0.4">
      <c r="H37" s="232" t="s">
        <v>49</v>
      </c>
      <c r="I37" s="233">
        <f>SUM(I24:I36)</f>
        <v>438578.36000000004</v>
      </c>
      <c r="J37" s="234">
        <f>SUM(J24:J36)</f>
        <v>342951.02</v>
      </c>
      <c r="K37" s="235">
        <f t="shared" ref="K37" si="9">J37/I37</f>
        <v>0.78196065122775316</v>
      </c>
      <c r="L37" s="236">
        <f>SUM(L24:L36)</f>
        <v>0</v>
      </c>
      <c r="M37" s="237">
        <f>SUM(M24:M36)</f>
        <v>0</v>
      </c>
      <c r="N37" s="238">
        <f>M37/J37</f>
        <v>0</v>
      </c>
      <c r="O37" s="237">
        <f>SUM(O24:O36)</f>
        <v>342951.02</v>
      </c>
      <c r="P37" s="239">
        <f>O37/J37</f>
        <v>1</v>
      </c>
      <c r="Q37" s="240">
        <f t="shared" ref="Q37" si="10">M37+I37</f>
        <v>438578.36000000004</v>
      </c>
    </row>
    <row r="38" spans="8:17" ht="40" customHeight="1" x14ac:dyDescent="0.35">
      <c r="H38" s="287" t="s">
        <v>248</v>
      </c>
      <c r="I38" s="288"/>
      <c r="J38" s="288"/>
      <c r="K38" s="289"/>
      <c r="L38" s="288"/>
      <c r="M38" s="288"/>
      <c r="N38" s="288"/>
      <c r="O38" s="288"/>
      <c r="P38" s="288"/>
      <c r="Q38" s="290"/>
    </row>
  </sheetData>
  <autoFilter ref="A3:S3" xr:uid="{00000000-0001-0000-0900-000000000000}"/>
  <mergeCells count="15">
    <mergeCell ref="A7:A8"/>
    <mergeCell ref="C7:C8"/>
    <mergeCell ref="A1:B1"/>
    <mergeCell ref="C1:I1"/>
    <mergeCell ref="J1:R1"/>
    <mergeCell ref="A2:R2"/>
    <mergeCell ref="S2:V2"/>
    <mergeCell ref="A4:A6"/>
    <mergeCell ref="C4:C6"/>
    <mergeCell ref="H21:Q21"/>
    <mergeCell ref="H20:Q20"/>
    <mergeCell ref="H22:Q22"/>
    <mergeCell ref="H38:Q38"/>
    <mergeCell ref="A14:A15"/>
    <mergeCell ref="C14:C15"/>
  </mergeCells>
  <conditionalFormatting sqref="N4:N17">
    <cfRule type="cellIs" dxfId="3" priority="2" operator="lessThan">
      <formula>0</formula>
    </cfRule>
  </conditionalFormatting>
  <conditionalFormatting sqref="N23:N37">
    <cfRule type="cellIs" dxfId="2" priority="1" operator="equal">
      <formula>"ATENÇÃO"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CE42-A8AC-4AC4-919D-D3137547F7AD}">
  <sheetPr>
    <tabColor theme="3" tint="0.39997558519241921"/>
  </sheetPr>
  <dimension ref="A1:AJ18"/>
  <sheetViews>
    <sheetView zoomScale="70" zoomScaleNormal="70" workbookViewId="0">
      <selection activeCell="B4" sqref="B4:B17"/>
    </sheetView>
  </sheetViews>
  <sheetFormatPr defaultColWidth="9.81640625" defaultRowHeight="40" customHeight="1" x14ac:dyDescent="0.35"/>
  <cols>
    <col min="1" max="1" width="10" style="1" customWidth="1"/>
    <col min="2" max="2" width="14.81640625" style="1" customWidth="1"/>
    <col min="3" max="4" width="27.453125" style="1" customWidth="1"/>
    <col min="5" max="5" width="18.453125" style="11" customWidth="1"/>
    <col min="6" max="6" width="15.81640625" style="1" customWidth="1"/>
    <col min="7" max="7" width="14.81640625" style="1" customWidth="1"/>
    <col min="8" max="22" width="13.1796875" style="12" customWidth="1"/>
    <col min="23" max="23" width="19.81640625" style="5" bestFit="1" customWidth="1"/>
    <col min="24" max="24" width="16" style="2" customWidth="1"/>
    <col min="25" max="25" width="20.453125" style="2" bestFit="1" customWidth="1"/>
    <col min="26" max="32" width="14.453125" style="2" customWidth="1"/>
    <col min="33" max="33" width="14.1796875" style="2" customWidth="1"/>
    <col min="34" max="34" width="14.81640625" style="2" customWidth="1"/>
    <col min="35" max="35" width="16.54296875" style="2" customWidth="1"/>
    <col min="36" max="36" width="17" style="2" customWidth="1"/>
    <col min="37" max="16384" width="9.81640625" style="2"/>
  </cols>
  <sheetData>
    <row r="1" spans="1:36" ht="45" customHeight="1" x14ac:dyDescent="0.35">
      <c r="A1" s="299" t="s">
        <v>100</v>
      </c>
      <c r="B1" s="300"/>
      <c r="C1" s="301"/>
      <c r="D1" s="299" t="s">
        <v>56</v>
      </c>
      <c r="E1" s="300"/>
      <c r="F1" s="300"/>
      <c r="G1" s="301"/>
      <c r="H1" s="300" t="s">
        <v>115</v>
      </c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9" t="s">
        <v>44</v>
      </c>
      <c r="AA1" s="39" t="s">
        <v>41</v>
      </c>
      <c r="AB1" s="39" t="s">
        <v>41</v>
      </c>
      <c r="AC1" s="39" t="s">
        <v>41</v>
      </c>
      <c r="AD1" s="39" t="s">
        <v>41</v>
      </c>
      <c r="AE1" s="39" t="s">
        <v>41</v>
      </c>
      <c r="AF1" s="39" t="s">
        <v>41</v>
      </c>
      <c r="AG1" s="39" t="s">
        <v>41</v>
      </c>
      <c r="AH1" s="39" t="s">
        <v>41</v>
      </c>
      <c r="AI1" s="39" t="s">
        <v>44</v>
      </c>
      <c r="AJ1" s="39" t="s">
        <v>41</v>
      </c>
    </row>
    <row r="2" spans="1:36" ht="45" customHeight="1" thickBot="1" x14ac:dyDescent="0.4">
      <c r="A2" s="302" t="s">
        <v>11</v>
      </c>
      <c r="B2" s="303"/>
      <c r="C2" s="303"/>
      <c r="D2" s="303"/>
      <c r="E2" s="303"/>
      <c r="F2" s="303"/>
      <c r="G2" s="304"/>
      <c r="H2" s="305" t="s">
        <v>45</v>
      </c>
      <c r="I2" s="306"/>
      <c r="J2" s="307"/>
      <c r="K2" s="308" t="s">
        <v>46</v>
      </c>
      <c r="L2" s="309"/>
      <c r="M2" s="310"/>
      <c r="N2" s="311" t="s">
        <v>47</v>
      </c>
      <c r="O2" s="312"/>
      <c r="P2" s="313"/>
      <c r="Q2" s="314" t="s">
        <v>48</v>
      </c>
      <c r="R2" s="315"/>
      <c r="S2" s="316"/>
      <c r="T2" s="317" t="s">
        <v>49</v>
      </c>
      <c r="U2" s="317"/>
      <c r="V2" s="317"/>
      <c r="W2" s="317"/>
      <c r="X2" s="318" t="s">
        <v>50</v>
      </c>
      <c r="Y2" s="318"/>
      <c r="Z2" s="40" t="s">
        <v>42</v>
      </c>
      <c r="AA2" s="40" t="s">
        <v>42</v>
      </c>
      <c r="AB2" s="40" t="s">
        <v>42</v>
      </c>
      <c r="AC2" s="40" t="s">
        <v>42</v>
      </c>
      <c r="AD2" s="40" t="s">
        <v>42</v>
      </c>
      <c r="AE2" s="40" t="s">
        <v>42</v>
      </c>
      <c r="AF2" s="40" t="s">
        <v>42</v>
      </c>
      <c r="AG2" s="40" t="s">
        <v>42</v>
      </c>
      <c r="AH2" s="40" t="s">
        <v>42</v>
      </c>
      <c r="AI2" s="40" t="s">
        <v>42</v>
      </c>
      <c r="AJ2" s="40" t="s">
        <v>42</v>
      </c>
    </row>
    <row r="3" spans="1:36" s="3" customFormat="1" ht="46.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9" t="s">
        <v>3</v>
      </c>
      <c r="H3" s="41" t="s">
        <v>51</v>
      </c>
      <c r="I3" s="42" t="s">
        <v>52</v>
      </c>
      <c r="J3" s="42" t="s">
        <v>53</v>
      </c>
      <c r="K3" s="43" t="s">
        <v>51</v>
      </c>
      <c r="L3" s="43" t="s">
        <v>52</v>
      </c>
      <c r="M3" s="43" t="s">
        <v>53</v>
      </c>
      <c r="N3" s="44" t="s">
        <v>51</v>
      </c>
      <c r="O3" s="44" t="s">
        <v>52</v>
      </c>
      <c r="P3" s="44" t="s">
        <v>53</v>
      </c>
      <c r="Q3" s="45" t="s">
        <v>51</v>
      </c>
      <c r="R3" s="46" t="s">
        <v>52</v>
      </c>
      <c r="S3" s="47" t="s">
        <v>53</v>
      </c>
      <c r="T3" s="57" t="s">
        <v>51</v>
      </c>
      <c r="U3" s="57" t="s">
        <v>54</v>
      </c>
      <c r="V3" s="57" t="s">
        <v>52</v>
      </c>
      <c r="W3" s="58" t="s">
        <v>53</v>
      </c>
      <c r="X3" s="63" t="s">
        <v>7</v>
      </c>
      <c r="Y3" s="63" t="s">
        <v>8</v>
      </c>
      <c r="Z3" s="18" t="s">
        <v>43</v>
      </c>
      <c r="AA3" s="18" t="s">
        <v>43</v>
      </c>
      <c r="AB3" s="18" t="s">
        <v>43</v>
      </c>
      <c r="AC3" s="18" t="s">
        <v>43</v>
      </c>
      <c r="AD3" s="18" t="s">
        <v>43</v>
      </c>
      <c r="AE3" s="18" t="s">
        <v>43</v>
      </c>
      <c r="AF3" s="18" t="s">
        <v>43</v>
      </c>
      <c r="AG3" s="18" t="s">
        <v>43</v>
      </c>
      <c r="AH3" s="18" t="s">
        <v>43</v>
      </c>
      <c r="AI3" s="18" t="s">
        <v>43</v>
      </c>
      <c r="AJ3" s="18" t="s">
        <v>43</v>
      </c>
    </row>
    <row r="4" spans="1:36" ht="40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36">
        <f>REITORIA!J4+CESFI!J4+CEFID!J4+CAV!J4+CCT!J4+CEART!J4+ESAG!J4+CEAD!J4+CEPLAN!J4+CEAVI!J4+CERES!J4+FAED!J4+CEO!J4</f>
        <v>6886</v>
      </c>
      <c r="H4" s="48">
        <f ca="1">IF(ROUNDDOWN($G4*0.5,0)&gt;$W4,$W4,ROUNDDOWN($H4*0.5,0))</f>
        <v>0</v>
      </c>
      <c r="I4" s="49">
        <f>SUMIF($Z$2:$AJ$2,$H$2,Z4:AJ4)</f>
        <v>0</v>
      </c>
      <c r="J4" s="49">
        <f ca="1">H4-I4</f>
        <v>0</v>
      </c>
      <c r="K4" s="50">
        <f ca="1">IF(ROUNDDOWN($G4*0.5,0)&gt;$W4,$W4,ROUNDDOWN($H4*0.5,0))</f>
        <v>0</v>
      </c>
      <c r="L4" s="51">
        <f>SUMIF($Z$2:$AJ$2,$H$2,AC4:AM4)</f>
        <v>0</v>
      </c>
      <c r="M4" s="51">
        <f ca="1">K4-L4</f>
        <v>0</v>
      </c>
      <c r="N4" s="52">
        <f ca="1">IF(ROUNDDOWN($G4*0.5,0)&gt;$W4,$W4,ROUNDDOWN($H4*0.5,0))</f>
        <v>0</v>
      </c>
      <c r="O4" s="53">
        <f>SUMIF($Z$2:$AJ$2,$H$2,AF4:AP4)</f>
        <v>0</v>
      </c>
      <c r="P4" s="53">
        <f ca="1">N4-O4</f>
        <v>0</v>
      </c>
      <c r="Q4" s="54">
        <f ca="1">IF(ROUNDDOWN($G4*0.5,0)&gt;$W4,$W4,ROUNDDOWN($H4*0.5,0))</f>
        <v>0</v>
      </c>
      <c r="R4" s="55">
        <f>SUMIF($Z$2:$AJ$2,$H$2,AI4:AS4)</f>
        <v>0</v>
      </c>
      <c r="S4" s="56">
        <f ca="1">Q4-R4</f>
        <v>0</v>
      </c>
      <c r="T4" s="59">
        <f>G4*2</f>
        <v>13772</v>
      </c>
      <c r="U4" s="62">
        <f>'GESTOR da Ata'!M4</f>
        <v>0</v>
      </c>
      <c r="V4" s="62">
        <f>(SUM(Z4:AJ4))</f>
        <v>0</v>
      </c>
      <c r="W4" s="61">
        <f>T4-V4-U4</f>
        <v>13772</v>
      </c>
      <c r="X4" s="7">
        <v>10.5</v>
      </c>
      <c r="Y4" s="7">
        <f>X4*G4</f>
        <v>72303</v>
      </c>
      <c r="Z4" s="20"/>
      <c r="AA4" s="20"/>
      <c r="AB4" s="20"/>
      <c r="AC4" s="20"/>
      <c r="AD4" s="20"/>
      <c r="AE4" s="20"/>
      <c r="AF4" s="20"/>
      <c r="AG4" s="20"/>
      <c r="AH4" s="38"/>
      <c r="AI4" s="38"/>
      <c r="AJ4" s="38"/>
    </row>
    <row r="5" spans="1:36" ht="40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36">
        <f>REITORIA!J5+CESFI!J5+CEFID!J5+CAV!J5+CCT!J5+CEART!J5+ESAG!J5+CEAD!J5+CEPLAN!J5+CEAVI!J5+CERES!J5+FAED!J5+CEO!J5</f>
        <v>2777</v>
      </c>
      <c r="H5" s="48">
        <f t="shared" ref="H5:H17" ca="1" si="0">IF(ROUNDDOWN($G5*0.5,0)&gt;$W5,$W5,ROUNDDOWN($H5*0.5,0))</f>
        <v>0</v>
      </c>
      <c r="I5" s="49">
        <f t="shared" ref="I5:I17" si="1">SUMIF($Z$2:$AJ$2,$H$2,Z5:AJ5)</f>
        <v>0</v>
      </c>
      <c r="J5" s="49">
        <f t="shared" ref="J5:J17" ca="1" si="2">H5-I5</f>
        <v>0</v>
      </c>
      <c r="K5" s="50">
        <f t="shared" ref="K5:K17" ca="1" si="3">IF(ROUNDDOWN($G5*0.5,0)&gt;$W5,$W5,ROUNDDOWN($H5*0.5,0))</f>
        <v>0</v>
      </c>
      <c r="L5" s="51">
        <f t="shared" ref="L5:L17" si="4">SUMIF($Z$2:$AJ$2,$H$2,AC5:AM5)</f>
        <v>0</v>
      </c>
      <c r="M5" s="51">
        <f t="shared" ref="M5:M17" ca="1" si="5">K5-L5</f>
        <v>0</v>
      </c>
      <c r="N5" s="52">
        <f t="shared" ref="N5:N17" ca="1" si="6">IF(ROUNDDOWN($G5*0.5,0)&gt;$W5,$W5,ROUNDDOWN($H5*0.5,0))</f>
        <v>0</v>
      </c>
      <c r="O5" s="53">
        <f t="shared" ref="O5:O17" si="7">SUMIF($Z$2:$AJ$2,$H$2,AF5:AP5)</f>
        <v>0</v>
      </c>
      <c r="P5" s="53">
        <f t="shared" ref="P5:P17" ca="1" si="8">N5-O5</f>
        <v>0</v>
      </c>
      <c r="Q5" s="54">
        <f t="shared" ref="Q5:Q17" ca="1" si="9">IF(ROUNDDOWN($G5*0.5,0)&gt;$W5,$W5,ROUNDDOWN($H5*0.5,0))</f>
        <v>0</v>
      </c>
      <c r="R5" s="55">
        <f t="shared" ref="R5:R17" si="10">SUMIF($Z$2:$AJ$2,$H$2,AI5:AS5)</f>
        <v>0</v>
      </c>
      <c r="S5" s="56">
        <f t="shared" ref="S5:S17" ca="1" si="11">Q5-R5</f>
        <v>0</v>
      </c>
      <c r="T5" s="59">
        <f t="shared" ref="T5:T17" si="12">G5*2</f>
        <v>5554</v>
      </c>
      <c r="U5" s="62">
        <f>'GESTOR da Ata'!M5</f>
        <v>0</v>
      </c>
      <c r="V5" s="60">
        <f t="shared" ref="V5:V17" si="13">(SUM(Z5:AG5))</f>
        <v>0</v>
      </c>
      <c r="W5" s="61">
        <f t="shared" ref="W5:W17" si="14">T5-V5-U5</f>
        <v>5554</v>
      </c>
      <c r="X5" s="7">
        <v>13</v>
      </c>
      <c r="Y5" s="7">
        <f t="shared" ref="Y5:Y17" si="15">X5*G5</f>
        <v>36101</v>
      </c>
      <c r="Z5" s="20"/>
      <c r="AA5" s="20"/>
      <c r="AB5" s="20"/>
      <c r="AC5" s="20"/>
      <c r="AD5" s="20"/>
      <c r="AE5" s="20"/>
      <c r="AF5" s="20"/>
      <c r="AG5" s="20"/>
      <c r="AH5" s="38"/>
      <c r="AI5" s="38"/>
      <c r="AJ5" s="38"/>
    </row>
    <row r="6" spans="1:36" ht="40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36">
        <f>REITORIA!J6+CESFI!J6+CEFID!J6+CAV!J6+CCT!J6+CEART!J6+ESAG!J6+CEAD!J6+CEPLAN!J6+CEAVI!J6+CERES!J6+FAED!J6+CEO!J6</f>
        <v>64</v>
      </c>
      <c r="H6" s="48">
        <f t="shared" ca="1" si="0"/>
        <v>0</v>
      </c>
      <c r="I6" s="49">
        <f t="shared" si="1"/>
        <v>0</v>
      </c>
      <c r="J6" s="49">
        <f t="shared" ca="1" si="2"/>
        <v>0</v>
      </c>
      <c r="K6" s="50">
        <f t="shared" ca="1" si="3"/>
        <v>0</v>
      </c>
      <c r="L6" s="51">
        <f t="shared" si="4"/>
        <v>0</v>
      </c>
      <c r="M6" s="51">
        <f t="shared" ca="1" si="5"/>
        <v>0</v>
      </c>
      <c r="N6" s="52">
        <f t="shared" ca="1" si="6"/>
        <v>0</v>
      </c>
      <c r="O6" s="53">
        <f t="shared" si="7"/>
        <v>0</v>
      </c>
      <c r="P6" s="53">
        <f t="shared" ca="1" si="8"/>
        <v>0</v>
      </c>
      <c r="Q6" s="54">
        <f t="shared" ca="1" si="9"/>
        <v>0</v>
      </c>
      <c r="R6" s="55">
        <f t="shared" si="10"/>
        <v>0</v>
      </c>
      <c r="S6" s="56">
        <f t="shared" ca="1" si="11"/>
        <v>0</v>
      </c>
      <c r="T6" s="59">
        <f t="shared" si="12"/>
        <v>128</v>
      </c>
      <c r="U6" s="62">
        <f>'GESTOR da Ata'!M6</f>
        <v>0</v>
      </c>
      <c r="V6" s="60">
        <f t="shared" si="13"/>
        <v>0</v>
      </c>
      <c r="W6" s="61">
        <f t="shared" si="14"/>
        <v>128</v>
      </c>
      <c r="X6" s="7">
        <v>28</v>
      </c>
      <c r="Y6" s="7">
        <f t="shared" si="15"/>
        <v>1792</v>
      </c>
      <c r="Z6" s="20"/>
      <c r="AA6" s="20"/>
      <c r="AB6" s="20"/>
      <c r="AC6" s="20"/>
      <c r="AD6" s="20"/>
      <c r="AE6" s="20"/>
      <c r="AF6" s="20"/>
      <c r="AG6" s="20"/>
      <c r="AH6" s="38"/>
      <c r="AI6" s="38"/>
      <c r="AJ6" s="38"/>
    </row>
    <row r="7" spans="1:36" ht="40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36">
        <f>REITORIA!J7+CESFI!J7+CEFID!J7+CAV!J7+CCT!J7+CEART!J7+ESAG!J7+CEAD!J7+CEPLAN!J7+CEAVI!J7+CERES!J7+FAED!J7+CEO!J7</f>
        <v>3500</v>
      </c>
      <c r="H7" s="48">
        <f t="shared" ca="1" si="0"/>
        <v>0</v>
      </c>
      <c r="I7" s="49">
        <f t="shared" si="1"/>
        <v>0</v>
      </c>
      <c r="J7" s="49">
        <f t="shared" ca="1" si="2"/>
        <v>0</v>
      </c>
      <c r="K7" s="50">
        <f t="shared" ca="1" si="3"/>
        <v>0</v>
      </c>
      <c r="L7" s="51">
        <f t="shared" si="4"/>
        <v>0</v>
      </c>
      <c r="M7" s="51">
        <f t="shared" ca="1" si="5"/>
        <v>0</v>
      </c>
      <c r="N7" s="52">
        <f t="shared" ca="1" si="6"/>
        <v>0</v>
      </c>
      <c r="O7" s="53">
        <f t="shared" si="7"/>
        <v>0</v>
      </c>
      <c r="P7" s="53">
        <f t="shared" ca="1" si="8"/>
        <v>0</v>
      </c>
      <c r="Q7" s="54">
        <f t="shared" ca="1" si="9"/>
        <v>0</v>
      </c>
      <c r="R7" s="55">
        <f t="shared" si="10"/>
        <v>0</v>
      </c>
      <c r="S7" s="56">
        <f t="shared" ca="1" si="11"/>
        <v>0</v>
      </c>
      <c r="T7" s="59">
        <f t="shared" si="12"/>
        <v>7000</v>
      </c>
      <c r="U7" s="62">
        <f>'GESTOR da Ata'!M7</f>
        <v>0</v>
      </c>
      <c r="V7" s="60">
        <f t="shared" si="13"/>
        <v>0</v>
      </c>
      <c r="W7" s="61">
        <f t="shared" si="14"/>
        <v>7000</v>
      </c>
      <c r="X7" s="7">
        <v>16.670000000000002</v>
      </c>
      <c r="Y7" s="7">
        <f t="shared" si="15"/>
        <v>58345.000000000007</v>
      </c>
      <c r="Z7" s="20"/>
      <c r="AA7" s="20"/>
      <c r="AB7" s="20"/>
      <c r="AC7" s="20"/>
      <c r="AD7" s="20"/>
      <c r="AE7" s="20"/>
      <c r="AF7" s="20"/>
      <c r="AG7" s="20"/>
      <c r="AH7" s="38"/>
      <c r="AI7" s="38"/>
      <c r="AJ7" s="38"/>
    </row>
    <row r="8" spans="1:36" ht="40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36">
        <f>REITORIA!J8+CESFI!J8+CEFID!J8+CAV!J8+CCT!J8+CEART!J8+ESAG!J8+CEAD!J8+CEPLAN!J8+CEAVI!J8+CERES!J8+FAED!J8+CEO!J8</f>
        <v>515</v>
      </c>
      <c r="H8" s="48">
        <f t="shared" ca="1" si="0"/>
        <v>0</v>
      </c>
      <c r="I8" s="49">
        <f t="shared" si="1"/>
        <v>0</v>
      </c>
      <c r="J8" s="49">
        <f t="shared" ca="1" si="2"/>
        <v>0</v>
      </c>
      <c r="K8" s="50">
        <f t="shared" ca="1" si="3"/>
        <v>0</v>
      </c>
      <c r="L8" s="51">
        <f t="shared" si="4"/>
        <v>0</v>
      </c>
      <c r="M8" s="51">
        <f t="shared" ca="1" si="5"/>
        <v>0</v>
      </c>
      <c r="N8" s="52">
        <f t="shared" ca="1" si="6"/>
        <v>0</v>
      </c>
      <c r="O8" s="53">
        <f t="shared" si="7"/>
        <v>0</v>
      </c>
      <c r="P8" s="53">
        <f t="shared" ca="1" si="8"/>
        <v>0</v>
      </c>
      <c r="Q8" s="54">
        <f t="shared" ca="1" si="9"/>
        <v>0</v>
      </c>
      <c r="R8" s="55">
        <f t="shared" si="10"/>
        <v>0</v>
      </c>
      <c r="S8" s="56">
        <f t="shared" ca="1" si="11"/>
        <v>0</v>
      </c>
      <c r="T8" s="59">
        <f t="shared" si="12"/>
        <v>1030</v>
      </c>
      <c r="U8" s="62">
        <f>'GESTOR da Ata'!M8</f>
        <v>0</v>
      </c>
      <c r="V8" s="60">
        <f t="shared" si="13"/>
        <v>0</v>
      </c>
      <c r="W8" s="61">
        <f t="shared" si="14"/>
        <v>1030</v>
      </c>
      <c r="X8" s="7">
        <v>14.58</v>
      </c>
      <c r="Y8" s="7">
        <f t="shared" si="15"/>
        <v>7508.7</v>
      </c>
      <c r="Z8" s="20"/>
      <c r="AA8" s="20"/>
      <c r="AB8" s="20"/>
      <c r="AC8" s="20"/>
      <c r="AD8" s="20"/>
      <c r="AE8" s="20"/>
      <c r="AF8" s="20"/>
      <c r="AG8" s="20"/>
      <c r="AH8" s="38"/>
      <c r="AI8" s="38"/>
      <c r="AJ8" s="38"/>
    </row>
    <row r="9" spans="1:36" ht="40" customHeight="1" x14ac:dyDescent="0.35">
      <c r="A9" s="92">
        <v>4</v>
      </c>
      <c r="B9" s="93">
        <v>8</v>
      </c>
      <c r="C9" s="143" t="s">
        <v>141</v>
      </c>
      <c r="D9" s="95" t="s">
        <v>80</v>
      </c>
      <c r="E9" s="194" t="s">
        <v>150</v>
      </c>
      <c r="F9" s="97" t="s">
        <v>82</v>
      </c>
      <c r="G9" s="36">
        <f>REITORIA!J9+CESFI!J9+CEFID!J9+CAV!J9+CCT!J9+CEART!J9+ESAG!J9+CEAD!J9+CEPLAN!J9+CEAVI!J9+CERES!J9+FAED!J9+CEO!J9</f>
        <v>4999</v>
      </c>
      <c r="H9" s="48">
        <f t="shared" ca="1" si="0"/>
        <v>0</v>
      </c>
      <c r="I9" s="49">
        <f t="shared" si="1"/>
        <v>0</v>
      </c>
      <c r="J9" s="49">
        <f t="shared" ca="1" si="2"/>
        <v>0</v>
      </c>
      <c r="K9" s="50">
        <f t="shared" ca="1" si="3"/>
        <v>0</v>
      </c>
      <c r="L9" s="51">
        <f t="shared" si="4"/>
        <v>0</v>
      </c>
      <c r="M9" s="51">
        <f t="shared" ca="1" si="5"/>
        <v>0</v>
      </c>
      <c r="N9" s="52">
        <f t="shared" ca="1" si="6"/>
        <v>0</v>
      </c>
      <c r="O9" s="53">
        <f t="shared" si="7"/>
        <v>0</v>
      </c>
      <c r="P9" s="53">
        <f t="shared" ca="1" si="8"/>
        <v>0</v>
      </c>
      <c r="Q9" s="54">
        <f t="shared" ca="1" si="9"/>
        <v>0</v>
      </c>
      <c r="R9" s="55">
        <f t="shared" si="10"/>
        <v>0</v>
      </c>
      <c r="S9" s="56">
        <f t="shared" ca="1" si="11"/>
        <v>0</v>
      </c>
      <c r="T9" s="59">
        <f t="shared" si="12"/>
        <v>9998</v>
      </c>
      <c r="U9" s="62">
        <f>'GESTOR da Ata'!M9</f>
        <v>0</v>
      </c>
      <c r="V9" s="60">
        <f t="shared" si="13"/>
        <v>0</v>
      </c>
      <c r="W9" s="61">
        <f t="shared" si="14"/>
        <v>9998</v>
      </c>
      <c r="X9" s="7">
        <v>27.59</v>
      </c>
      <c r="Y9" s="7">
        <f t="shared" si="15"/>
        <v>137922.41</v>
      </c>
      <c r="Z9" s="20"/>
      <c r="AA9" s="20"/>
      <c r="AB9" s="20"/>
      <c r="AC9" s="20"/>
      <c r="AD9" s="20"/>
      <c r="AE9" s="20"/>
      <c r="AF9" s="20"/>
      <c r="AG9" s="20"/>
      <c r="AH9" s="38"/>
      <c r="AI9" s="38"/>
      <c r="AJ9" s="38"/>
    </row>
    <row r="10" spans="1:36" ht="40" customHeight="1" x14ac:dyDescent="0.35">
      <c r="A10" s="99">
        <v>5</v>
      </c>
      <c r="B10" s="86">
        <v>9</v>
      </c>
      <c r="C10" s="141" t="s">
        <v>141</v>
      </c>
      <c r="D10" s="87" t="s">
        <v>83</v>
      </c>
      <c r="E10" s="195" t="s">
        <v>150</v>
      </c>
      <c r="F10" s="101" t="s">
        <v>82</v>
      </c>
      <c r="G10" s="36">
        <f>REITORIA!J10+CESFI!J10+CEFID!J10+CAV!J10+CCT!J10+CEART!J10+ESAG!J10+CEAD!J10+CEPLAN!J10+CEAVI!J10+CERES!J10+FAED!J10+CEO!J10</f>
        <v>1250</v>
      </c>
      <c r="H10" s="48">
        <f t="shared" ca="1" si="0"/>
        <v>0</v>
      </c>
      <c r="I10" s="49">
        <f t="shared" si="1"/>
        <v>0</v>
      </c>
      <c r="J10" s="49">
        <f t="shared" ca="1" si="2"/>
        <v>0</v>
      </c>
      <c r="K10" s="50">
        <f t="shared" ca="1" si="3"/>
        <v>0</v>
      </c>
      <c r="L10" s="51">
        <f t="shared" si="4"/>
        <v>0</v>
      </c>
      <c r="M10" s="51">
        <f t="shared" ca="1" si="5"/>
        <v>0</v>
      </c>
      <c r="N10" s="52">
        <f t="shared" ca="1" si="6"/>
        <v>0</v>
      </c>
      <c r="O10" s="53">
        <f t="shared" si="7"/>
        <v>0</v>
      </c>
      <c r="P10" s="53">
        <f t="shared" ca="1" si="8"/>
        <v>0</v>
      </c>
      <c r="Q10" s="54">
        <f t="shared" ca="1" si="9"/>
        <v>0</v>
      </c>
      <c r="R10" s="55">
        <f t="shared" si="10"/>
        <v>0</v>
      </c>
      <c r="S10" s="56">
        <f t="shared" ca="1" si="11"/>
        <v>0</v>
      </c>
      <c r="T10" s="59">
        <f t="shared" si="12"/>
        <v>2500</v>
      </c>
      <c r="U10" s="62">
        <f>'GESTOR da Ata'!M10</f>
        <v>0</v>
      </c>
      <c r="V10" s="60">
        <f t="shared" si="13"/>
        <v>0</v>
      </c>
      <c r="W10" s="61">
        <f t="shared" si="14"/>
        <v>2500</v>
      </c>
      <c r="X10" s="7">
        <v>26.9</v>
      </c>
      <c r="Y10" s="7">
        <f t="shared" si="15"/>
        <v>33625</v>
      </c>
      <c r="Z10" s="20"/>
      <c r="AA10" s="20"/>
      <c r="AB10" s="20"/>
      <c r="AC10" s="20"/>
      <c r="AD10" s="20"/>
      <c r="AE10" s="20"/>
      <c r="AF10" s="20"/>
      <c r="AG10" s="20"/>
      <c r="AH10" s="38"/>
      <c r="AI10" s="38"/>
      <c r="AJ10" s="38"/>
    </row>
    <row r="11" spans="1:36" ht="40" customHeight="1" x14ac:dyDescent="0.35">
      <c r="A11" s="92">
        <v>6</v>
      </c>
      <c r="B11" s="93">
        <v>10</v>
      </c>
      <c r="C11" s="143" t="s">
        <v>141</v>
      </c>
      <c r="D11" s="95" t="s">
        <v>84</v>
      </c>
      <c r="E11" s="194" t="s">
        <v>150</v>
      </c>
      <c r="F11" s="97" t="s">
        <v>82</v>
      </c>
      <c r="G11" s="36">
        <f>REITORIA!J11+CESFI!J11+CEFID!J11+CAV!J11+CCT!J11+CEART!J11+ESAG!J11+CEAD!J11+CEPLAN!J11+CEAVI!J11+CERES!J11+FAED!J11+CEO!J11</f>
        <v>1685</v>
      </c>
      <c r="H11" s="48">
        <f t="shared" ca="1" si="0"/>
        <v>0</v>
      </c>
      <c r="I11" s="49">
        <f t="shared" si="1"/>
        <v>0</v>
      </c>
      <c r="J11" s="49">
        <f t="shared" ca="1" si="2"/>
        <v>0</v>
      </c>
      <c r="K11" s="50">
        <f t="shared" ca="1" si="3"/>
        <v>0</v>
      </c>
      <c r="L11" s="51">
        <f t="shared" si="4"/>
        <v>0</v>
      </c>
      <c r="M11" s="51">
        <f t="shared" ca="1" si="5"/>
        <v>0</v>
      </c>
      <c r="N11" s="52">
        <f t="shared" ca="1" si="6"/>
        <v>0</v>
      </c>
      <c r="O11" s="53">
        <f t="shared" si="7"/>
        <v>0</v>
      </c>
      <c r="P11" s="53">
        <f t="shared" ca="1" si="8"/>
        <v>0</v>
      </c>
      <c r="Q11" s="54">
        <f t="shared" ca="1" si="9"/>
        <v>0</v>
      </c>
      <c r="R11" s="55">
        <f t="shared" si="10"/>
        <v>0</v>
      </c>
      <c r="S11" s="56">
        <f t="shared" ca="1" si="11"/>
        <v>0</v>
      </c>
      <c r="T11" s="59">
        <f t="shared" si="12"/>
        <v>3370</v>
      </c>
      <c r="U11" s="62">
        <f>'GESTOR da Ata'!M11</f>
        <v>0</v>
      </c>
      <c r="V11" s="60">
        <f t="shared" si="13"/>
        <v>0</v>
      </c>
      <c r="W11" s="61">
        <f t="shared" si="14"/>
        <v>3370</v>
      </c>
      <c r="X11" s="7">
        <v>27.37</v>
      </c>
      <c r="Y11" s="7">
        <f t="shared" si="15"/>
        <v>46118.450000000004</v>
      </c>
      <c r="Z11" s="20"/>
      <c r="AA11" s="20"/>
      <c r="AB11" s="20"/>
      <c r="AC11" s="20"/>
      <c r="AD11" s="20"/>
      <c r="AE11" s="20"/>
      <c r="AF11" s="20"/>
      <c r="AG11" s="20"/>
      <c r="AH11" s="38"/>
      <c r="AI11" s="38"/>
      <c r="AJ11" s="38"/>
    </row>
    <row r="12" spans="1:36" ht="40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36">
        <f>REITORIA!J12+CESFI!J12+CEFID!J12+CAV!J12+CCT!J12+CEART!J12+ESAG!J12+CEAD!J12+CEPLAN!J12+CEAVI!J12+CERES!J12+FAED!J12+CEO!J12</f>
        <v>600</v>
      </c>
      <c r="H12" s="48">
        <f t="shared" ca="1" si="0"/>
        <v>0</v>
      </c>
      <c r="I12" s="49">
        <f t="shared" si="1"/>
        <v>0</v>
      </c>
      <c r="J12" s="49">
        <f t="shared" ca="1" si="2"/>
        <v>0</v>
      </c>
      <c r="K12" s="50">
        <f t="shared" ca="1" si="3"/>
        <v>0</v>
      </c>
      <c r="L12" s="51">
        <f t="shared" si="4"/>
        <v>0</v>
      </c>
      <c r="M12" s="51">
        <f t="shared" ca="1" si="5"/>
        <v>0</v>
      </c>
      <c r="N12" s="52">
        <f t="shared" ca="1" si="6"/>
        <v>0</v>
      </c>
      <c r="O12" s="53">
        <f t="shared" si="7"/>
        <v>0</v>
      </c>
      <c r="P12" s="53">
        <f t="shared" ca="1" si="8"/>
        <v>0</v>
      </c>
      <c r="Q12" s="54">
        <f t="shared" ca="1" si="9"/>
        <v>0</v>
      </c>
      <c r="R12" s="55">
        <f t="shared" si="10"/>
        <v>0</v>
      </c>
      <c r="S12" s="56">
        <f t="shared" ca="1" si="11"/>
        <v>0</v>
      </c>
      <c r="T12" s="59">
        <f t="shared" si="12"/>
        <v>1200</v>
      </c>
      <c r="U12" s="62">
        <f>'GESTOR da Ata'!M12</f>
        <v>0</v>
      </c>
      <c r="V12" s="60">
        <f t="shared" si="13"/>
        <v>0</v>
      </c>
      <c r="W12" s="61">
        <f t="shared" si="14"/>
        <v>1200</v>
      </c>
      <c r="X12" s="7">
        <v>4.8499999999999996</v>
      </c>
      <c r="Y12" s="7">
        <f t="shared" si="15"/>
        <v>2910</v>
      </c>
      <c r="Z12" s="20"/>
      <c r="AA12" s="20"/>
      <c r="AB12" s="20"/>
      <c r="AC12" s="20"/>
      <c r="AD12" s="20"/>
      <c r="AE12" s="20"/>
      <c r="AF12" s="20"/>
      <c r="AG12" s="20"/>
      <c r="AH12" s="38"/>
      <c r="AI12" s="38"/>
      <c r="AJ12" s="38"/>
    </row>
    <row r="13" spans="1:36" ht="40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36">
        <f>REITORIA!J13+CESFI!J13+CEFID!J13+CAV!J13+CCT!J13+CEART!J13+ESAG!J13+CEAD!J13+CEPLAN!J13+CEAVI!J13+CERES!J13+FAED!J13+CEO!J13</f>
        <v>40</v>
      </c>
      <c r="H13" s="48">
        <f t="shared" ca="1" si="0"/>
        <v>0</v>
      </c>
      <c r="I13" s="49">
        <f t="shared" si="1"/>
        <v>0</v>
      </c>
      <c r="J13" s="49">
        <f t="shared" ca="1" si="2"/>
        <v>0</v>
      </c>
      <c r="K13" s="50">
        <f t="shared" ca="1" si="3"/>
        <v>0</v>
      </c>
      <c r="L13" s="51">
        <f t="shared" si="4"/>
        <v>0</v>
      </c>
      <c r="M13" s="51">
        <f t="shared" ca="1" si="5"/>
        <v>0</v>
      </c>
      <c r="N13" s="52">
        <f t="shared" ca="1" si="6"/>
        <v>0</v>
      </c>
      <c r="O13" s="53">
        <f t="shared" si="7"/>
        <v>0</v>
      </c>
      <c r="P13" s="53">
        <f t="shared" ca="1" si="8"/>
        <v>0</v>
      </c>
      <c r="Q13" s="54">
        <f t="shared" ca="1" si="9"/>
        <v>0</v>
      </c>
      <c r="R13" s="55">
        <f t="shared" si="10"/>
        <v>0</v>
      </c>
      <c r="S13" s="56">
        <f t="shared" ca="1" si="11"/>
        <v>0</v>
      </c>
      <c r="T13" s="59">
        <f t="shared" si="12"/>
        <v>80</v>
      </c>
      <c r="U13" s="62">
        <f>'GESTOR da Ata'!M13</f>
        <v>0</v>
      </c>
      <c r="V13" s="60">
        <f t="shared" si="13"/>
        <v>0</v>
      </c>
      <c r="W13" s="61">
        <f t="shared" si="14"/>
        <v>80</v>
      </c>
      <c r="X13" s="7">
        <v>127.74</v>
      </c>
      <c r="Y13" s="7">
        <f t="shared" si="15"/>
        <v>5109.5999999999995</v>
      </c>
      <c r="Z13" s="20"/>
      <c r="AA13" s="20"/>
      <c r="AB13" s="20"/>
      <c r="AC13" s="20"/>
      <c r="AD13" s="20"/>
      <c r="AE13" s="20"/>
      <c r="AF13" s="20"/>
      <c r="AG13" s="20"/>
      <c r="AH13" s="38"/>
      <c r="AI13" s="38"/>
      <c r="AJ13" s="38"/>
    </row>
    <row r="14" spans="1:36" ht="40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36">
        <f>REITORIA!J14+CESFI!J14+CEFID!J14+CAV!J14+CCT!J14+CEART!J14+ESAG!J14+CEAD!J14+CEPLAN!J14+CEAVI!J14+CERES!J14+FAED!J14+CEO!J14</f>
        <v>1500</v>
      </c>
      <c r="H14" s="48">
        <f t="shared" ca="1" si="0"/>
        <v>0</v>
      </c>
      <c r="I14" s="49">
        <f t="shared" si="1"/>
        <v>0</v>
      </c>
      <c r="J14" s="49">
        <f t="shared" ca="1" si="2"/>
        <v>0</v>
      </c>
      <c r="K14" s="50">
        <f t="shared" ca="1" si="3"/>
        <v>0</v>
      </c>
      <c r="L14" s="51">
        <f t="shared" si="4"/>
        <v>0</v>
      </c>
      <c r="M14" s="51">
        <f t="shared" ca="1" si="5"/>
        <v>0</v>
      </c>
      <c r="N14" s="52">
        <f t="shared" ca="1" si="6"/>
        <v>0</v>
      </c>
      <c r="O14" s="53">
        <f t="shared" si="7"/>
        <v>0</v>
      </c>
      <c r="P14" s="53">
        <f t="shared" ca="1" si="8"/>
        <v>0</v>
      </c>
      <c r="Q14" s="54">
        <f t="shared" ca="1" si="9"/>
        <v>0</v>
      </c>
      <c r="R14" s="55">
        <f t="shared" si="10"/>
        <v>0</v>
      </c>
      <c r="S14" s="56">
        <f t="shared" ca="1" si="11"/>
        <v>0</v>
      </c>
      <c r="T14" s="59">
        <f t="shared" si="12"/>
        <v>3000</v>
      </c>
      <c r="U14" s="62">
        <f>'GESTOR da Ata'!M14</f>
        <v>0</v>
      </c>
      <c r="V14" s="60">
        <f t="shared" si="13"/>
        <v>0</v>
      </c>
      <c r="W14" s="61">
        <f t="shared" si="14"/>
        <v>3000</v>
      </c>
      <c r="X14" s="7">
        <v>15.31</v>
      </c>
      <c r="Y14" s="7">
        <f t="shared" si="15"/>
        <v>22965</v>
      </c>
      <c r="Z14" s="20"/>
      <c r="AA14" s="20"/>
      <c r="AB14" s="20"/>
      <c r="AC14" s="20"/>
      <c r="AD14" s="20"/>
      <c r="AE14" s="20"/>
      <c r="AF14" s="20"/>
      <c r="AG14" s="20"/>
      <c r="AH14" s="38"/>
      <c r="AI14" s="38"/>
      <c r="AJ14" s="38"/>
    </row>
    <row r="15" spans="1:36" ht="40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36">
        <f>REITORIA!J15+CESFI!J15+CEFID!J15+CAV!J15+CCT!J15+CEART!J15+ESAG!J15+CEAD!J15+CEPLAN!J15+CEAVI!J15+CERES!J15+FAED!J15+CEO!J15</f>
        <v>330</v>
      </c>
      <c r="H15" s="48">
        <f t="shared" ca="1" si="0"/>
        <v>0</v>
      </c>
      <c r="I15" s="49">
        <f t="shared" si="1"/>
        <v>0</v>
      </c>
      <c r="J15" s="49">
        <f t="shared" ca="1" si="2"/>
        <v>0</v>
      </c>
      <c r="K15" s="50">
        <f t="shared" ca="1" si="3"/>
        <v>0</v>
      </c>
      <c r="L15" s="51">
        <f t="shared" si="4"/>
        <v>0</v>
      </c>
      <c r="M15" s="51">
        <f t="shared" ca="1" si="5"/>
        <v>0</v>
      </c>
      <c r="N15" s="52">
        <f t="shared" ca="1" si="6"/>
        <v>0</v>
      </c>
      <c r="O15" s="53">
        <f t="shared" si="7"/>
        <v>0</v>
      </c>
      <c r="P15" s="53">
        <f t="shared" ca="1" si="8"/>
        <v>0</v>
      </c>
      <c r="Q15" s="54">
        <f t="shared" ca="1" si="9"/>
        <v>0</v>
      </c>
      <c r="R15" s="55">
        <f t="shared" si="10"/>
        <v>0</v>
      </c>
      <c r="S15" s="56">
        <f t="shared" ca="1" si="11"/>
        <v>0</v>
      </c>
      <c r="T15" s="59">
        <f t="shared" si="12"/>
        <v>660</v>
      </c>
      <c r="U15" s="62">
        <f>'GESTOR da Ata'!M15</f>
        <v>0</v>
      </c>
      <c r="V15" s="60">
        <f t="shared" si="13"/>
        <v>0</v>
      </c>
      <c r="W15" s="61">
        <f t="shared" si="14"/>
        <v>660</v>
      </c>
      <c r="X15" s="7">
        <v>13.94</v>
      </c>
      <c r="Y15" s="7">
        <f t="shared" si="15"/>
        <v>4600.2</v>
      </c>
      <c r="Z15" s="20"/>
      <c r="AA15" s="20"/>
      <c r="AB15" s="20"/>
      <c r="AC15" s="20"/>
      <c r="AD15" s="20"/>
      <c r="AE15" s="20"/>
      <c r="AF15" s="20"/>
      <c r="AG15" s="20"/>
      <c r="AH15" s="38"/>
      <c r="AI15" s="38"/>
      <c r="AJ15" s="38"/>
    </row>
    <row r="16" spans="1:36" ht="40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36">
        <f>REITORIA!J16+CESFI!J16+CEFID!J16+CAV!J16+CCT!J16+CEART!J16+ESAG!J16+CEAD!J16+CEPLAN!J16+CEAVI!J16+CERES!J16+FAED!J16+CEO!J16</f>
        <v>300</v>
      </c>
      <c r="H16" s="48">
        <f t="shared" ca="1" si="0"/>
        <v>0</v>
      </c>
      <c r="I16" s="49">
        <f t="shared" si="1"/>
        <v>0</v>
      </c>
      <c r="J16" s="49">
        <f t="shared" ca="1" si="2"/>
        <v>0</v>
      </c>
      <c r="K16" s="50">
        <f t="shared" ca="1" si="3"/>
        <v>0</v>
      </c>
      <c r="L16" s="51">
        <f t="shared" si="4"/>
        <v>0</v>
      </c>
      <c r="M16" s="51">
        <f t="shared" ca="1" si="5"/>
        <v>0</v>
      </c>
      <c r="N16" s="52">
        <f t="shared" ca="1" si="6"/>
        <v>0</v>
      </c>
      <c r="O16" s="53">
        <f t="shared" si="7"/>
        <v>0</v>
      </c>
      <c r="P16" s="53">
        <f t="shared" ca="1" si="8"/>
        <v>0</v>
      </c>
      <c r="Q16" s="54">
        <f t="shared" ca="1" si="9"/>
        <v>0</v>
      </c>
      <c r="R16" s="55">
        <f t="shared" si="10"/>
        <v>0</v>
      </c>
      <c r="S16" s="56">
        <f t="shared" ca="1" si="11"/>
        <v>0</v>
      </c>
      <c r="T16" s="59">
        <f t="shared" si="12"/>
        <v>600</v>
      </c>
      <c r="U16" s="62">
        <f>'GESTOR da Ata'!M16</f>
        <v>0</v>
      </c>
      <c r="V16" s="60">
        <f t="shared" si="13"/>
        <v>0</v>
      </c>
      <c r="W16" s="61">
        <f t="shared" si="14"/>
        <v>600</v>
      </c>
      <c r="X16" s="7">
        <v>25.77</v>
      </c>
      <c r="Y16" s="7">
        <f t="shared" si="15"/>
        <v>7731</v>
      </c>
      <c r="Z16" s="20"/>
      <c r="AA16" s="20"/>
      <c r="AB16" s="20"/>
      <c r="AC16" s="20"/>
      <c r="AD16" s="20"/>
      <c r="AE16" s="20"/>
      <c r="AF16" s="20"/>
      <c r="AG16" s="20"/>
      <c r="AH16" s="38"/>
      <c r="AI16" s="38"/>
      <c r="AJ16" s="38"/>
    </row>
    <row r="17" spans="1:36" ht="40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36">
        <f>REITORIA!J17+CESFI!J17+CEFID!J17+CAV!J17+CCT!J17+CEART!J17+ESAG!J17+CEAD!J17+CEPLAN!J17+CEAVI!J17+CERES!J17+FAED!J17+CEO!J17</f>
        <v>350</v>
      </c>
      <c r="H17" s="48">
        <f t="shared" ca="1" si="0"/>
        <v>0</v>
      </c>
      <c r="I17" s="49">
        <f t="shared" si="1"/>
        <v>0</v>
      </c>
      <c r="J17" s="49">
        <f t="shared" ca="1" si="2"/>
        <v>0</v>
      </c>
      <c r="K17" s="50">
        <f t="shared" ca="1" si="3"/>
        <v>0</v>
      </c>
      <c r="L17" s="51">
        <f t="shared" si="4"/>
        <v>0</v>
      </c>
      <c r="M17" s="51">
        <f t="shared" ca="1" si="5"/>
        <v>0</v>
      </c>
      <c r="N17" s="52">
        <f t="shared" ca="1" si="6"/>
        <v>0</v>
      </c>
      <c r="O17" s="53">
        <f t="shared" si="7"/>
        <v>0</v>
      </c>
      <c r="P17" s="53">
        <f t="shared" ca="1" si="8"/>
        <v>0</v>
      </c>
      <c r="Q17" s="54">
        <f t="shared" ca="1" si="9"/>
        <v>0</v>
      </c>
      <c r="R17" s="55">
        <f t="shared" si="10"/>
        <v>0</v>
      </c>
      <c r="S17" s="56">
        <f t="shared" ca="1" si="11"/>
        <v>0</v>
      </c>
      <c r="T17" s="59">
        <f t="shared" si="12"/>
        <v>700</v>
      </c>
      <c r="U17" s="62">
        <f>'GESTOR da Ata'!M17</f>
        <v>0</v>
      </c>
      <c r="V17" s="60">
        <f t="shared" si="13"/>
        <v>0</v>
      </c>
      <c r="W17" s="61">
        <f t="shared" si="14"/>
        <v>700</v>
      </c>
      <c r="X17" s="7">
        <v>4.42</v>
      </c>
      <c r="Y17" s="7">
        <f t="shared" si="15"/>
        <v>1547</v>
      </c>
      <c r="Z17" s="20"/>
      <c r="AA17" s="20"/>
      <c r="AB17" s="20"/>
      <c r="AC17" s="20"/>
      <c r="AD17" s="20"/>
      <c r="AE17" s="20"/>
      <c r="AF17" s="20"/>
      <c r="AG17" s="20"/>
      <c r="AH17" s="38"/>
      <c r="AI17" s="38"/>
      <c r="AJ17" s="38"/>
    </row>
    <row r="18" spans="1:36" ht="40" customHeight="1" x14ac:dyDescent="0.35">
      <c r="Y18" s="31">
        <f>SUM(Y4:Y17)</f>
        <v>438578.36</v>
      </c>
    </row>
  </sheetData>
  <autoFilter ref="A3:AG17" xr:uid="{62E1CE42-A8AC-4AC4-919D-D3137547F7AD}">
    <sortState xmlns:xlrd2="http://schemas.microsoft.com/office/spreadsheetml/2017/richdata2" ref="A4:AG17">
      <sortCondition ref="W3:W17"/>
    </sortState>
  </autoFilter>
  <mergeCells count="16">
    <mergeCell ref="N2:P2"/>
    <mergeCell ref="Q2:S2"/>
    <mergeCell ref="T2:W2"/>
    <mergeCell ref="X2:Y2"/>
    <mergeCell ref="H1:Y1"/>
    <mergeCell ref="A1:C1"/>
    <mergeCell ref="D1:G1"/>
    <mergeCell ref="A2:G2"/>
    <mergeCell ref="H2:J2"/>
    <mergeCell ref="K2:M2"/>
    <mergeCell ref="A4:A6"/>
    <mergeCell ref="C4:C6"/>
    <mergeCell ref="A7:A8"/>
    <mergeCell ref="C7:C8"/>
    <mergeCell ref="A14:A15"/>
    <mergeCell ref="C14:C15"/>
  </mergeCells>
  <phoneticPr fontId="26" type="noConversion"/>
  <conditionalFormatting sqref="W4:W17">
    <cfRule type="cellIs" dxfId="1" priority="1" operator="lessThan">
      <formula>0</formula>
    </cfRule>
  </conditionalFormatting>
  <conditionalFormatting sqref="Z4:AG17">
    <cfRule type="cellIs" dxfId="0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EE8B-DDAF-4BB1-9D05-007DF2AC86EF}">
  <sheetPr>
    <tabColor rgb="FF92D050"/>
  </sheetPr>
  <dimension ref="A1:AH19"/>
  <sheetViews>
    <sheetView topLeftCell="A9" zoomScale="50" zoomScaleNormal="50" workbookViewId="0">
      <selection activeCell="R19" sqref="R19"/>
    </sheetView>
  </sheetViews>
  <sheetFormatPr defaultColWidth="9.81640625" defaultRowHeight="47.25" customHeight="1" x14ac:dyDescent="0.35"/>
  <cols>
    <col min="1" max="1" width="8.81640625" style="1" customWidth="1"/>
    <col min="2" max="2" width="17.81640625" style="15" customWidth="1"/>
    <col min="3" max="3" width="22.81640625" style="16" customWidth="1"/>
    <col min="4" max="4" width="22.5429687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1.81640625" style="13" customWidth="1"/>
    <col min="11" max="18" width="11.81640625" style="4" customWidth="1"/>
    <col min="19" max="19" width="11.81640625" style="12" customWidth="1"/>
    <col min="20" max="20" width="14.81640625" style="5" customWidth="1"/>
    <col min="21" max="21" width="15.453125" style="4" customWidth="1"/>
    <col min="22" max="22" width="15.81640625" style="4" customWidth="1"/>
    <col min="23" max="32" width="13.81640625" style="4" customWidth="1"/>
    <col min="33" max="38" width="13.81640625" style="2" customWidth="1"/>
    <col min="39" max="16384" width="9.81640625" style="2"/>
  </cols>
  <sheetData>
    <row r="1" spans="1:34" s="64" customFormat="1" ht="47.2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168</v>
      </c>
      <c r="U1" s="270" t="s">
        <v>169</v>
      </c>
      <c r="V1" s="270" t="s">
        <v>170</v>
      </c>
      <c r="W1" s="270" t="s">
        <v>218</v>
      </c>
      <c r="X1" s="270" t="s">
        <v>219</v>
      </c>
      <c r="Y1" s="245" t="s">
        <v>58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47.25" customHeight="1" x14ac:dyDescent="0.35">
      <c r="A2" s="254" t="s">
        <v>138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71"/>
      <c r="Y2" s="245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47.2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45796</v>
      </c>
      <c r="U3" s="200">
        <v>45856</v>
      </c>
      <c r="V3" s="200">
        <v>45938</v>
      </c>
      <c r="W3" s="200">
        <v>46042</v>
      </c>
      <c r="X3" s="200">
        <v>46128</v>
      </c>
      <c r="Y3" s="70" t="s">
        <v>65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7.2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710</v>
      </c>
      <c r="K4" s="78">
        <f>IF(SUM(T4:AH4)&gt;J4+M4,J4+M4,SUM(T4:AH4))</f>
        <v>710</v>
      </c>
      <c r="L4" s="26">
        <f>(SUM(T4:AH4))</f>
        <v>710</v>
      </c>
      <c r="M4" s="29"/>
      <c r="N4" s="79">
        <f>ROUND(IF(J4*0.25-0.5&lt;0,0,J4*0.25-0.5),0)-Q4-O4</f>
        <v>177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1">
        <v>275</v>
      </c>
      <c r="V4" s="203"/>
      <c r="W4" s="201">
        <v>435</v>
      </c>
      <c r="X4" s="203"/>
      <c r="Y4" s="82"/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47.2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70</v>
      </c>
      <c r="K5" s="78">
        <f t="shared" ref="K5:K17" si="0">IF(SUM(T5:AH5)&gt;J5+M5,J5+M5,SUM(T5:AH5))</f>
        <v>110</v>
      </c>
      <c r="L5" s="26">
        <f t="shared" ref="L5:L17" si="1">(SUM(T5:AH5))</f>
        <v>110</v>
      </c>
      <c r="M5" s="29">
        <v>40</v>
      </c>
      <c r="N5" s="79">
        <f t="shared" ref="N5:N17" si="2">ROUND(IF(J5*0.25-0.5&lt;0,0,J5*0.25-0.5),0)-Q5-O5</f>
        <v>17</v>
      </c>
      <c r="O5" s="29"/>
      <c r="P5" s="29"/>
      <c r="Q5" s="29"/>
      <c r="R5" s="80">
        <f t="shared" ref="R5:R17" si="3">J5-(SUM(T5:AH5))+M5</f>
        <v>0</v>
      </c>
      <c r="S5" s="81" t="str">
        <f t="shared" ref="S5:S17" si="4">IF(R5&lt;0,"ATENÇÃO","OK")</f>
        <v>OK</v>
      </c>
      <c r="T5" s="201">
        <v>30</v>
      </c>
      <c r="U5" s="203"/>
      <c r="V5" s="203"/>
      <c r="W5" s="201">
        <v>40</v>
      </c>
      <c r="X5" s="201">
        <v>40</v>
      </c>
      <c r="Y5" s="82"/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47.2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10</v>
      </c>
      <c r="K6" s="78">
        <f t="shared" si="0"/>
        <v>10</v>
      </c>
      <c r="L6" s="26">
        <f t="shared" si="1"/>
        <v>10</v>
      </c>
      <c r="M6" s="29"/>
      <c r="N6" s="79">
        <f t="shared" si="2"/>
        <v>2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1">
        <v>10</v>
      </c>
      <c r="U6" s="203"/>
      <c r="V6" s="203"/>
      <c r="W6" s="203"/>
      <c r="X6" s="203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47.2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203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47.2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203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47.2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440</v>
      </c>
      <c r="K9" s="78">
        <f t="shared" si="0"/>
        <v>440</v>
      </c>
      <c r="L9" s="26">
        <f t="shared" si="1"/>
        <v>440</v>
      </c>
      <c r="M9" s="29"/>
      <c r="N9" s="79">
        <f t="shared" si="2"/>
        <v>110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3"/>
      <c r="V9" s="201">
        <v>440</v>
      </c>
      <c r="W9" s="203"/>
      <c r="X9" s="203"/>
      <c r="Y9" s="82"/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47.2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203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47.2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203"/>
      <c r="Y11" s="82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47.2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203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47.2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203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47.2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47.2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47.2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82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47.2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47.2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1230</v>
      </c>
      <c r="K18" s="115"/>
      <c r="L18" s="115"/>
      <c r="M18" s="115"/>
      <c r="N18" s="115"/>
      <c r="O18" s="115"/>
      <c r="P18" s="115"/>
      <c r="Q18" s="115"/>
      <c r="R18" s="115">
        <f t="shared" ref="R18" si="5">SUM(R4:R17)</f>
        <v>0</v>
      </c>
      <c r="S18" s="119"/>
      <c r="T18" s="206">
        <f>SUMPRODUCT($I$4:$I$17,T4:T17)</f>
        <v>670</v>
      </c>
      <c r="U18" s="206">
        <f t="shared" ref="U18:AH18" si="6">SUMPRODUCT($I$4:$I$17,U4:U17)</f>
        <v>2887.5</v>
      </c>
      <c r="V18" s="206">
        <f t="shared" si="6"/>
        <v>12139.6</v>
      </c>
      <c r="W18" s="206">
        <f t="shared" si="6"/>
        <v>5087.5</v>
      </c>
      <c r="X18" s="206">
        <f t="shared" si="6"/>
        <v>520</v>
      </c>
      <c r="Y18" s="206">
        <f t="shared" si="6"/>
        <v>0</v>
      </c>
      <c r="Z18" s="206">
        <f t="shared" si="6"/>
        <v>0</v>
      </c>
      <c r="AA18" s="206">
        <f t="shared" si="6"/>
        <v>0</v>
      </c>
      <c r="AB18" s="206">
        <f t="shared" si="6"/>
        <v>0</v>
      </c>
      <c r="AC18" s="206">
        <f t="shared" si="6"/>
        <v>0</v>
      </c>
      <c r="AD18" s="206">
        <f t="shared" si="6"/>
        <v>0</v>
      </c>
      <c r="AE18" s="206">
        <f t="shared" si="6"/>
        <v>0</v>
      </c>
      <c r="AF18" s="206">
        <f t="shared" si="6"/>
        <v>0</v>
      </c>
      <c r="AG18" s="206">
        <f t="shared" si="6"/>
        <v>0</v>
      </c>
      <c r="AH18" s="206">
        <f t="shared" si="6"/>
        <v>0</v>
      </c>
    </row>
    <row r="19" spans="1:34" s="64" customFormat="1" ht="47.2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20784.599999999999</v>
      </c>
      <c r="K19" s="242">
        <f t="shared" ref="K19:R19" si="7">SUMPRODUCT($I$4:$I$17,K4:K17)</f>
        <v>21304.6</v>
      </c>
      <c r="L19" s="242">
        <f t="shared" si="7"/>
        <v>21304.6</v>
      </c>
      <c r="M19" s="242">
        <f t="shared" si="7"/>
        <v>520</v>
      </c>
      <c r="N19" s="242">
        <f t="shared" si="7"/>
        <v>5170.3999999999996</v>
      </c>
      <c r="O19" s="242">
        <f t="shared" si="7"/>
        <v>0</v>
      </c>
      <c r="P19" s="242">
        <f t="shared" si="7"/>
        <v>0</v>
      </c>
      <c r="Q19" s="242">
        <f t="shared" si="7"/>
        <v>0</v>
      </c>
      <c r="R19" s="242">
        <f t="shared" si="7"/>
        <v>0</v>
      </c>
      <c r="S19" s="120"/>
      <c r="T19" s="202"/>
      <c r="U19" s="202"/>
      <c r="V19" s="202"/>
      <c r="W19" s="202"/>
      <c r="X19" s="202"/>
      <c r="AA19" s="122"/>
    </row>
  </sheetData>
  <mergeCells count="27">
    <mergeCell ref="A14:A15"/>
    <mergeCell ref="C14:C15"/>
    <mergeCell ref="C19:I19"/>
    <mergeCell ref="A4:A6"/>
    <mergeCell ref="C4:C6"/>
    <mergeCell ref="A7:A8"/>
    <mergeCell ref="C7:C8"/>
    <mergeCell ref="AH1:AH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V1:V2"/>
    <mergeCell ref="U1:U2"/>
    <mergeCell ref="A1:C1"/>
    <mergeCell ref="D1:I1"/>
    <mergeCell ref="J1:S1"/>
    <mergeCell ref="T1:T2"/>
    <mergeCell ref="A2:I2"/>
    <mergeCell ref="J2:S2"/>
  </mergeCells>
  <conditionalFormatting sqref="Y4:AH17">
    <cfRule type="cellIs" dxfId="39" priority="1" stopIfTrue="1" operator="greaterThan">
      <formula>0</formula>
    </cfRule>
    <cfRule type="cellIs" dxfId="38" priority="2" stopIfTrue="1" operator="greaterThan">
      <formula>0</formula>
    </cfRule>
    <cfRule type="cellIs" dxfId="37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089A-A6A1-4C32-A223-9FEBAAE6483B}">
  <sheetPr>
    <tabColor rgb="FF92D050"/>
  </sheetPr>
  <dimension ref="A1:AH19"/>
  <sheetViews>
    <sheetView topLeftCell="A10" zoomScale="50" zoomScaleNormal="50" workbookViewId="0">
      <selection activeCell="R20" sqref="R20"/>
    </sheetView>
  </sheetViews>
  <sheetFormatPr defaultColWidth="9.81640625" defaultRowHeight="42.75" customHeight="1" x14ac:dyDescent="0.35"/>
  <cols>
    <col min="1" max="1" width="8.81640625" style="1" customWidth="1"/>
    <col min="2" max="2" width="17.81640625" style="15" customWidth="1"/>
    <col min="3" max="3" width="15.1796875" style="16" customWidth="1"/>
    <col min="4" max="4" width="36.45312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8.81640625" style="13" customWidth="1"/>
    <col min="11" max="18" width="8.81640625" style="4" customWidth="1"/>
    <col min="19" max="19" width="8.81640625" style="12" customWidth="1"/>
    <col min="20" max="20" width="14" style="5" customWidth="1"/>
    <col min="21" max="22" width="15.1796875" style="4" customWidth="1"/>
    <col min="23" max="23" width="15.81640625" style="4" customWidth="1"/>
    <col min="24" max="24" width="13.81640625" style="4" customWidth="1"/>
    <col min="25" max="25" width="15.54296875" style="4" customWidth="1"/>
    <col min="26" max="32" width="13.81640625" style="4" customWidth="1"/>
    <col min="33" max="38" width="13.81640625" style="2" customWidth="1"/>
    <col min="39" max="16384" width="9.81640625" style="2"/>
  </cols>
  <sheetData>
    <row r="1" spans="1:34" s="64" customFormat="1" ht="42.7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162</v>
      </c>
      <c r="U1" s="270" t="s">
        <v>163</v>
      </c>
      <c r="V1" s="270" t="s">
        <v>164</v>
      </c>
      <c r="W1" s="270" t="s">
        <v>165</v>
      </c>
      <c r="X1" s="270" t="s">
        <v>214</v>
      </c>
      <c r="Y1" s="270" t="s">
        <v>215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34.5" customHeight="1" x14ac:dyDescent="0.35">
      <c r="A2" s="254" t="s">
        <v>104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71"/>
      <c r="Y2" s="271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42.7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45790</v>
      </c>
      <c r="U3" s="200">
        <v>45803</v>
      </c>
      <c r="V3" s="200">
        <v>45926</v>
      </c>
      <c r="W3" s="200">
        <v>45953</v>
      </c>
      <c r="X3" s="200">
        <v>46050</v>
      </c>
      <c r="Y3" s="200">
        <v>46118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2.7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1200</v>
      </c>
      <c r="K4" s="78">
        <f>IF(SUM(T4:AH4)&gt;J4+M4,J4+M4,SUM(T4:AH4))</f>
        <v>1200</v>
      </c>
      <c r="L4" s="26">
        <f>(SUM(T4:AH4))</f>
        <v>1200</v>
      </c>
      <c r="M4" s="29"/>
      <c r="N4" s="79">
        <f>ROUND(IF(J4*0.25-0.5&lt;0,0,J4*0.25-0.5),0)-Q4-O4</f>
        <v>300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1">
        <v>400</v>
      </c>
      <c r="V4" s="203"/>
      <c r="W4" s="201">
        <v>200</v>
      </c>
      <c r="X4" s="201">
        <v>600</v>
      </c>
      <c r="Y4" s="203"/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42.7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400</v>
      </c>
      <c r="K5" s="78">
        <f t="shared" ref="K5:K17" si="0">IF(SUM(T5:AH5)&gt;J5+M5,J5+M5,SUM(T5:AH5))</f>
        <v>400</v>
      </c>
      <c r="L5" s="26">
        <f t="shared" ref="L5:L17" si="1">(SUM(T5:AH5))</f>
        <v>400</v>
      </c>
      <c r="M5" s="29"/>
      <c r="N5" s="79">
        <f t="shared" ref="N5:N17" si="2">ROUND(IF(J5*0.25-0.5&lt;0,0,J5*0.25-0.5),0)-Q5-O5</f>
        <v>100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1">
        <v>200</v>
      </c>
      <c r="U5" s="203"/>
      <c r="V5" s="203"/>
      <c r="W5" s="203"/>
      <c r="X5" s="201">
        <v>200</v>
      </c>
      <c r="Y5" s="203"/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42.7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203"/>
      <c r="Y6" s="203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42.7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203"/>
      <c r="Y7" s="203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42.7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203"/>
      <c r="Y8" s="203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42.7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800</v>
      </c>
      <c r="K9" s="78">
        <f t="shared" si="0"/>
        <v>800</v>
      </c>
      <c r="L9" s="26">
        <f t="shared" si="1"/>
        <v>800</v>
      </c>
      <c r="M9" s="29"/>
      <c r="N9" s="79">
        <f t="shared" si="2"/>
        <v>200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3"/>
      <c r="V9" s="201">
        <v>400</v>
      </c>
      <c r="W9" s="203"/>
      <c r="X9" s="203"/>
      <c r="Y9" s="201">
        <v>400</v>
      </c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42.7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203"/>
      <c r="Y10" s="203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42.7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203"/>
      <c r="Y11" s="203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42.7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203"/>
      <c r="Y12" s="203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42.7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203"/>
      <c r="Y13" s="203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42.7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203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42.7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203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42.7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203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42.7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203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42.7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2400</v>
      </c>
      <c r="M18" s="117"/>
      <c r="N18" s="117"/>
      <c r="O18" s="117"/>
      <c r="P18" s="117"/>
      <c r="Q18" s="117"/>
      <c r="R18" s="118">
        <f>SUM(R4:R17)</f>
        <v>0</v>
      </c>
      <c r="S18" s="119" t="str">
        <f t="shared" si="4"/>
        <v>OK</v>
      </c>
      <c r="T18" s="209">
        <f>SUMPRODUCT($I$4:$I$17,T4:T17)</f>
        <v>2600</v>
      </c>
      <c r="U18" s="209">
        <f t="shared" ref="U18:AH18" si="5">SUMPRODUCT($I$4:$I$17,U4:U17)</f>
        <v>4200</v>
      </c>
      <c r="V18" s="209">
        <f t="shared" si="5"/>
        <v>11036</v>
      </c>
      <c r="W18" s="209">
        <f t="shared" si="5"/>
        <v>2100</v>
      </c>
      <c r="X18" s="209">
        <f t="shared" si="5"/>
        <v>8900</v>
      </c>
      <c r="Y18" s="209">
        <f t="shared" si="5"/>
        <v>11036</v>
      </c>
      <c r="Z18" s="209">
        <f t="shared" si="5"/>
        <v>0</v>
      </c>
      <c r="AA18" s="209">
        <f t="shared" si="5"/>
        <v>0</v>
      </c>
      <c r="AB18" s="209">
        <f t="shared" si="5"/>
        <v>0</v>
      </c>
      <c r="AC18" s="209">
        <f t="shared" si="5"/>
        <v>0</v>
      </c>
      <c r="AD18" s="209">
        <f t="shared" si="5"/>
        <v>0</v>
      </c>
      <c r="AE18" s="209">
        <f t="shared" si="5"/>
        <v>0</v>
      </c>
      <c r="AF18" s="209">
        <f t="shared" si="5"/>
        <v>0</v>
      </c>
      <c r="AG18" s="209">
        <f t="shared" si="5"/>
        <v>0</v>
      </c>
      <c r="AH18" s="209">
        <f t="shared" si="5"/>
        <v>0</v>
      </c>
    </row>
    <row r="19" spans="1:34" s="64" customFormat="1" ht="42.7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39872</v>
      </c>
      <c r="K19" s="242">
        <f t="shared" ref="K19:Q19" si="6">SUMPRODUCT($I$4:$I$17,K4:K17)</f>
        <v>39872</v>
      </c>
      <c r="L19" s="242">
        <f t="shared" si="6"/>
        <v>39872</v>
      </c>
      <c r="M19" s="242">
        <f t="shared" si="6"/>
        <v>0</v>
      </c>
      <c r="N19" s="242">
        <f t="shared" si="6"/>
        <v>9968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>SUMPRODUCT($I$4:$I$17,R4:R17)</f>
        <v>0</v>
      </c>
      <c r="S19" s="120"/>
      <c r="T19" s="202"/>
      <c r="U19" s="202"/>
      <c r="V19" s="202"/>
      <c r="W19" s="202"/>
      <c r="X19" s="202"/>
      <c r="Y19" s="202"/>
      <c r="AA19" s="122"/>
    </row>
  </sheetData>
  <mergeCells count="27"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V1:V2"/>
    <mergeCell ref="U1:U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Z4:AH17">
    <cfRule type="cellIs" dxfId="36" priority="1" stopIfTrue="1" operator="greaterThan">
      <formula>0</formula>
    </cfRule>
    <cfRule type="cellIs" dxfId="35" priority="2" stopIfTrue="1" operator="greaterThan">
      <formula>0</formula>
    </cfRule>
    <cfRule type="cellIs" dxfId="34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D2D8-3803-4747-966C-3AE0DE62DAE4}">
  <sheetPr>
    <tabColor rgb="FF92D050"/>
  </sheetPr>
  <dimension ref="A1:AH19"/>
  <sheetViews>
    <sheetView topLeftCell="A13" zoomScale="40" zoomScaleNormal="40" workbookViewId="0">
      <selection activeCell="P23" sqref="P23"/>
    </sheetView>
  </sheetViews>
  <sheetFormatPr defaultColWidth="9.81640625" defaultRowHeight="52.5" customHeight="1" x14ac:dyDescent="0.35"/>
  <cols>
    <col min="1" max="1" width="8.81640625" style="1" customWidth="1"/>
    <col min="2" max="2" width="17.81640625" style="15" customWidth="1"/>
    <col min="3" max="3" width="20.36328125" style="16" customWidth="1"/>
    <col min="4" max="4" width="28.0898437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2.81640625" style="13" customWidth="1"/>
    <col min="11" max="18" width="12.81640625" style="4" customWidth="1"/>
    <col min="19" max="19" width="12.81640625" style="12" customWidth="1"/>
    <col min="20" max="20" width="19.453125" style="5" customWidth="1"/>
    <col min="21" max="26" width="19.453125" style="4" customWidth="1"/>
    <col min="27" max="32" width="17.1796875" style="4" customWidth="1"/>
    <col min="33" max="34" width="17.1796875" style="2" customWidth="1"/>
    <col min="35" max="38" width="13.81640625" style="2" customWidth="1"/>
    <col min="39" max="16384" width="9.81640625" style="2"/>
  </cols>
  <sheetData>
    <row r="1" spans="1:34" s="64" customFormat="1" ht="52.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181</v>
      </c>
      <c r="U1" s="270" t="s">
        <v>182</v>
      </c>
      <c r="V1" s="270" t="s">
        <v>183</v>
      </c>
      <c r="W1" s="270" t="s">
        <v>184</v>
      </c>
      <c r="X1" s="270" t="s">
        <v>185</v>
      </c>
      <c r="Y1" s="270" t="s">
        <v>186</v>
      </c>
      <c r="Z1" s="270" t="s">
        <v>187</v>
      </c>
      <c r="AA1" s="280" t="s">
        <v>230</v>
      </c>
      <c r="AB1" s="280" t="s">
        <v>231</v>
      </c>
      <c r="AC1" s="280" t="s">
        <v>232</v>
      </c>
      <c r="AD1" s="280" t="s">
        <v>233</v>
      </c>
      <c r="AE1" s="280" t="s">
        <v>234</v>
      </c>
      <c r="AF1" s="280" t="s">
        <v>235</v>
      </c>
      <c r="AG1" s="280" t="s">
        <v>236</v>
      </c>
      <c r="AH1" s="245" t="s">
        <v>58</v>
      </c>
    </row>
    <row r="2" spans="1:34" s="64" customFormat="1" ht="52.5" customHeight="1" x14ac:dyDescent="0.35">
      <c r="A2" s="254" t="s">
        <v>105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71"/>
      <c r="Y2" s="271"/>
      <c r="Z2" s="271"/>
      <c r="AA2" s="281"/>
      <c r="AB2" s="281"/>
      <c r="AC2" s="281"/>
      <c r="AD2" s="281"/>
      <c r="AE2" s="281"/>
      <c r="AF2" s="281"/>
      <c r="AG2" s="281"/>
      <c r="AH2" s="245"/>
    </row>
    <row r="3" spans="1:34" s="71" customFormat="1" ht="52.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45797</v>
      </c>
      <c r="U3" s="200">
        <v>45840</v>
      </c>
      <c r="V3" s="200">
        <v>45847</v>
      </c>
      <c r="W3" s="200">
        <v>45916</v>
      </c>
      <c r="X3" s="200">
        <v>45926</v>
      </c>
      <c r="Y3" s="200">
        <v>45968</v>
      </c>
      <c r="Z3" s="200">
        <v>45968</v>
      </c>
      <c r="AA3" s="216">
        <v>45980</v>
      </c>
      <c r="AB3" s="216">
        <v>46086</v>
      </c>
      <c r="AC3" s="216">
        <v>46086</v>
      </c>
      <c r="AD3" s="216">
        <v>46093</v>
      </c>
      <c r="AE3" s="216">
        <v>46141</v>
      </c>
      <c r="AF3" s="216">
        <v>46141</v>
      </c>
      <c r="AG3" s="216">
        <v>46141</v>
      </c>
      <c r="AH3" s="70" t="s">
        <v>65</v>
      </c>
    </row>
    <row r="4" spans="1:34" s="64" customFormat="1" ht="52.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0</v>
      </c>
      <c r="K4" s="78">
        <f>IF(SUM(T4:AH4)&gt;J4+M4,J4+M4,SUM(T4:AH4))</f>
        <v>0</v>
      </c>
      <c r="L4" s="26">
        <f>(SUM(T4:AH4))</f>
        <v>0</v>
      </c>
      <c r="M4" s="29"/>
      <c r="N4" s="79">
        <f>ROUND(IF(J4*0.25-0.5&lt;0,0,J4*0.25-0.5),0)-Q4-O4</f>
        <v>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82"/>
    </row>
    <row r="5" spans="1:34" s="64" customFormat="1" ht="52.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0</v>
      </c>
      <c r="K5" s="78">
        <f t="shared" ref="K5:K17" si="0">IF(SUM(T5:AH5)&gt;J5+M5,J5+M5,SUM(T5:AH5))</f>
        <v>0</v>
      </c>
      <c r="L5" s="26">
        <f t="shared" ref="L5:L17" si="1">(SUM(T5:AH5))</f>
        <v>0</v>
      </c>
      <c r="M5" s="29"/>
      <c r="N5" s="79">
        <f t="shared" ref="N5:N17" si="2">ROUND(IF(J5*0.25-0.5&lt;0,0,J5*0.25-0.5),0)-Q5-O5</f>
        <v>0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82"/>
    </row>
    <row r="6" spans="1:34" s="64" customFormat="1" ht="52.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82"/>
    </row>
    <row r="7" spans="1:34" s="64" customFormat="1" ht="52.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82"/>
    </row>
    <row r="8" spans="1:34" s="64" customFormat="1" ht="52.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82"/>
    </row>
    <row r="9" spans="1:34" s="64" customFormat="1" ht="52.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0</v>
      </c>
      <c r="K9" s="78">
        <f t="shared" si="0"/>
        <v>0</v>
      </c>
      <c r="L9" s="26">
        <f t="shared" si="1"/>
        <v>0</v>
      </c>
      <c r="M9" s="29"/>
      <c r="N9" s="79">
        <f t="shared" si="2"/>
        <v>0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82"/>
    </row>
    <row r="10" spans="1:34" s="64" customFormat="1" ht="52.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1250</v>
      </c>
      <c r="K10" s="78">
        <f t="shared" si="0"/>
        <v>920</v>
      </c>
      <c r="L10" s="26">
        <f t="shared" si="1"/>
        <v>920</v>
      </c>
      <c r="M10" s="29"/>
      <c r="N10" s="79">
        <f t="shared" si="2"/>
        <v>312</v>
      </c>
      <c r="O10" s="29"/>
      <c r="P10" s="29"/>
      <c r="Q10" s="29"/>
      <c r="R10" s="80">
        <f t="shared" si="3"/>
        <v>330</v>
      </c>
      <c r="S10" s="81" t="str">
        <f t="shared" si="4"/>
        <v>OK</v>
      </c>
      <c r="T10" s="203"/>
      <c r="U10" s="203"/>
      <c r="V10" s="203"/>
      <c r="W10" s="203"/>
      <c r="X10" s="201">
        <v>300</v>
      </c>
      <c r="Y10" s="201">
        <v>200</v>
      </c>
      <c r="Z10" s="203"/>
      <c r="AA10" s="203"/>
      <c r="AB10" s="201">
        <v>300</v>
      </c>
      <c r="AC10" s="203"/>
      <c r="AD10" s="203"/>
      <c r="AE10" s="201">
        <v>120</v>
      </c>
      <c r="AF10" s="203"/>
      <c r="AG10" s="203"/>
      <c r="AH10" s="82"/>
    </row>
    <row r="11" spans="1:34" s="64" customFormat="1" ht="52.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82"/>
    </row>
    <row r="12" spans="1:34" s="64" customFormat="1" ht="52.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600</v>
      </c>
      <c r="K12" s="78">
        <f t="shared" si="0"/>
        <v>395</v>
      </c>
      <c r="L12" s="26">
        <f t="shared" si="1"/>
        <v>395</v>
      </c>
      <c r="M12" s="29"/>
      <c r="N12" s="79">
        <f t="shared" si="2"/>
        <v>150</v>
      </c>
      <c r="O12" s="29"/>
      <c r="P12" s="29"/>
      <c r="Q12" s="29"/>
      <c r="R12" s="80">
        <f t="shared" si="3"/>
        <v>205</v>
      </c>
      <c r="S12" s="81" t="str">
        <f t="shared" si="4"/>
        <v>OK</v>
      </c>
      <c r="T12" s="203"/>
      <c r="U12" s="203"/>
      <c r="V12" s="201">
        <v>100</v>
      </c>
      <c r="W12" s="203"/>
      <c r="X12" s="203"/>
      <c r="Y12" s="203"/>
      <c r="Z12" s="201">
        <v>100</v>
      </c>
      <c r="AA12" s="203"/>
      <c r="AB12" s="203"/>
      <c r="AC12" s="201">
        <v>130</v>
      </c>
      <c r="AD12" s="203"/>
      <c r="AE12" s="203"/>
      <c r="AF12" s="201">
        <v>65</v>
      </c>
      <c r="AG12" s="203"/>
      <c r="AH12" s="82"/>
    </row>
    <row r="13" spans="1:34" s="64" customFormat="1" ht="52.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40</v>
      </c>
      <c r="K13" s="78">
        <f t="shared" si="0"/>
        <v>34</v>
      </c>
      <c r="L13" s="26">
        <f t="shared" si="1"/>
        <v>34</v>
      </c>
      <c r="M13" s="29"/>
      <c r="N13" s="79">
        <f t="shared" si="2"/>
        <v>10</v>
      </c>
      <c r="O13" s="29"/>
      <c r="P13" s="29"/>
      <c r="Q13" s="29"/>
      <c r="R13" s="80">
        <f t="shared" si="3"/>
        <v>6</v>
      </c>
      <c r="S13" s="81" t="str">
        <f t="shared" si="4"/>
        <v>OK</v>
      </c>
      <c r="T13" s="201">
        <v>6</v>
      </c>
      <c r="U13" s="201">
        <v>4</v>
      </c>
      <c r="V13" s="203"/>
      <c r="W13" s="201">
        <v>4</v>
      </c>
      <c r="X13" s="203"/>
      <c r="Y13" s="203"/>
      <c r="Z13" s="203"/>
      <c r="AA13" s="201">
        <v>3</v>
      </c>
      <c r="AB13" s="203"/>
      <c r="AC13" s="203"/>
      <c r="AD13" s="201">
        <v>4</v>
      </c>
      <c r="AE13" s="203"/>
      <c r="AF13" s="203"/>
      <c r="AG13" s="201">
        <v>13</v>
      </c>
      <c r="AH13" s="82"/>
    </row>
    <row r="14" spans="1:34" s="64" customFormat="1" ht="52.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82"/>
    </row>
    <row r="15" spans="1:34" s="64" customFormat="1" ht="52.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82"/>
    </row>
    <row r="16" spans="1:34" s="64" customFormat="1" ht="52.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82"/>
    </row>
    <row r="17" spans="1:34" s="64" customFormat="1" ht="52.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82"/>
    </row>
    <row r="18" spans="1:34" s="116" customFormat="1" ht="52.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1890</v>
      </c>
      <c r="M18" s="117"/>
      <c r="N18" s="117"/>
      <c r="O18" s="117"/>
      <c r="P18" s="117"/>
      <c r="Q18" s="117"/>
      <c r="R18" s="118">
        <f>SUM(R4:R17)</f>
        <v>541</v>
      </c>
      <c r="S18" s="119" t="str">
        <f t="shared" si="4"/>
        <v>OK</v>
      </c>
      <c r="T18" s="209">
        <f>SUMPRODUCT($I$4:$I$17,T4:T17)</f>
        <v>766.43999999999994</v>
      </c>
      <c r="U18" s="209">
        <f t="shared" ref="U18:AH18" si="5">SUMPRODUCT($I$4:$I$17,U4:U17)</f>
        <v>510.96</v>
      </c>
      <c r="V18" s="209">
        <f t="shared" si="5"/>
        <v>484.99999999999994</v>
      </c>
      <c r="W18" s="209">
        <f t="shared" si="5"/>
        <v>510.96</v>
      </c>
      <c r="X18" s="209">
        <f t="shared" si="5"/>
        <v>8070</v>
      </c>
      <c r="Y18" s="209">
        <f t="shared" si="5"/>
        <v>5380</v>
      </c>
      <c r="Z18" s="209">
        <f t="shared" si="5"/>
        <v>484.99999999999994</v>
      </c>
      <c r="AA18" s="209">
        <f t="shared" si="5"/>
        <v>383.21999999999997</v>
      </c>
      <c r="AB18" s="209">
        <f t="shared" si="5"/>
        <v>8070</v>
      </c>
      <c r="AC18" s="209">
        <f t="shared" si="5"/>
        <v>630.5</v>
      </c>
      <c r="AD18" s="209">
        <f t="shared" si="5"/>
        <v>510.96</v>
      </c>
      <c r="AE18" s="209">
        <f t="shared" si="5"/>
        <v>3228</v>
      </c>
      <c r="AF18" s="209">
        <f t="shared" si="5"/>
        <v>315.25</v>
      </c>
      <c r="AG18" s="209">
        <f t="shared" si="5"/>
        <v>1660.62</v>
      </c>
      <c r="AH18" s="209">
        <f t="shared" si="5"/>
        <v>0</v>
      </c>
    </row>
    <row r="19" spans="1:34" s="64" customFormat="1" ht="52.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41644.6</v>
      </c>
      <c r="K19" s="242">
        <f t="shared" ref="K19:R19" si="6">SUMPRODUCT($I$4:$I$17,K4:K17)</f>
        <v>31006.91</v>
      </c>
      <c r="L19" s="242">
        <f t="shared" si="6"/>
        <v>31006.91</v>
      </c>
      <c r="M19" s="242">
        <f t="shared" si="6"/>
        <v>0</v>
      </c>
      <c r="N19" s="242">
        <f t="shared" si="6"/>
        <v>10397.699999999999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10637.69</v>
      </c>
      <c r="S19" s="120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</row>
  </sheetData>
  <mergeCells count="27">
    <mergeCell ref="U1:U2"/>
    <mergeCell ref="X1:X2"/>
    <mergeCell ref="A1:C1"/>
    <mergeCell ref="D1:I1"/>
    <mergeCell ref="J1:S1"/>
    <mergeCell ref="T1:T2"/>
    <mergeCell ref="A2:I2"/>
    <mergeCell ref="J2:S2"/>
    <mergeCell ref="V1:V2"/>
    <mergeCell ref="AG1:AG2"/>
    <mergeCell ref="AH1:AH2"/>
    <mergeCell ref="W1:W2"/>
    <mergeCell ref="AB1:AB2"/>
    <mergeCell ref="Y1:Y2"/>
    <mergeCell ref="Z1:Z2"/>
    <mergeCell ref="AA1:AA2"/>
    <mergeCell ref="AC1:AC2"/>
    <mergeCell ref="AD1:AD2"/>
    <mergeCell ref="AE1:AE2"/>
    <mergeCell ref="AF1:AF2"/>
    <mergeCell ref="A14:A15"/>
    <mergeCell ref="C14:C15"/>
    <mergeCell ref="C19:I19"/>
    <mergeCell ref="A4:A6"/>
    <mergeCell ref="C4:C6"/>
    <mergeCell ref="A7:A8"/>
    <mergeCell ref="C7:C8"/>
  </mergeCells>
  <conditionalFormatting sqref="AH4:AH17">
    <cfRule type="cellIs" dxfId="33" priority="1" stopIfTrue="1" operator="greaterThan">
      <formula>0</formula>
    </cfRule>
    <cfRule type="cellIs" dxfId="32" priority="2" stopIfTrue="1" operator="greaterThan">
      <formula>0</formula>
    </cfRule>
    <cfRule type="cellIs" dxfId="31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1007-B77E-4C53-BFE2-0F0689BE3246}">
  <sheetPr>
    <tabColor rgb="FF92D050"/>
  </sheetPr>
  <dimension ref="A1:AH19"/>
  <sheetViews>
    <sheetView topLeftCell="G13" zoomScale="40" zoomScaleNormal="40" workbookViewId="0">
      <selection activeCell="Q23" sqref="Q23"/>
    </sheetView>
  </sheetViews>
  <sheetFormatPr defaultColWidth="9.81640625" defaultRowHeight="48" customHeight="1" x14ac:dyDescent="0.35"/>
  <cols>
    <col min="1" max="1" width="8.81640625" style="1" customWidth="1"/>
    <col min="2" max="2" width="17.81640625" style="15" customWidth="1"/>
    <col min="3" max="3" width="13.1796875" style="16" customWidth="1"/>
    <col min="4" max="4" width="38.179687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5" style="13" customWidth="1"/>
    <col min="11" max="18" width="15" style="4" customWidth="1"/>
    <col min="19" max="19" width="15" style="12" customWidth="1"/>
    <col min="20" max="20" width="17" style="5" customWidth="1"/>
    <col min="21" max="21" width="16.81640625" style="4" customWidth="1"/>
    <col min="22" max="22" width="17" style="4" customWidth="1"/>
    <col min="23" max="23" width="15.81640625" style="4" customWidth="1"/>
    <col min="24" max="24" width="14.453125" style="4" customWidth="1"/>
    <col min="25" max="25" width="14.6328125" style="4" customWidth="1"/>
    <col min="26" max="26" width="15.08984375" style="4" customWidth="1"/>
    <col min="27" max="27" width="16.81640625" style="4" customWidth="1"/>
    <col min="28" max="32" width="13.81640625" style="4" customWidth="1"/>
    <col min="33" max="38" width="13.81640625" style="2" customWidth="1"/>
    <col min="39" max="16384" width="9.81640625" style="2"/>
  </cols>
  <sheetData>
    <row r="1" spans="1:34" s="64" customFormat="1" ht="48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178</v>
      </c>
      <c r="U1" s="270" t="s">
        <v>179</v>
      </c>
      <c r="V1" s="270" t="s">
        <v>180</v>
      </c>
      <c r="W1" s="280" t="s">
        <v>220</v>
      </c>
      <c r="X1" s="280" t="s">
        <v>221</v>
      </c>
      <c r="Y1" s="280" t="s">
        <v>222</v>
      </c>
      <c r="Z1" s="280" t="s">
        <v>223</v>
      </c>
      <c r="AA1" s="280" t="s">
        <v>224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48" customHeight="1" x14ac:dyDescent="0.35">
      <c r="A2" s="254" t="s">
        <v>106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81"/>
      <c r="X2" s="281"/>
      <c r="Y2" s="281"/>
      <c r="Z2" s="281"/>
      <c r="AA2" s="281"/>
      <c r="AB2" s="245"/>
      <c r="AC2" s="245"/>
      <c r="AD2" s="245"/>
      <c r="AE2" s="245"/>
      <c r="AF2" s="245"/>
      <c r="AG2" s="245"/>
      <c r="AH2" s="245"/>
    </row>
    <row r="3" spans="1:34" s="71" customFormat="1" ht="48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45846</v>
      </c>
      <c r="U3" s="200">
        <v>45939</v>
      </c>
      <c r="V3" s="200">
        <v>45939</v>
      </c>
      <c r="W3" s="216">
        <v>46042</v>
      </c>
      <c r="X3" s="216">
        <v>46050</v>
      </c>
      <c r="Y3" s="216">
        <v>46113</v>
      </c>
      <c r="Z3" s="216">
        <v>46126</v>
      </c>
      <c r="AA3" s="216">
        <v>45781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8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0</v>
      </c>
      <c r="K4" s="78">
        <f>IF(SUM(T4:AH4)&gt;J4+M4,J4+M4,SUM(T4:AH4))</f>
        <v>0</v>
      </c>
      <c r="L4" s="26">
        <f>(SUM(T4:AH4))</f>
        <v>0</v>
      </c>
      <c r="M4" s="29"/>
      <c r="N4" s="79">
        <f>ROUND(IF(J4*0.25-0.5&lt;0,0,J4*0.25-0.5),0)-Q4-O4</f>
        <v>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3"/>
      <c r="V4" s="203"/>
      <c r="W4" s="203"/>
      <c r="X4" s="203"/>
      <c r="Y4" s="203"/>
      <c r="Z4" s="203"/>
      <c r="AA4" s="203"/>
      <c r="AB4" s="82"/>
      <c r="AC4" s="82"/>
      <c r="AD4" s="82"/>
      <c r="AE4" s="82"/>
      <c r="AF4" s="82"/>
      <c r="AG4" s="82"/>
      <c r="AH4" s="82"/>
    </row>
    <row r="5" spans="1:34" s="64" customFormat="1" ht="48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0</v>
      </c>
      <c r="K5" s="78">
        <f t="shared" ref="K5:K17" si="0">IF(SUM(T5:AH5)&gt;J5+M5,J5+M5,SUM(T5:AH5))</f>
        <v>0</v>
      </c>
      <c r="L5" s="26">
        <f t="shared" ref="L5:L17" si="1">(SUM(T5:AH5))</f>
        <v>0</v>
      </c>
      <c r="M5" s="29"/>
      <c r="N5" s="79">
        <f t="shared" ref="N5:N17" si="2">ROUND(IF(J5*0.25-0.5&lt;0,0,J5*0.25-0.5),0)-Q5-O5</f>
        <v>0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3"/>
      <c r="U5" s="203"/>
      <c r="V5" s="203"/>
      <c r="W5" s="203"/>
      <c r="X5" s="203"/>
      <c r="Y5" s="203"/>
      <c r="Z5" s="203"/>
      <c r="AA5" s="203"/>
      <c r="AB5" s="82"/>
      <c r="AC5" s="82"/>
      <c r="AD5" s="82"/>
      <c r="AE5" s="82"/>
      <c r="AF5" s="82"/>
      <c r="AG5" s="82"/>
      <c r="AH5" s="82"/>
    </row>
    <row r="6" spans="1:34" s="64" customFormat="1" ht="48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203"/>
      <c r="Y6" s="203"/>
      <c r="Z6" s="203"/>
      <c r="AA6" s="203"/>
      <c r="AB6" s="82"/>
      <c r="AC6" s="82"/>
      <c r="AD6" s="82"/>
      <c r="AE6" s="82"/>
      <c r="AF6" s="82"/>
      <c r="AG6" s="82"/>
      <c r="AH6" s="82"/>
    </row>
    <row r="7" spans="1:34" s="64" customFormat="1" ht="48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2900</v>
      </c>
      <c r="K7" s="78">
        <f t="shared" si="0"/>
        <v>2340</v>
      </c>
      <c r="L7" s="26">
        <f t="shared" si="1"/>
        <v>2340</v>
      </c>
      <c r="M7" s="29"/>
      <c r="N7" s="79">
        <f t="shared" si="2"/>
        <v>725</v>
      </c>
      <c r="O7" s="29"/>
      <c r="P7" s="29"/>
      <c r="Q7" s="29"/>
      <c r="R7" s="80">
        <f t="shared" si="3"/>
        <v>560</v>
      </c>
      <c r="S7" s="81" t="str">
        <f t="shared" si="4"/>
        <v>OK</v>
      </c>
      <c r="T7" s="201">
        <v>720</v>
      </c>
      <c r="U7" s="201">
        <v>300</v>
      </c>
      <c r="V7" s="203"/>
      <c r="W7" s="201">
        <v>720</v>
      </c>
      <c r="X7" s="203"/>
      <c r="Y7" s="203"/>
      <c r="Z7" s="201">
        <v>600</v>
      </c>
      <c r="AA7" s="203"/>
      <c r="AB7" s="82"/>
      <c r="AC7" s="82"/>
      <c r="AD7" s="82"/>
      <c r="AE7" s="82"/>
      <c r="AF7" s="82"/>
      <c r="AG7" s="82"/>
      <c r="AH7" s="82"/>
    </row>
    <row r="8" spans="1:34" s="64" customFormat="1" ht="48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500</v>
      </c>
      <c r="K8" s="78">
        <f t="shared" si="0"/>
        <v>500</v>
      </c>
      <c r="L8" s="26">
        <f t="shared" si="1"/>
        <v>500</v>
      </c>
      <c r="M8" s="29"/>
      <c r="N8" s="79">
        <f t="shared" si="2"/>
        <v>125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1">
        <v>100</v>
      </c>
      <c r="U8" s="201">
        <v>120</v>
      </c>
      <c r="V8" s="203"/>
      <c r="W8" s="201">
        <v>150</v>
      </c>
      <c r="X8" s="203"/>
      <c r="Y8" s="203"/>
      <c r="Z8" s="201">
        <v>130</v>
      </c>
      <c r="AA8" s="203"/>
      <c r="AB8" s="82"/>
      <c r="AC8" s="82"/>
      <c r="AD8" s="82"/>
      <c r="AE8" s="82"/>
      <c r="AF8" s="82"/>
      <c r="AG8" s="82"/>
      <c r="AH8" s="82"/>
    </row>
    <row r="9" spans="1:34" s="64" customFormat="1" ht="48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0</v>
      </c>
      <c r="K9" s="78">
        <f t="shared" si="0"/>
        <v>0</v>
      </c>
      <c r="L9" s="26">
        <f t="shared" si="1"/>
        <v>0</v>
      </c>
      <c r="M9" s="29"/>
      <c r="N9" s="79">
        <f t="shared" si="2"/>
        <v>0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3"/>
      <c r="V9" s="203"/>
      <c r="W9" s="203"/>
      <c r="X9" s="203"/>
      <c r="Y9" s="203"/>
      <c r="Z9" s="203"/>
      <c r="AA9" s="203"/>
      <c r="AB9" s="82"/>
      <c r="AC9" s="82"/>
      <c r="AD9" s="82"/>
      <c r="AE9" s="82"/>
      <c r="AF9" s="82"/>
      <c r="AG9" s="82"/>
      <c r="AH9" s="82"/>
    </row>
    <row r="10" spans="1:34" s="64" customFormat="1" ht="48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203"/>
      <c r="Y10" s="203"/>
      <c r="Z10" s="203"/>
      <c r="AA10" s="203"/>
      <c r="AB10" s="82"/>
      <c r="AC10" s="82"/>
      <c r="AD10" s="82"/>
      <c r="AE10" s="82"/>
      <c r="AF10" s="82"/>
      <c r="AG10" s="82"/>
      <c r="AH10" s="82"/>
    </row>
    <row r="11" spans="1:34" s="64" customFormat="1" ht="48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1325</v>
      </c>
      <c r="K11" s="78">
        <f t="shared" si="0"/>
        <v>960</v>
      </c>
      <c r="L11" s="26">
        <f t="shared" si="1"/>
        <v>960</v>
      </c>
      <c r="M11" s="29"/>
      <c r="N11" s="79">
        <f t="shared" si="2"/>
        <v>331</v>
      </c>
      <c r="O11" s="29"/>
      <c r="P11" s="29"/>
      <c r="Q11" s="29"/>
      <c r="R11" s="80">
        <f t="shared" si="3"/>
        <v>365</v>
      </c>
      <c r="S11" s="81" t="str">
        <f t="shared" si="4"/>
        <v>OK</v>
      </c>
      <c r="T11" s="203"/>
      <c r="U11" s="203"/>
      <c r="V11" s="201">
        <v>240</v>
      </c>
      <c r="W11" s="203"/>
      <c r="X11" s="201">
        <v>240</v>
      </c>
      <c r="Y11" s="201">
        <v>240</v>
      </c>
      <c r="Z11" s="203"/>
      <c r="AA11" s="201">
        <v>240</v>
      </c>
      <c r="AB11" s="82"/>
      <c r="AC11" s="82"/>
      <c r="AD11" s="82"/>
      <c r="AE11" s="82"/>
      <c r="AF11" s="82"/>
      <c r="AG11" s="82"/>
      <c r="AH11" s="82"/>
    </row>
    <row r="12" spans="1:34" s="64" customFormat="1" ht="48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203"/>
      <c r="Y12" s="203"/>
      <c r="Z12" s="203"/>
      <c r="AA12" s="203"/>
      <c r="AB12" s="82"/>
      <c r="AC12" s="82"/>
      <c r="AD12" s="82"/>
      <c r="AE12" s="82"/>
      <c r="AF12" s="82"/>
      <c r="AG12" s="82"/>
      <c r="AH12" s="82"/>
    </row>
    <row r="13" spans="1:34" s="64" customFormat="1" ht="48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203"/>
      <c r="Y13" s="203"/>
      <c r="Z13" s="203"/>
      <c r="AA13" s="203"/>
      <c r="AB13" s="82"/>
      <c r="AC13" s="82"/>
      <c r="AD13" s="82"/>
      <c r="AE13" s="82"/>
      <c r="AF13" s="82"/>
      <c r="AG13" s="82"/>
      <c r="AH13" s="82"/>
    </row>
    <row r="14" spans="1:34" s="64" customFormat="1" ht="48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203"/>
      <c r="Z14" s="203"/>
      <c r="AA14" s="203"/>
      <c r="AB14" s="82"/>
      <c r="AC14" s="82"/>
      <c r="AD14" s="82"/>
      <c r="AE14" s="82"/>
      <c r="AF14" s="82"/>
      <c r="AG14" s="82"/>
      <c r="AH14" s="82"/>
    </row>
    <row r="15" spans="1:34" s="64" customFormat="1" ht="48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203"/>
      <c r="Z15" s="203"/>
      <c r="AA15" s="203"/>
      <c r="AB15" s="82"/>
      <c r="AC15" s="82"/>
      <c r="AD15" s="82"/>
      <c r="AE15" s="82"/>
      <c r="AF15" s="82"/>
      <c r="AG15" s="82"/>
      <c r="AH15" s="82"/>
    </row>
    <row r="16" spans="1:34" s="64" customFormat="1" ht="48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203"/>
      <c r="Z16" s="203"/>
      <c r="AA16" s="203"/>
      <c r="AB16" s="82"/>
      <c r="AC16" s="82"/>
      <c r="AD16" s="82"/>
      <c r="AE16" s="82"/>
      <c r="AF16" s="82"/>
      <c r="AG16" s="82"/>
      <c r="AH16" s="82"/>
    </row>
    <row r="17" spans="1:34" s="64" customFormat="1" ht="48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203"/>
      <c r="Z17" s="203"/>
      <c r="AA17" s="203"/>
      <c r="AB17" s="82"/>
      <c r="AC17" s="82"/>
      <c r="AD17" s="82"/>
      <c r="AE17" s="82"/>
      <c r="AF17" s="82"/>
      <c r="AG17" s="82"/>
      <c r="AH17" s="82"/>
    </row>
    <row r="18" spans="1:34" s="116" customFormat="1" ht="48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4725</v>
      </c>
      <c r="M18" s="117"/>
      <c r="N18" s="117"/>
      <c r="O18" s="117"/>
      <c r="P18" s="117"/>
      <c r="Q18" s="117"/>
      <c r="R18" s="118">
        <f>SUM(R4:R17)</f>
        <v>925</v>
      </c>
      <c r="S18" s="119" t="str">
        <f t="shared" si="4"/>
        <v>OK</v>
      </c>
      <c r="T18" s="206">
        <f>SUMPRODUCT($I$4:$I$17,T4:T17)</f>
        <v>13460.400000000001</v>
      </c>
      <c r="U18" s="206">
        <f t="shared" ref="U18:AH18" si="5">SUMPRODUCT($I$4:$I$17,U4:U17)</f>
        <v>6750.6</v>
      </c>
      <c r="V18" s="206">
        <f t="shared" si="5"/>
        <v>6568.8</v>
      </c>
      <c r="W18" s="206">
        <f t="shared" si="5"/>
        <v>14189.400000000001</v>
      </c>
      <c r="X18" s="206">
        <f t="shared" si="5"/>
        <v>6568.8</v>
      </c>
      <c r="Y18" s="206">
        <f t="shared" si="5"/>
        <v>6568.8</v>
      </c>
      <c r="Z18" s="206">
        <f t="shared" si="5"/>
        <v>11897.400000000001</v>
      </c>
      <c r="AA18" s="206">
        <f t="shared" si="5"/>
        <v>6568.8</v>
      </c>
      <c r="AB18" s="206">
        <f t="shared" si="5"/>
        <v>0</v>
      </c>
      <c r="AC18" s="206">
        <f t="shared" si="5"/>
        <v>0</v>
      </c>
      <c r="AD18" s="206">
        <f t="shared" si="5"/>
        <v>0</v>
      </c>
      <c r="AE18" s="206">
        <f t="shared" si="5"/>
        <v>0</v>
      </c>
      <c r="AF18" s="206">
        <f t="shared" si="5"/>
        <v>0</v>
      </c>
      <c r="AG18" s="206">
        <f t="shared" si="5"/>
        <v>0</v>
      </c>
      <c r="AH18" s="206">
        <f t="shared" si="5"/>
        <v>0</v>
      </c>
    </row>
    <row r="19" spans="1:34" s="64" customFormat="1" ht="48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91898.25</v>
      </c>
      <c r="K19" s="242">
        <f t="shared" ref="K19:R19" si="6">SUMPRODUCT($I$4:$I$17,K4:K17)</f>
        <v>72573</v>
      </c>
      <c r="L19" s="242">
        <f t="shared" si="6"/>
        <v>72573</v>
      </c>
      <c r="M19" s="242">
        <f t="shared" si="6"/>
        <v>0</v>
      </c>
      <c r="N19" s="242">
        <f t="shared" si="6"/>
        <v>22967.72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19325.25</v>
      </c>
      <c r="S19" s="120"/>
      <c r="T19" s="202"/>
      <c r="U19" s="202"/>
      <c r="V19" s="202"/>
      <c r="W19" s="202"/>
      <c r="X19" s="202"/>
      <c r="Y19" s="202"/>
      <c r="Z19" s="202"/>
      <c r="AA19" s="202"/>
    </row>
  </sheetData>
  <mergeCells count="27"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V1:V2"/>
    <mergeCell ref="U1:U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AB4:AH17">
    <cfRule type="cellIs" dxfId="30" priority="1" stopIfTrue="1" operator="greaterThan">
      <formula>0</formula>
    </cfRule>
    <cfRule type="cellIs" dxfId="29" priority="2" stopIfTrue="1" operator="greaterThan">
      <formula>0</formula>
    </cfRule>
    <cfRule type="cellIs" dxfId="28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H19"/>
  <sheetViews>
    <sheetView topLeftCell="A9" zoomScale="50" zoomScaleNormal="50" workbookViewId="0">
      <selection activeCell="M23" sqref="M23"/>
    </sheetView>
  </sheetViews>
  <sheetFormatPr defaultColWidth="9.81640625" defaultRowHeight="43.5" customHeight="1" x14ac:dyDescent="0.35"/>
  <cols>
    <col min="1" max="1" width="8.81640625" style="1" customWidth="1"/>
    <col min="2" max="2" width="17.81640625" style="15" customWidth="1"/>
    <col min="3" max="3" width="22.453125" style="16" customWidth="1"/>
    <col min="4" max="4" width="39.179687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1" style="13" customWidth="1"/>
    <col min="11" max="18" width="11" style="4" customWidth="1"/>
    <col min="19" max="19" width="11" style="12" customWidth="1"/>
    <col min="20" max="20" width="15.1796875" style="5" customWidth="1"/>
    <col min="21" max="21" width="16" style="4" customWidth="1"/>
    <col min="22" max="32" width="13.81640625" style="4" customWidth="1"/>
    <col min="33" max="38" width="13.81640625" style="2" customWidth="1"/>
    <col min="39" max="16384" width="9.81640625" style="2"/>
  </cols>
  <sheetData>
    <row r="1" spans="1:34" s="64" customFormat="1" ht="43.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154</v>
      </c>
      <c r="U1" s="270" t="s">
        <v>155</v>
      </c>
      <c r="V1" s="217" t="s">
        <v>203</v>
      </c>
      <c r="W1" s="217" t="s">
        <v>204</v>
      </c>
      <c r="X1" s="217" t="s">
        <v>205</v>
      </c>
      <c r="Y1" s="217" t="s">
        <v>206</v>
      </c>
      <c r="Z1" s="217" t="s">
        <v>207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43.5" customHeight="1" x14ac:dyDescent="0.35">
      <c r="A2" s="254" t="s">
        <v>107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18"/>
      <c r="W2" s="218"/>
      <c r="X2" s="218"/>
      <c r="Y2" s="218"/>
      <c r="Z2" s="218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43.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45792</v>
      </c>
      <c r="U3" s="200">
        <v>45902</v>
      </c>
      <c r="V3" s="124">
        <v>45973</v>
      </c>
      <c r="W3" s="124">
        <v>46084</v>
      </c>
      <c r="X3" s="124">
        <v>46085</v>
      </c>
      <c r="Y3" s="124">
        <v>46108</v>
      </c>
      <c r="Z3" s="124">
        <v>46120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3.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420</v>
      </c>
      <c r="K4" s="78">
        <f>IF(SUM(T4:AH4)&gt;J4+M4,J4+M4,SUM(T4:AH4))</f>
        <v>520</v>
      </c>
      <c r="L4" s="26">
        <f>(SUM(T4:AH4))</f>
        <v>520</v>
      </c>
      <c r="M4" s="29">
        <v>100</v>
      </c>
      <c r="N4" s="79">
        <f>ROUND(IF(J4*0.25-0.5&lt;0,0,J4*0.25-0.5),0)-Q4-O4</f>
        <v>105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1">
        <v>100</v>
      </c>
      <c r="U4" s="201">
        <v>200</v>
      </c>
      <c r="V4" s="82">
        <v>60</v>
      </c>
      <c r="W4" s="82">
        <v>100</v>
      </c>
      <c r="X4" s="82"/>
      <c r="Y4" s="82">
        <v>60</v>
      </c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43.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120</v>
      </c>
      <c r="K5" s="78">
        <f t="shared" ref="K5:K17" si="0">IF(SUM(T5:AH5)&gt;J5+M5,J5+M5,SUM(T5:AH5))</f>
        <v>120</v>
      </c>
      <c r="L5" s="26">
        <f t="shared" ref="L5:L17" si="1">(SUM(T5:AH5))</f>
        <v>120</v>
      </c>
      <c r="M5" s="29"/>
      <c r="N5" s="79">
        <f t="shared" ref="N5:N17" si="2">ROUND(IF(J5*0.25-0.5&lt;0,0,J5*0.25-0.5),0)-Q5-O5</f>
        <v>30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1">
        <v>50</v>
      </c>
      <c r="U5" s="203"/>
      <c r="V5" s="82">
        <v>30</v>
      </c>
      <c r="W5" s="82">
        <v>10</v>
      </c>
      <c r="X5" s="82"/>
      <c r="Y5" s="82">
        <v>30</v>
      </c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43.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6</v>
      </c>
      <c r="K6" s="78">
        <f t="shared" si="0"/>
        <v>6</v>
      </c>
      <c r="L6" s="26">
        <f t="shared" si="1"/>
        <v>6</v>
      </c>
      <c r="M6" s="29"/>
      <c r="N6" s="79">
        <f t="shared" si="2"/>
        <v>1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4"/>
      <c r="U6" s="203"/>
      <c r="V6" s="82"/>
      <c r="W6" s="82">
        <v>6</v>
      </c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43.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4"/>
      <c r="U7" s="203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43.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4"/>
      <c r="U8" s="203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43.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360</v>
      </c>
      <c r="K9" s="78">
        <f t="shared" si="0"/>
        <v>360</v>
      </c>
      <c r="L9" s="26">
        <f t="shared" si="1"/>
        <v>360</v>
      </c>
      <c r="M9" s="29"/>
      <c r="N9" s="79">
        <f t="shared" si="2"/>
        <v>90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4"/>
      <c r="U9" s="203"/>
      <c r="V9" s="82"/>
      <c r="W9" s="82"/>
      <c r="X9" s="82">
        <v>260</v>
      </c>
      <c r="Y9" s="82"/>
      <c r="Z9" s="82">
        <v>100</v>
      </c>
      <c r="AA9" s="82"/>
      <c r="AB9" s="82"/>
      <c r="AC9" s="82"/>
      <c r="AD9" s="82"/>
      <c r="AE9" s="82"/>
      <c r="AF9" s="82"/>
      <c r="AG9" s="82"/>
      <c r="AH9" s="82"/>
    </row>
    <row r="10" spans="1:34" s="64" customFormat="1" ht="43.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4"/>
      <c r="U10" s="203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43.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4"/>
      <c r="U11" s="203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43.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4"/>
      <c r="U12" s="203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43.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4"/>
      <c r="U13" s="203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43.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4"/>
      <c r="U14" s="203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43.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4"/>
      <c r="U15" s="203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43.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4"/>
      <c r="U16" s="203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43.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4"/>
      <c r="U17" s="203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43.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906</v>
      </c>
      <c r="M18" s="117"/>
      <c r="N18" s="117"/>
      <c r="O18" s="117"/>
      <c r="P18" s="117"/>
      <c r="Q18" s="117"/>
      <c r="R18" s="118">
        <f>SUM(R4:R17)</f>
        <v>0</v>
      </c>
      <c r="S18" s="119" t="str">
        <f t="shared" si="4"/>
        <v>OK</v>
      </c>
      <c r="T18" s="205">
        <f>SUMPRODUCT($I$4:$I$17,T4:T17)</f>
        <v>1700</v>
      </c>
      <c r="U18" s="205">
        <f t="shared" ref="U18:AH18" si="5">SUMPRODUCT($I$4:$I$17,U4:U17)</f>
        <v>2100</v>
      </c>
      <c r="V18" s="205">
        <f t="shared" si="5"/>
        <v>1020</v>
      </c>
      <c r="W18" s="205">
        <f t="shared" si="5"/>
        <v>1348</v>
      </c>
      <c r="X18" s="205">
        <f t="shared" si="5"/>
        <v>7173.4</v>
      </c>
      <c r="Y18" s="205">
        <f t="shared" si="5"/>
        <v>1020</v>
      </c>
      <c r="Z18" s="205">
        <f t="shared" si="5"/>
        <v>2759</v>
      </c>
      <c r="AA18" s="205">
        <f t="shared" si="5"/>
        <v>0</v>
      </c>
      <c r="AB18" s="205">
        <f t="shared" si="5"/>
        <v>0</v>
      </c>
      <c r="AC18" s="205">
        <f t="shared" si="5"/>
        <v>0</v>
      </c>
      <c r="AD18" s="205">
        <f t="shared" si="5"/>
        <v>0</v>
      </c>
      <c r="AE18" s="205">
        <f t="shared" si="5"/>
        <v>0</v>
      </c>
      <c r="AF18" s="205">
        <f t="shared" si="5"/>
        <v>0</v>
      </c>
      <c r="AG18" s="205">
        <f t="shared" si="5"/>
        <v>0</v>
      </c>
      <c r="AH18" s="205">
        <f t="shared" si="5"/>
        <v>0</v>
      </c>
    </row>
    <row r="19" spans="1:34" s="64" customFormat="1" ht="43.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16070.4</v>
      </c>
      <c r="K19" s="242">
        <f t="shared" ref="K19:R19" si="6">SUMPRODUCT($I$4:$I$17,K4:K17)</f>
        <v>17120.400000000001</v>
      </c>
      <c r="L19" s="242">
        <f t="shared" si="6"/>
        <v>17120.400000000001</v>
      </c>
      <c r="M19" s="242">
        <f t="shared" si="6"/>
        <v>1050</v>
      </c>
      <c r="N19" s="242">
        <f t="shared" si="6"/>
        <v>4003.6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0</v>
      </c>
      <c r="S19" s="120"/>
      <c r="T19" s="207"/>
      <c r="U19" s="202"/>
      <c r="AA19" s="122"/>
    </row>
  </sheetData>
  <mergeCells count="22">
    <mergeCell ref="AF1:AF2"/>
    <mergeCell ref="AG1:AG2"/>
    <mergeCell ref="AH1:AH2"/>
    <mergeCell ref="AA1:AA2"/>
    <mergeCell ref="AE1:AE2"/>
    <mergeCell ref="AC1:AC2"/>
    <mergeCell ref="AD1:AD2"/>
    <mergeCell ref="AB1:AB2"/>
    <mergeCell ref="U1:U2"/>
    <mergeCell ref="A14:A15"/>
    <mergeCell ref="C14:C15"/>
    <mergeCell ref="C19:I19"/>
    <mergeCell ref="A4:A6"/>
    <mergeCell ref="C4:C6"/>
    <mergeCell ref="A7:A8"/>
    <mergeCell ref="C7:C8"/>
    <mergeCell ref="A1:C1"/>
    <mergeCell ref="D1:I1"/>
    <mergeCell ref="J1:S1"/>
    <mergeCell ref="T1:T2"/>
    <mergeCell ref="A2:I2"/>
    <mergeCell ref="J2:S2"/>
  </mergeCells>
  <conditionalFormatting sqref="V4:AH17">
    <cfRule type="cellIs" dxfId="27" priority="1" stopIfTrue="1" operator="greaterThan">
      <formula>0</formula>
    </cfRule>
    <cfRule type="cellIs" dxfId="26" priority="2" stopIfTrue="1" operator="greaterThan">
      <formula>0</formula>
    </cfRule>
    <cfRule type="cellIs" dxfId="25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68E7-931C-4E4D-B809-40F0576F27BB}">
  <sheetPr>
    <tabColor rgb="FF92D050"/>
  </sheetPr>
  <dimension ref="A1:AH19"/>
  <sheetViews>
    <sheetView topLeftCell="A8" zoomScale="50" zoomScaleNormal="50" workbookViewId="0">
      <selection activeCell="L22" sqref="L22"/>
    </sheetView>
  </sheetViews>
  <sheetFormatPr defaultColWidth="9.81640625" defaultRowHeight="40.5" customHeight="1" x14ac:dyDescent="0.35"/>
  <cols>
    <col min="1" max="1" width="8.81640625" style="1" customWidth="1"/>
    <col min="2" max="2" width="17.81640625" style="15" customWidth="1"/>
    <col min="3" max="3" width="23.1796875" style="16" customWidth="1"/>
    <col min="4" max="4" width="26.179687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1" style="13" customWidth="1"/>
    <col min="11" max="18" width="11" style="4" customWidth="1"/>
    <col min="19" max="19" width="11" style="12" customWidth="1"/>
    <col min="20" max="20" width="15.453125" style="5" customWidth="1"/>
    <col min="21" max="21" width="13.81640625" style="4" customWidth="1"/>
    <col min="22" max="22" width="15.453125" style="4" customWidth="1"/>
    <col min="23" max="32" width="13.81640625" style="4" customWidth="1"/>
    <col min="33" max="38" width="13.81640625" style="2" customWidth="1"/>
    <col min="39" max="16384" width="9.81640625" style="2"/>
  </cols>
  <sheetData>
    <row r="1" spans="1:34" s="64" customFormat="1" ht="40.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188</v>
      </c>
      <c r="U1" s="270" t="s">
        <v>189</v>
      </c>
      <c r="V1" s="270" t="s">
        <v>190</v>
      </c>
      <c r="W1" s="270" t="s">
        <v>191</v>
      </c>
      <c r="X1" s="280" t="s">
        <v>201</v>
      </c>
      <c r="Y1" s="280" t="s">
        <v>202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40.5" customHeight="1" x14ac:dyDescent="0.35">
      <c r="A2" s="254" t="s">
        <v>108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81"/>
      <c r="Y2" s="281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40.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45819</v>
      </c>
      <c r="U3" s="200">
        <v>45880</v>
      </c>
      <c r="V3" s="200">
        <v>45903</v>
      </c>
      <c r="W3" s="200">
        <v>45945</v>
      </c>
      <c r="X3" s="216">
        <v>45979</v>
      </c>
      <c r="Y3" s="216">
        <v>46120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0.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600</v>
      </c>
      <c r="K4" s="78">
        <f>IF(SUM(T4:AH4)&gt;J4+M4,J4+M4,SUM(T4:AH4))</f>
        <v>600</v>
      </c>
      <c r="L4" s="26">
        <f>(SUM(T4:AH4))</f>
        <v>600</v>
      </c>
      <c r="M4" s="29"/>
      <c r="N4" s="79">
        <f>ROUND(IF(J4*0.25-0.5&lt;0,0,J4*0.25-0.5),0)-Q4-O4</f>
        <v>150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1">
        <v>240</v>
      </c>
      <c r="U4" s="203"/>
      <c r="V4" s="203"/>
      <c r="W4" s="201">
        <v>90</v>
      </c>
      <c r="X4" s="201">
        <v>160</v>
      </c>
      <c r="Y4" s="201">
        <v>110</v>
      </c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40.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1100</v>
      </c>
      <c r="K5" s="78">
        <f t="shared" ref="K5:K17" si="0">IF(SUM(T5:AH5)&gt;J5+M5,J5+M5,SUM(T5:AH5))</f>
        <v>900</v>
      </c>
      <c r="L5" s="26">
        <f t="shared" ref="L5:L17" si="1">(SUM(T5:AH5))</f>
        <v>900</v>
      </c>
      <c r="M5" s="29">
        <f>-25-40</f>
        <v>-65</v>
      </c>
      <c r="N5" s="79">
        <f t="shared" ref="N5:N17" si="2">ROUND(IF(J5*0.25-0.5&lt;0,0,J5*0.25-0.5),0)-Q5-O5</f>
        <v>275</v>
      </c>
      <c r="O5" s="29"/>
      <c r="P5" s="29"/>
      <c r="Q5" s="29"/>
      <c r="R5" s="80">
        <f t="shared" ref="R5:R17" si="3">J5-(SUM(T5:AH5))+M5</f>
        <v>135</v>
      </c>
      <c r="S5" s="81" t="str">
        <f t="shared" ref="S5:S18" si="4">IF(R5&lt;0,"ATENÇÃO","OK")</f>
        <v>OK</v>
      </c>
      <c r="T5" s="201">
        <v>50</v>
      </c>
      <c r="U5" s="201">
        <v>50</v>
      </c>
      <c r="V5" s="201">
        <v>100</v>
      </c>
      <c r="W5" s="201">
        <v>300</v>
      </c>
      <c r="X5" s="201">
        <v>100</v>
      </c>
      <c r="Y5" s="201">
        <v>300</v>
      </c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40.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203"/>
      <c r="Y6" s="203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40.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203"/>
      <c r="Y7" s="203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40.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203"/>
      <c r="Y8" s="203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40.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50</v>
      </c>
      <c r="K9" s="78">
        <f t="shared" si="0"/>
        <v>0</v>
      </c>
      <c r="L9" s="26">
        <f t="shared" si="1"/>
        <v>0</v>
      </c>
      <c r="M9" s="29"/>
      <c r="N9" s="79">
        <f t="shared" si="2"/>
        <v>12</v>
      </c>
      <c r="O9" s="29"/>
      <c r="P9" s="29"/>
      <c r="Q9" s="29"/>
      <c r="R9" s="80">
        <f t="shared" si="3"/>
        <v>50</v>
      </c>
      <c r="S9" s="81" t="str">
        <f t="shared" si="4"/>
        <v>OK</v>
      </c>
      <c r="T9" s="203"/>
      <c r="U9" s="203"/>
      <c r="V9" s="203"/>
      <c r="W9" s="203"/>
      <c r="X9" s="203"/>
      <c r="Y9" s="203"/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40.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203"/>
      <c r="Y10" s="203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40.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203"/>
      <c r="Y11" s="203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40.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203"/>
      <c r="Y12" s="203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40.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203"/>
      <c r="Y13" s="203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40.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203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40.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203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40.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203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40.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203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40.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1750</v>
      </c>
      <c r="M18" s="117"/>
      <c r="N18" s="117"/>
      <c r="O18" s="117"/>
      <c r="P18" s="117"/>
      <c r="Q18" s="117"/>
      <c r="R18" s="118">
        <f>SUM(R4:R17)</f>
        <v>185</v>
      </c>
      <c r="S18" s="119" t="str">
        <f t="shared" si="4"/>
        <v>OK</v>
      </c>
      <c r="T18" s="209">
        <f>SUMPRODUCT($I$4:$I$17,T4:T17)</f>
        <v>3170</v>
      </c>
      <c r="U18" s="209">
        <f t="shared" ref="U18:AH18" si="5">SUMPRODUCT($I$4:$I$17,U4:U17)</f>
        <v>650</v>
      </c>
      <c r="V18" s="209">
        <f t="shared" si="5"/>
        <v>1300</v>
      </c>
      <c r="W18" s="209">
        <f t="shared" si="5"/>
        <v>4845</v>
      </c>
      <c r="X18" s="209">
        <f t="shared" si="5"/>
        <v>2980</v>
      </c>
      <c r="Y18" s="209">
        <f t="shared" si="5"/>
        <v>5055</v>
      </c>
      <c r="Z18" s="209">
        <f t="shared" si="5"/>
        <v>0</v>
      </c>
      <c r="AA18" s="209">
        <f t="shared" si="5"/>
        <v>0</v>
      </c>
      <c r="AB18" s="209">
        <f t="shared" si="5"/>
        <v>0</v>
      </c>
      <c r="AC18" s="209">
        <f t="shared" si="5"/>
        <v>0</v>
      </c>
      <c r="AD18" s="209">
        <f t="shared" si="5"/>
        <v>0</v>
      </c>
      <c r="AE18" s="209">
        <f t="shared" si="5"/>
        <v>0</v>
      </c>
      <c r="AF18" s="209">
        <f t="shared" si="5"/>
        <v>0</v>
      </c>
      <c r="AG18" s="209">
        <f t="shared" si="5"/>
        <v>0</v>
      </c>
      <c r="AH18" s="209">
        <f t="shared" si="5"/>
        <v>0</v>
      </c>
    </row>
    <row r="19" spans="1:34" s="64" customFormat="1" ht="40.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21979.5</v>
      </c>
      <c r="K19" s="242">
        <f t="shared" ref="K19:R19" si="6">SUMPRODUCT($I$4:$I$17,K4:K17)</f>
        <v>18000</v>
      </c>
      <c r="L19" s="242">
        <f t="shared" si="6"/>
        <v>18000</v>
      </c>
      <c r="M19" s="242">
        <f t="shared" si="6"/>
        <v>-845</v>
      </c>
      <c r="N19" s="242">
        <f t="shared" si="6"/>
        <v>5481.08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 t="shared" si="6"/>
        <v>3134.5</v>
      </c>
      <c r="S19" s="120"/>
      <c r="T19" s="209"/>
      <c r="U19" s="202"/>
      <c r="V19" s="202"/>
      <c r="W19" s="202"/>
      <c r="X19" s="202"/>
      <c r="Y19" s="202"/>
      <c r="AA19" s="122"/>
    </row>
  </sheetData>
  <mergeCells count="27"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V1:V2"/>
    <mergeCell ref="U1:U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Z4:AH17">
    <cfRule type="cellIs" dxfId="24" priority="1" stopIfTrue="1" operator="greaterThan">
      <formula>0</formula>
    </cfRule>
    <cfRule type="cellIs" dxfId="23" priority="2" stopIfTrue="1" operator="greaterThan">
      <formula>0</formula>
    </cfRule>
    <cfRule type="cellIs" dxfId="22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H19"/>
  <sheetViews>
    <sheetView topLeftCell="A8" zoomScale="50" zoomScaleNormal="50" workbookViewId="0">
      <selection activeCell="M21" sqref="M21"/>
    </sheetView>
  </sheetViews>
  <sheetFormatPr defaultColWidth="9.81640625" defaultRowHeight="41.25" customHeight="1" x14ac:dyDescent="0.35"/>
  <cols>
    <col min="1" max="1" width="8.81640625" style="1" customWidth="1"/>
    <col min="2" max="2" width="17.81640625" style="15" customWidth="1"/>
    <col min="3" max="3" width="27.1796875" style="16" customWidth="1"/>
    <col min="4" max="4" width="49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0.54296875" style="13" customWidth="1"/>
    <col min="11" max="18" width="10.54296875" style="4" customWidth="1"/>
    <col min="19" max="19" width="10.54296875" style="12" customWidth="1"/>
    <col min="20" max="20" width="15.1796875" style="5" customWidth="1"/>
    <col min="21" max="21" width="21" style="4" customWidth="1"/>
    <col min="22" max="22" width="15.81640625" style="4" customWidth="1"/>
    <col min="23" max="23" width="16.81640625" style="4" customWidth="1"/>
    <col min="24" max="24" width="19.81640625" style="4" customWidth="1"/>
    <col min="25" max="32" width="13.81640625" style="4" customWidth="1"/>
    <col min="33" max="38" width="13.81640625" style="2" customWidth="1"/>
    <col min="39" max="16384" width="9.81640625" style="2"/>
  </cols>
  <sheetData>
    <row r="1" spans="1:34" s="64" customFormat="1" ht="41.2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156</v>
      </c>
      <c r="U1" s="282" t="s">
        <v>160</v>
      </c>
      <c r="V1" s="270" t="s">
        <v>157</v>
      </c>
      <c r="W1" s="270" t="s">
        <v>158</v>
      </c>
      <c r="X1" s="270" t="s">
        <v>159</v>
      </c>
      <c r="Y1" s="270" t="s">
        <v>208</v>
      </c>
      <c r="Z1" s="270" t="s">
        <v>209</v>
      </c>
      <c r="AA1" s="270" t="s">
        <v>210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41.25" customHeight="1" x14ac:dyDescent="0.35">
      <c r="A2" s="254" t="s">
        <v>109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83"/>
      <c r="V2" s="271"/>
      <c r="W2" s="271"/>
      <c r="X2" s="271"/>
      <c r="Y2" s="271"/>
      <c r="Z2" s="271"/>
      <c r="AA2" s="271"/>
      <c r="AB2" s="245"/>
      <c r="AC2" s="245"/>
      <c r="AD2" s="245"/>
      <c r="AE2" s="245"/>
      <c r="AF2" s="245"/>
      <c r="AG2" s="245"/>
      <c r="AH2" s="245"/>
    </row>
    <row r="3" spans="1:34" s="71" customFormat="1" ht="41.2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45790</v>
      </c>
      <c r="U3" s="210">
        <v>45798</v>
      </c>
      <c r="V3" s="200">
        <v>45874</v>
      </c>
      <c r="W3" s="200">
        <v>45908</v>
      </c>
      <c r="X3" s="200">
        <v>45926</v>
      </c>
      <c r="Y3" s="200">
        <v>46093</v>
      </c>
      <c r="Z3" s="200">
        <v>46135</v>
      </c>
      <c r="AA3" s="200">
        <v>46139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41.2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500</v>
      </c>
      <c r="K4" s="78">
        <f>IF(SUM(T4:AH4)&gt;J4+M4,J4+M4,SUM(T4:AH4))</f>
        <v>500</v>
      </c>
      <c r="L4" s="26">
        <f>(SUM(T4:AH4))</f>
        <v>500</v>
      </c>
      <c r="M4" s="29"/>
      <c r="N4" s="79">
        <f>ROUND(IF(J4*0.25-0.5&lt;0,0,J4*0.25-0.5),0)-Q4-O4</f>
        <v>125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3"/>
      <c r="V4" s="203"/>
      <c r="W4" s="201">
        <v>230</v>
      </c>
      <c r="X4" s="203"/>
      <c r="Y4" s="203"/>
      <c r="Z4" s="203"/>
      <c r="AA4" s="201">
        <v>270</v>
      </c>
      <c r="AB4" s="82"/>
      <c r="AC4" s="82"/>
      <c r="AD4" s="82"/>
      <c r="AE4" s="82"/>
      <c r="AF4" s="82"/>
      <c r="AG4" s="82"/>
      <c r="AH4" s="82"/>
    </row>
    <row r="5" spans="1:34" s="64" customFormat="1" ht="41.2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65</v>
      </c>
      <c r="K5" s="78">
        <f t="shared" ref="K5:K17" si="0">IF(SUM(T5:AH5)&gt;J5+M5,J5+M5,SUM(T5:AH5))</f>
        <v>90</v>
      </c>
      <c r="L5" s="26">
        <f t="shared" ref="L5:L17" si="1">(SUM(T5:AH5))</f>
        <v>90</v>
      </c>
      <c r="M5" s="29">
        <v>25</v>
      </c>
      <c r="N5" s="79">
        <f t="shared" ref="N5:N17" si="2">ROUND(IF(J5*0.25-0.5&lt;0,0,J5*0.25-0.5),0)-Q5-O5</f>
        <v>16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1">
        <v>25</v>
      </c>
      <c r="U5" s="203"/>
      <c r="V5" s="201">
        <v>40</v>
      </c>
      <c r="W5" s="203"/>
      <c r="X5" s="203"/>
      <c r="Y5" s="201">
        <v>25</v>
      </c>
      <c r="Z5" s="203"/>
      <c r="AA5" s="203"/>
      <c r="AB5" s="82"/>
      <c r="AC5" s="82"/>
      <c r="AD5" s="82"/>
      <c r="AE5" s="82"/>
      <c r="AF5" s="82"/>
      <c r="AG5" s="82"/>
      <c r="AH5" s="82"/>
    </row>
    <row r="6" spans="1:34" s="64" customFormat="1" ht="41.2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203"/>
      <c r="Y6" s="203"/>
      <c r="Z6" s="203"/>
      <c r="AA6" s="203"/>
      <c r="AB6" s="82"/>
      <c r="AC6" s="82"/>
      <c r="AD6" s="82"/>
      <c r="AE6" s="82"/>
      <c r="AF6" s="82"/>
      <c r="AG6" s="82"/>
      <c r="AH6" s="82"/>
    </row>
    <row r="7" spans="1:34" s="64" customFormat="1" ht="41.2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9" t="s">
        <v>102</v>
      </c>
      <c r="I7" s="91">
        <v>16.670000000000002</v>
      </c>
      <c r="J7" s="185">
        <v>0</v>
      </c>
      <c r="K7" s="78">
        <f t="shared" si="0"/>
        <v>0</v>
      </c>
      <c r="L7" s="26">
        <f t="shared" si="1"/>
        <v>0</v>
      </c>
      <c r="M7" s="29"/>
      <c r="N7" s="79">
        <f t="shared" si="2"/>
        <v>0</v>
      </c>
      <c r="O7" s="29"/>
      <c r="P7" s="29"/>
      <c r="Q7" s="29"/>
      <c r="R7" s="80">
        <f t="shared" si="3"/>
        <v>0</v>
      </c>
      <c r="S7" s="81" t="str">
        <f t="shared" si="4"/>
        <v>OK</v>
      </c>
      <c r="T7" s="203"/>
      <c r="U7" s="203"/>
      <c r="V7" s="203"/>
      <c r="W7" s="203"/>
      <c r="X7" s="203"/>
      <c r="Y7" s="203"/>
      <c r="Z7" s="203"/>
      <c r="AA7" s="203"/>
      <c r="AB7" s="82"/>
      <c r="AC7" s="82"/>
      <c r="AD7" s="82"/>
      <c r="AE7" s="82"/>
      <c r="AF7" s="82"/>
      <c r="AG7" s="82"/>
      <c r="AH7" s="82"/>
    </row>
    <row r="8" spans="1:34" s="64" customFormat="1" ht="41.2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9" t="s">
        <v>102</v>
      </c>
      <c r="I8" s="91">
        <v>14.58</v>
      </c>
      <c r="J8" s="185">
        <v>0</v>
      </c>
      <c r="K8" s="78">
        <f t="shared" si="0"/>
        <v>0</v>
      </c>
      <c r="L8" s="26">
        <f t="shared" si="1"/>
        <v>0</v>
      </c>
      <c r="M8" s="29"/>
      <c r="N8" s="79">
        <f t="shared" si="2"/>
        <v>0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3"/>
      <c r="V8" s="203"/>
      <c r="W8" s="203"/>
      <c r="X8" s="203"/>
      <c r="Y8" s="203"/>
      <c r="Z8" s="203"/>
      <c r="AA8" s="203"/>
      <c r="AB8" s="82"/>
      <c r="AC8" s="82"/>
      <c r="AD8" s="82"/>
      <c r="AE8" s="82"/>
      <c r="AF8" s="82"/>
      <c r="AG8" s="82"/>
      <c r="AH8" s="82"/>
    </row>
    <row r="9" spans="1:34" s="64" customFormat="1" ht="41.2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850</v>
      </c>
      <c r="K9" s="78">
        <f t="shared" si="0"/>
        <v>850</v>
      </c>
      <c r="L9" s="26">
        <f t="shared" si="1"/>
        <v>850</v>
      </c>
      <c r="M9" s="29"/>
      <c r="N9" s="79">
        <f t="shared" si="2"/>
        <v>212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8">
        <f>350-350</f>
        <v>0</v>
      </c>
      <c r="V9" s="203"/>
      <c r="W9" s="203"/>
      <c r="X9" s="201">
        <v>300</v>
      </c>
      <c r="Y9" s="203"/>
      <c r="Z9" s="201">
        <v>550</v>
      </c>
      <c r="AA9" s="203"/>
      <c r="AB9" s="82"/>
      <c r="AC9" s="82"/>
      <c r="AD9" s="82"/>
      <c r="AE9" s="82"/>
      <c r="AF9" s="82"/>
      <c r="AG9" s="82"/>
      <c r="AH9" s="82"/>
    </row>
    <row r="10" spans="1:34" s="64" customFormat="1" ht="41.2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203"/>
      <c r="Y10" s="203"/>
      <c r="Z10" s="203"/>
      <c r="AA10" s="203"/>
      <c r="AB10" s="82"/>
      <c r="AC10" s="82"/>
      <c r="AD10" s="82"/>
      <c r="AE10" s="82"/>
      <c r="AF10" s="82"/>
      <c r="AG10" s="82"/>
      <c r="AH10" s="82"/>
    </row>
    <row r="11" spans="1:34" s="64" customFormat="1" ht="41.2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0</v>
      </c>
      <c r="K11" s="78">
        <f t="shared" si="0"/>
        <v>0</v>
      </c>
      <c r="L11" s="26">
        <f t="shared" si="1"/>
        <v>0</v>
      </c>
      <c r="M11" s="29"/>
      <c r="N11" s="79">
        <f t="shared" si="2"/>
        <v>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3"/>
      <c r="W11" s="203"/>
      <c r="X11" s="203"/>
      <c r="Y11" s="203"/>
      <c r="Z11" s="203"/>
      <c r="AA11" s="203"/>
      <c r="AB11" s="82"/>
      <c r="AC11" s="82"/>
      <c r="AD11" s="82"/>
      <c r="AE11" s="82"/>
      <c r="AF11" s="82"/>
      <c r="AG11" s="82"/>
      <c r="AH11" s="82"/>
    </row>
    <row r="12" spans="1:34" s="64" customFormat="1" ht="41.2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9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203"/>
      <c r="Y12" s="203"/>
      <c r="Z12" s="203"/>
      <c r="AA12" s="203"/>
      <c r="AB12" s="82"/>
      <c r="AC12" s="82"/>
      <c r="AD12" s="82"/>
      <c r="AE12" s="82"/>
      <c r="AF12" s="82"/>
      <c r="AG12" s="82"/>
      <c r="AH12" s="82"/>
    </row>
    <row r="13" spans="1:34" s="64" customFormat="1" ht="41.2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203"/>
      <c r="Y13" s="203"/>
      <c r="Z13" s="203"/>
      <c r="AA13" s="203"/>
      <c r="AB13" s="82"/>
      <c r="AC13" s="82"/>
      <c r="AD13" s="82"/>
      <c r="AE13" s="82"/>
      <c r="AF13" s="82"/>
      <c r="AG13" s="82"/>
      <c r="AH13" s="82"/>
    </row>
    <row r="14" spans="1:34" s="64" customFormat="1" ht="41.2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8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203"/>
      <c r="Z14" s="203"/>
      <c r="AA14" s="203"/>
      <c r="AB14" s="82"/>
      <c r="AC14" s="82"/>
      <c r="AD14" s="82"/>
      <c r="AE14" s="82"/>
      <c r="AF14" s="82"/>
      <c r="AG14" s="82"/>
      <c r="AH14" s="82"/>
    </row>
    <row r="15" spans="1:34" s="64" customFormat="1" ht="41.2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8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203"/>
      <c r="Z15" s="203"/>
      <c r="AA15" s="203"/>
      <c r="AB15" s="82"/>
      <c r="AC15" s="82"/>
      <c r="AD15" s="82"/>
      <c r="AE15" s="82"/>
      <c r="AF15" s="82"/>
      <c r="AG15" s="82"/>
      <c r="AH15" s="82"/>
    </row>
    <row r="16" spans="1:34" s="64" customFormat="1" ht="41.2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203"/>
      <c r="Z16" s="203"/>
      <c r="AA16" s="203"/>
      <c r="AB16" s="82"/>
      <c r="AC16" s="82"/>
      <c r="AD16" s="82"/>
      <c r="AE16" s="82"/>
      <c r="AF16" s="82"/>
      <c r="AG16" s="82"/>
      <c r="AH16" s="82"/>
    </row>
    <row r="17" spans="1:34" s="64" customFormat="1" ht="41.2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8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203"/>
      <c r="Z17" s="203"/>
      <c r="AA17" s="203"/>
      <c r="AB17" s="82"/>
      <c r="AC17" s="82"/>
      <c r="AD17" s="82"/>
      <c r="AE17" s="82"/>
      <c r="AF17" s="82"/>
      <c r="AG17" s="82"/>
      <c r="AH17" s="82"/>
    </row>
    <row r="18" spans="1:34" s="116" customFormat="1" ht="41.2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1415</v>
      </c>
      <c r="M18" s="117"/>
      <c r="N18" s="117"/>
      <c r="O18" s="117"/>
      <c r="P18" s="117"/>
      <c r="Q18" s="117"/>
      <c r="R18" s="118">
        <f>SUM(R4:R17)</f>
        <v>0</v>
      </c>
      <c r="S18" s="119" t="str">
        <f t="shared" si="4"/>
        <v>OK</v>
      </c>
      <c r="T18" s="209">
        <f>SUMPRODUCT($I$4:$I$17,T4:T17)</f>
        <v>325</v>
      </c>
      <c r="U18" s="209">
        <f t="shared" ref="U18:AC18" si="5">SUMPRODUCT($I$4:$I$17,U4:U17)</f>
        <v>0</v>
      </c>
      <c r="V18" s="209">
        <f t="shared" si="5"/>
        <v>520</v>
      </c>
      <c r="W18" s="209">
        <f t="shared" si="5"/>
        <v>2415</v>
      </c>
      <c r="X18" s="209">
        <f t="shared" si="5"/>
        <v>8277</v>
      </c>
      <c r="Y18" s="209">
        <f t="shared" si="5"/>
        <v>325</v>
      </c>
      <c r="Z18" s="209">
        <f t="shared" si="5"/>
        <v>15174.5</v>
      </c>
      <c r="AA18" s="209">
        <f t="shared" si="5"/>
        <v>2835</v>
      </c>
      <c r="AB18" s="209">
        <f t="shared" si="5"/>
        <v>0</v>
      </c>
      <c r="AC18" s="209">
        <f t="shared" si="5"/>
        <v>0</v>
      </c>
      <c r="AD18" s="209">
        <f t="shared" ref="AD18:AH18" si="6">SUMPRODUCT($I$4:$I$17,AD4:AD17)</f>
        <v>0</v>
      </c>
      <c r="AE18" s="209">
        <f t="shared" si="6"/>
        <v>0</v>
      </c>
      <c r="AF18" s="209">
        <f t="shared" si="6"/>
        <v>0</v>
      </c>
      <c r="AG18" s="209">
        <f t="shared" si="6"/>
        <v>0</v>
      </c>
      <c r="AH18" s="209">
        <f t="shared" si="6"/>
        <v>0</v>
      </c>
    </row>
    <row r="19" spans="1:34" s="64" customFormat="1" ht="41.2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29546.5</v>
      </c>
      <c r="K19" s="242">
        <f t="shared" ref="K19:R19" si="7">SUMPRODUCT($I$4:$I$17,K4:K17)</f>
        <v>29871.5</v>
      </c>
      <c r="L19" s="242">
        <f t="shared" si="7"/>
        <v>29871.5</v>
      </c>
      <c r="M19" s="242">
        <f t="shared" si="7"/>
        <v>325</v>
      </c>
      <c r="N19" s="242">
        <f t="shared" si="7"/>
        <v>7369.58</v>
      </c>
      <c r="O19" s="242">
        <f t="shared" si="7"/>
        <v>0</v>
      </c>
      <c r="P19" s="242">
        <f t="shared" si="7"/>
        <v>0</v>
      </c>
      <c r="Q19" s="242">
        <f t="shared" si="7"/>
        <v>0</v>
      </c>
      <c r="R19" s="242">
        <f t="shared" si="7"/>
        <v>0</v>
      </c>
      <c r="S19" s="120"/>
      <c r="T19" s="202"/>
      <c r="U19" s="202"/>
      <c r="V19" s="202"/>
      <c r="W19" s="202"/>
      <c r="X19" s="202"/>
      <c r="Y19" s="202"/>
      <c r="Z19" s="202"/>
      <c r="AA19" s="202"/>
    </row>
  </sheetData>
  <mergeCells count="27">
    <mergeCell ref="U1:U2"/>
    <mergeCell ref="A1:C1"/>
    <mergeCell ref="D1:I1"/>
    <mergeCell ref="J1:S1"/>
    <mergeCell ref="T1:T2"/>
    <mergeCell ref="A2:I2"/>
    <mergeCell ref="J2:S2"/>
    <mergeCell ref="V1:V2"/>
    <mergeCell ref="W1:W2"/>
    <mergeCell ref="AB1:AB2"/>
    <mergeCell ref="AC1:AC2"/>
    <mergeCell ref="AD1:AD2"/>
    <mergeCell ref="Y1:Y2"/>
    <mergeCell ref="X1:X2"/>
    <mergeCell ref="AE1:AE2"/>
    <mergeCell ref="AH1:AH2"/>
    <mergeCell ref="AG1:AG2"/>
    <mergeCell ref="AA1:AA2"/>
    <mergeCell ref="Z1:Z2"/>
    <mergeCell ref="AF1:AF2"/>
    <mergeCell ref="A14:A15"/>
    <mergeCell ref="C14:C15"/>
    <mergeCell ref="C19:I19"/>
    <mergeCell ref="A4:A6"/>
    <mergeCell ref="C4:C6"/>
    <mergeCell ref="A7:A8"/>
    <mergeCell ref="C7:C8"/>
  </mergeCells>
  <conditionalFormatting sqref="AB4:AH17">
    <cfRule type="cellIs" dxfId="21" priority="1" stopIfTrue="1" operator="greaterThan">
      <formula>0</formula>
    </cfRule>
    <cfRule type="cellIs" dxfId="20" priority="2" stopIfTrue="1" operator="greaterThan">
      <formula>0</formula>
    </cfRule>
    <cfRule type="cellIs" dxfId="19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A054-A67B-41B9-AD7A-82D17BBC848F}">
  <sheetPr>
    <tabColor rgb="FF92D050"/>
  </sheetPr>
  <dimension ref="A1:AH19"/>
  <sheetViews>
    <sheetView topLeftCell="A13" zoomScale="50" zoomScaleNormal="50" zoomScaleSheetLayoutView="40" workbookViewId="0">
      <selection activeCell="P22" sqref="P22"/>
    </sheetView>
  </sheetViews>
  <sheetFormatPr defaultColWidth="9.81640625" defaultRowHeight="52.5" customHeight="1" x14ac:dyDescent="0.35"/>
  <cols>
    <col min="1" max="1" width="8.81640625" style="1" customWidth="1"/>
    <col min="2" max="2" width="17.81640625" style="15" customWidth="1"/>
    <col min="3" max="3" width="16.08984375" style="16" customWidth="1"/>
    <col min="4" max="4" width="26.54296875" style="17" customWidth="1"/>
    <col min="5" max="5" width="12.54296875" style="17" bestFit="1" customWidth="1"/>
    <col min="6" max="6" width="14.81640625" style="1" bestFit="1" customWidth="1"/>
    <col min="7" max="7" width="14.81640625" style="1" customWidth="1"/>
    <col min="8" max="8" width="11.54296875" style="1" bestFit="1" customWidth="1"/>
    <col min="9" max="9" width="15.54296875" style="1" customWidth="1"/>
    <col min="10" max="10" width="12.453125" style="13" customWidth="1"/>
    <col min="11" max="18" width="12.453125" style="4" customWidth="1"/>
    <col min="19" max="19" width="12.453125" style="12" customWidth="1"/>
    <col min="20" max="20" width="15.453125" style="5" customWidth="1"/>
    <col min="21" max="21" width="17.54296875" style="4" customWidth="1"/>
    <col min="22" max="22" width="16.54296875" style="4" customWidth="1"/>
    <col min="23" max="32" width="13.81640625" style="4" customWidth="1"/>
    <col min="33" max="38" width="13.81640625" style="2" customWidth="1"/>
    <col min="39" max="16384" width="9.81640625" style="2"/>
  </cols>
  <sheetData>
    <row r="1" spans="1:34" s="64" customFormat="1" ht="52.5" customHeight="1" x14ac:dyDescent="0.35">
      <c r="A1" s="272" t="s">
        <v>100</v>
      </c>
      <c r="B1" s="272"/>
      <c r="C1" s="272"/>
      <c r="D1" s="272" t="s">
        <v>56</v>
      </c>
      <c r="E1" s="272"/>
      <c r="F1" s="272"/>
      <c r="G1" s="272"/>
      <c r="H1" s="272"/>
      <c r="I1" s="272"/>
      <c r="J1" s="253" t="s">
        <v>57</v>
      </c>
      <c r="K1" s="253"/>
      <c r="L1" s="253"/>
      <c r="M1" s="253"/>
      <c r="N1" s="253"/>
      <c r="O1" s="253"/>
      <c r="P1" s="253"/>
      <c r="Q1" s="253"/>
      <c r="R1" s="253"/>
      <c r="S1" s="253"/>
      <c r="T1" s="270" t="s">
        <v>171</v>
      </c>
      <c r="U1" s="270" t="s">
        <v>172</v>
      </c>
      <c r="V1" s="270" t="s">
        <v>173</v>
      </c>
      <c r="W1" s="270" t="s">
        <v>225</v>
      </c>
      <c r="X1" s="270" t="s">
        <v>226</v>
      </c>
      <c r="Y1" s="245" t="s">
        <v>58</v>
      </c>
      <c r="Z1" s="245" t="s">
        <v>58</v>
      </c>
      <c r="AA1" s="245" t="s">
        <v>58</v>
      </c>
      <c r="AB1" s="245" t="s">
        <v>58</v>
      </c>
      <c r="AC1" s="245" t="s">
        <v>58</v>
      </c>
      <c r="AD1" s="245" t="s">
        <v>58</v>
      </c>
      <c r="AE1" s="245" t="s">
        <v>58</v>
      </c>
      <c r="AF1" s="245" t="s">
        <v>58</v>
      </c>
      <c r="AG1" s="245" t="s">
        <v>58</v>
      </c>
      <c r="AH1" s="245" t="s">
        <v>58</v>
      </c>
    </row>
    <row r="2" spans="1:34" s="64" customFormat="1" ht="52.5" customHeight="1" x14ac:dyDescent="0.35">
      <c r="A2" s="254" t="s">
        <v>110</v>
      </c>
      <c r="B2" s="255"/>
      <c r="C2" s="255"/>
      <c r="D2" s="255"/>
      <c r="E2" s="255"/>
      <c r="F2" s="255"/>
      <c r="G2" s="255"/>
      <c r="H2" s="255"/>
      <c r="I2" s="256"/>
      <c r="J2" s="257" t="s">
        <v>59</v>
      </c>
      <c r="K2" s="258"/>
      <c r="L2" s="258"/>
      <c r="M2" s="258"/>
      <c r="N2" s="258"/>
      <c r="O2" s="258"/>
      <c r="P2" s="258"/>
      <c r="Q2" s="258"/>
      <c r="R2" s="258"/>
      <c r="S2" s="259"/>
      <c r="T2" s="271"/>
      <c r="U2" s="271"/>
      <c r="V2" s="271"/>
      <c r="W2" s="271"/>
      <c r="X2" s="271"/>
      <c r="Y2" s="245"/>
      <c r="Z2" s="245"/>
      <c r="AA2" s="245"/>
      <c r="AB2" s="245"/>
      <c r="AC2" s="245"/>
      <c r="AD2" s="245"/>
      <c r="AE2" s="245"/>
      <c r="AF2" s="245"/>
      <c r="AG2" s="245"/>
      <c r="AH2" s="245"/>
    </row>
    <row r="3" spans="1:34" s="71" customFormat="1" ht="52.5" customHeight="1" x14ac:dyDescent="0.25">
      <c r="A3" s="65" t="s">
        <v>60</v>
      </c>
      <c r="B3" s="65" t="s">
        <v>19</v>
      </c>
      <c r="C3" s="65" t="s">
        <v>5</v>
      </c>
      <c r="D3" s="65" t="s">
        <v>61</v>
      </c>
      <c r="E3" s="65" t="s">
        <v>62</v>
      </c>
      <c r="F3" s="65" t="s">
        <v>9</v>
      </c>
      <c r="G3" s="175" t="s">
        <v>118</v>
      </c>
      <c r="H3" s="65" t="s">
        <v>6</v>
      </c>
      <c r="I3" s="66" t="s">
        <v>63</v>
      </c>
      <c r="J3" s="67" t="s">
        <v>64</v>
      </c>
      <c r="K3" s="23" t="s">
        <v>37</v>
      </c>
      <c r="L3" s="23" t="s">
        <v>38</v>
      </c>
      <c r="M3" s="23" t="s">
        <v>33</v>
      </c>
      <c r="N3" s="23" t="s">
        <v>18</v>
      </c>
      <c r="O3" s="23" t="s">
        <v>34</v>
      </c>
      <c r="P3" s="23" t="s">
        <v>35</v>
      </c>
      <c r="Q3" s="23" t="s">
        <v>36</v>
      </c>
      <c r="R3" s="68" t="s">
        <v>0</v>
      </c>
      <c r="S3" s="69" t="s">
        <v>1</v>
      </c>
      <c r="T3" s="200">
        <v>45804</v>
      </c>
      <c r="U3" s="200">
        <v>45887</v>
      </c>
      <c r="V3" s="200">
        <v>45937</v>
      </c>
      <c r="W3" s="200">
        <v>46092</v>
      </c>
      <c r="X3" s="200">
        <v>46107</v>
      </c>
      <c r="Y3" s="70" t="s">
        <v>65</v>
      </c>
      <c r="Z3" s="70" t="s">
        <v>65</v>
      </c>
      <c r="AA3" s="70" t="s">
        <v>65</v>
      </c>
      <c r="AB3" s="70" t="s">
        <v>65</v>
      </c>
      <c r="AC3" s="70" t="s">
        <v>65</v>
      </c>
      <c r="AD3" s="70" t="s">
        <v>65</v>
      </c>
      <c r="AE3" s="70" t="s">
        <v>65</v>
      </c>
      <c r="AF3" s="70" t="s">
        <v>65</v>
      </c>
      <c r="AG3" s="70" t="s">
        <v>65</v>
      </c>
      <c r="AH3" s="70" t="s">
        <v>65</v>
      </c>
    </row>
    <row r="4" spans="1:34" s="64" customFormat="1" ht="52.5" customHeight="1" x14ac:dyDescent="0.35">
      <c r="A4" s="276">
        <v>1</v>
      </c>
      <c r="B4" s="72">
        <v>1</v>
      </c>
      <c r="C4" s="277" t="s">
        <v>66</v>
      </c>
      <c r="D4" s="73" t="s">
        <v>67</v>
      </c>
      <c r="E4" s="74" t="s">
        <v>68</v>
      </c>
      <c r="F4" s="75" t="s">
        <v>69</v>
      </c>
      <c r="G4" s="129" t="s">
        <v>119</v>
      </c>
      <c r="H4" s="76" t="s">
        <v>102</v>
      </c>
      <c r="I4" s="77">
        <v>10.5</v>
      </c>
      <c r="J4" s="184">
        <v>0</v>
      </c>
      <c r="K4" s="78">
        <f>IF(SUM(T4:AH4)&gt;J4+M4,J4+M4,SUM(T4:AH4))</f>
        <v>0</v>
      </c>
      <c r="L4" s="26">
        <f>(SUM(T4:AH4))</f>
        <v>0</v>
      </c>
      <c r="M4" s="29"/>
      <c r="N4" s="79">
        <f>ROUND(IF(J4*0.25-0.5&lt;0,0,J4*0.25-0.5),0)-Q4-O4</f>
        <v>0</v>
      </c>
      <c r="O4" s="29"/>
      <c r="P4" s="29"/>
      <c r="Q4" s="29"/>
      <c r="R4" s="80">
        <f>J4-(SUM(T4:AH4))+M4</f>
        <v>0</v>
      </c>
      <c r="S4" s="81" t="str">
        <f>IF(R4&lt;0,"ATENÇÃO","OK")</f>
        <v>OK</v>
      </c>
      <c r="T4" s="203"/>
      <c r="U4" s="203"/>
      <c r="V4" s="203"/>
      <c r="W4" s="203"/>
      <c r="X4" s="203"/>
      <c r="Y4" s="82"/>
      <c r="Z4" s="82"/>
      <c r="AA4" s="82"/>
      <c r="AB4" s="82"/>
      <c r="AC4" s="82"/>
      <c r="AD4" s="82"/>
      <c r="AE4" s="82"/>
      <c r="AF4" s="82"/>
      <c r="AG4" s="82"/>
      <c r="AH4" s="82"/>
    </row>
    <row r="5" spans="1:34" s="64" customFormat="1" ht="52.5" customHeight="1" x14ac:dyDescent="0.35">
      <c r="A5" s="276"/>
      <c r="B5" s="72">
        <v>2</v>
      </c>
      <c r="C5" s="278"/>
      <c r="D5" s="73" t="s">
        <v>70</v>
      </c>
      <c r="E5" s="74" t="s">
        <v>68</v>
      </c>
      <c r="F5" s="75" t="s">
        <v>71</v>
      </c>
      <c r="G5" s="129" t="s">
        <v>120</v>
      </c>
      <c r="H5" s="76" t="s">
        <v>102</v>
      </c>
      <c r="I5" s="83">
        <v>13</v>
      </c>
      <c r="J5" s="185">
        <v>0</v>
      </c>
      <c r="K5" s="78">
        <f t="shared" ref="K5:K17" si="0">IF(SUM(T5:AH5)&gt;J5+M5,J5+M5,SUM(T5:AH5))</f>
        <v>0</v>
      </c>
      <c r="L5" s="26">
        <f t="shared" ref="L5:L17" si="1">(SUM(T5:AH5))</f>
        <v>0</v>
      </c>
      <c r="M5" s="29"/>
      <c r="N5" s="79">
        <f t="shared" ref="N5:N17" si="2">ROUND(IF(J5*0.25-0.5&lt;0,0,J5*0.25-0.5),0)-Q5-O5</f>
        <v>0</v>
      </c>
      <c r="O5" s="29"/>
      <c r="P5" s="29"/>
      <c r="Q5" s="29"/>
      <c r="R5" s="80">
        <f t="shared" ref="R5:R17" si="3">J5-(SUM(T5:AH5))+M5</f>
        <v>0</v>
      </c>
      <c r="S5" s="81" t="str">
        <f t="shared" ref="S5:S18" si="4">IF(R5&lt;0,"ATENÇÃO","OK")</f>
        <v>OK</v>
      </c>
      <c r="T5" s="203"/>
      <c r="U5" s="203"/>
      <c r="V5" s="203"/>
      <c r="W5" s="203"/>
      <c r="X5" s="203"/>
      <c r="Y5" s="82"/>
      <c r="Z5" s="82"/>
      <c r="AA5" s="82"/>
      <c r="AB5" s="82"/>
      <c r="AC5" s="82"/>
      <c r="AD5" s="82"/>
      <c r="AE5" s="82"/>
      <c r="AF5" s="82"/>
      <c r="AG5" s="82"/>
      <c r="AH5" s="82"/>
    </row>
    <row r="6" spans="1:34" s="64" customFormat="1" ht="52.5" customHeight="1" x14ac:dyDescent="0.35">
      <c r="A6" s="276"/>
      <c r="B6" s="72">
        <v>3</v>
      </c>
      <c r="C6" s="279"/>
      <c r="D6" s="73" t="s">
        <v>72</v>
      </c>
      <c r="E6" s="74" t="s">
        <v>68</v>
      </c>
      <c r="F6" s="75" t="s">
        <v>73</v>
      </c>
      <c r="G6" s="129" t="s">
        <v>121</v>
      </c>
      <c r="H6" s="84" t="s">
        <v>102</v>
      </c>
      <c r="I6" s="83">
        <v>28</v>
      </c>
      <c r="J6" s="185">
        <v>0</v>
      </c>
      <c r="K6" s="78">
        <f t="shared" si="0"/>
        <v>0</v>
      </c>
      <c r="L6" s="26">
        <f t="shared" si="1"/>
        <v>0</v>
      </c>
      <c r="M6" s="29"/>
      <c r="N6" s="79">
        <f t="shared" si="2"/>
        <v>0</v>
      </c>
      <c r="O6" s="29"/>
      <c r="P6" s="29"/>
      <c r="Q6" s="29"/>
      <c r="R6" s="80">
        <f t="shared" si="3"/>
        <v>0</v>
      </c>
      <c r="S6" s="81" t="str">
        <f t="shared" si="4"/>
        <v>OK</v>
      </c>
      <c r="T6" s="203"/>
      <c r="U6" s="203"/>
      <c r="V6" s="203"/>
      <c r="W6" s="203"/>
      <c r="X6" s="203"/>
      <c r="Y6" s="82"/>
      <c r="Z6" s="82"/>
      <c r="AA6" s="82"/>
      <c r="AB6" s="82"/>
      <c r="AC6" s="82"/>
      <c r="AD6" s="82"/>
      <c r="AE6" s="82"/>
      <c r="AF6" s="82"/>
      <c r="AG6" s="82"/>
      <c r="AH6" s="82"/>
    </row>
    <row r="7" spans="1:34" s="64" customFormat="1" ht="52.5" customHeight="1" x14ac:dyDescent="0.35">
      <c r="A7" s="273">
        <v>3</v>
      </c>
      <c r="B7" s="86">
        <v>6</v>
      </c>
      <c r="C7" s="274" t="s">
        <v>74</v>
      </c>
      <c r="D7" s="87" t="s">
        <v>75</v>
      </c>
      <c r="E7" s="88" t="s">
        <v>76</v>
      </c>
      <c r="F7" s="89" t="s">
        <v>69</v>
      </c>
      <c r="G7" s="153" t="s">
        <v>119</v>
      </c>
      <c r="H7" s="186" t="s">
        <v>102</v>
      </c>
      <c r="I7" s="91">
        <v>16.670000000000002</v>
      </c>
      <c r="J7" s="185">
        <v>600</v>
      </c>
      <c r="K7" s="78">
        <f t="shared" si="0"/>
        <v>500</v>
      </c>
      <c r="L7" s="26">
        <f t="shared" si="1"/>
        <v>500</v>
      </c>
      <c r="M7" s="29"/>
      <c r="N7" s="79">
        <f t="shared" si="2"/>
        <v>150</v>
      </c>
      <c r="O7" s="29"/>
      <c r="P7" s="29"/>
      <c r="Q7" s="29"/>
      <c r="R7" s="80">
        <f t="shared" si="3"/>
        <v>100</v>
      </c>
      <c r="S7" s="81" t="str">
        <f t="shared" si="4"/>
        <v>OK</v>
      </c>
      <c r="T7" s="201">
        <v>300</v>
      </c>
      <c r="U7" s="203"/>
      <c r="V7" s="203"/>
      <c r="W7" s="201">
        <v>200</v>
      </c>
      <c r="X7" s="203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64" customFormat="1" ht="52.5" customHeight="1" x14ac:dyDescent="0.35">
      <c r="A8" s="273"/>
      <c r="B8" s="86">
        <v>7</v>
      </c>
      <c r="C8" s="275"/>
      <c r="D8" s="87" t="s">
        <v>77</v>
      </c>
      <c r="E8" s="88" t="s">
        <v>78</v>
      </c>
      <c r="F8" s="89" t="s">
        <v>71</v>
      </c>
      <c r="G8" s="153" t="s">
        <v>120</v>
      </c>
      <c r="H8" s="186" t="s">
        <v>102</v>
      </c>
      <c r="I8" s="91">
        <v>14.58</v>
      </c>
      <c r="J8" s="185">
        <v>15</v>
      </c>
      <c r="K8" s="78">
        <f t="shared" si="0"/>
        <v>15</v>
      </c>
      <c r="L8" s="26">
        <f t="shared" si="1"/>
        <v>15</v>
      </c>
      <c r="M8" s="29"/>
      <c r="N8" s="79">
        <f t="shared" si="2"/>
        <v>3</v>
      </c>
      <c r="O8" s="29"/>
      <c r="P8" s="29"/>
      <c r="Q8" s="29"/>
      <c r="R8" s="80">
        <f t="shared" si="3"/>
        <v>0</v>
      </c>
      <c r="S8" s="81" t="str">
        <f t="shared" si="4"/>
        <v>OK</v>
      </c>
      <c r="T8" s="203"/>
      <c r="U8" s="201">
        <v>15</v>
      </c>
      <c r="V8" s="203"/>
      <c r="W8" s="203"/>
      <c r="X8" s="203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64" customFormat="1" ht="52.5" customHeight="1" x14ac:dyDescent="0.35">
      <c r="A9" s="161">
        <v>4</v>
      </c>
      <c r="B9" s="162">
        <v>8</v>
      </c>
      <c r="C9" s="159" t="s">
        <v>141</v>
      </c>
      <c r="D9" s="165" t="s">
        <v>142</v>
      </c>
      <c r="E9" s="166" t="s">
        <v>150</v>
      </c>
      <c r="F9" s="167" t="s">
        <v>143</v>
      </c>
      <c r="G9" s="168" t="s">
        <v>122</v>
      </c>
      <c r="H9" s="167" t="s">
        <v>102</v>
      </c>
      <c r="I9" s="169">
        <v>27.59</v>
      </c>
      <c r="J9" s="185">
        <v>0</v>
      </c>
      <c r="K9" s="78">
        <f t="shared" si="0"/>
        <v>0</v>
      </c>
      <c r="L9" s="26">
        <f t="shared" si="1"/>
        <v>0</v>
      </c>
      <c r="M9" s="29"/>
      <c r="N9" s="79">
        <f t="shared" si="2"/>
        <v>0</v>
      </c>
      <c r="O9" s="29"/>
      <c r="P9" s="29"/>
      <c r="Q9" s="29"/>
      <c r="R9" s="80">
        <f t="shared" si="3"/>
        <v>0</v>
      </c>
      <c r="S9" s="81" t="str">
        <f t="shared" si="4"/>
        <v>OK</v>
      </c>
      <c r="T9" s="203"/>
      <c r="U9" s="203"/>
      <c r="V9" s="203"/>
      <c r="W9" s="203"/>
      <c r="X9" s="203"/>
      <c r="Y9" s="82"/>
      <c r="Z9" s="82"/>
      <c r="AA9" s="82"/>
      <c r="AB9" s="82"/>
      <c r="AC9" s="82"/>
      <c r="AD9" s="82"/>
      <c r="AE9" s="82"/>
      <c r="AF9" s="82"/>
      <c r="AG9" s="82"/>
      <c r="AH9" s="82"/>
    </row>
    <row r="10" spans="1:34" s="64" customFormat="1" ht="52.5" customHeight="1" x14ac:dyDescent="0.35">
      <c r="A10" s="163">
        <v>5</v>
      </c>
      <c r="B10" s="164">
        <v>9</v>
      </c>
      <c r="C10" s="160" t="s">
        <v>141</v>
      </c>
      <c r="D10" s="170" t="s">
        <v>144</v>
      </c>
      <c r="E10" s="171" t="s">
        <v>150</v>
      </c>
      <c r="F10" s="172" t="s">
        <v>143</v>
      </c>
      <c r="G10" s="173" t="s">
        <v>122</v>
      </c>
      <c r="H10" s="172" t="s">
        <v>102</v>
      </c>
      <c r="I10" s="174">
        <v>26.9</v>
      </c>
      <c r="J10" s="185">
        <v>0</v>
      </c>
      <c r="K10" s="78">
        <f t="shared" si="0"/>
        <v>0</v>
      </c>
      <c r="L10" s="26">
        <f t="shared" si="1"/>
        <v>0</v>
      </c>
      <c r="M10" s="29"/>
      <c r="N10" s="79">
        <f t="shared" si="2"/>
        <v>0</v>
      </c>
      <c r="O10" s="29"/>
      <c r="P10" s="29"/>
      <c r="Q10" s="29"/>
      <c r="R10" s="80">
        <f t="shared" si="3"/>
        <v>0</v>
      </c>
      <c r="S10" s="81" t="str">
        <f t="shared" si="4"/>
        <v>OK</v>
      </c>
      <c r="T10" s="203"/>
      <c r="U10" s="203"/>
      <c r="V10" s="203"/>
      <c r="W10" s="203"/>
      <c r="X10" s="203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64" customFormat="1" ht="52.5" customHeight="1" x14ac:dyDescent="0.35">
      <c r="A11" s="161">
        <v>6</v>
      </c>
      <c r="B11" s="162">
        <v>10</v>
      </c>
      <c r="C11" s="159" t="s">
        <v>141</v>
      </c>
      <c r="D11" s="165" t="s">
        <v>145</v>
      </c>
      <c r="E11" s="166" t="s">
        <v>150</v>
      </c>
      <c r="F11" s="167" t="s">
        <v>143</v>
      </c>
      <c r="G11" s="168" t="s">
        <v>122</v>
      </c>
      <c r="H11" s="167" t="s">
        <v>102</v>
      </c>
      <c r="I11" s="169">
        <v>27.37</v>
      </c>
      <c r="J11" s="185">
        <v>360</v>
      </c>
      <c r="K11" s="78">
        <f t="shared" si="0"/>
        <v>360</v>
      </c>
      <c r="L11" s="26">
        <f t="shared" si="1"/>
        <v>360</v>
      </c>
      <c r="M11" s="29"/>
      <c r="N11" s="79">
        <f t="shared" si="2"/>
        <v>90</v>
      </c>
      <c r="O11" s="29"/>
      <c r="P11" s="29"/>
      <c r="Q11" s="29"/>
      <c r="R11" s="80">
        <f t="shared" si="3"/>
        <v>0</v>
      </c>
      <c r="S11" s="81" t="str">
        <f t="shared" si="4"/>
        <v>OK</v>
      </c>
      <c r="T11" s="203"/>
      <c r="U11" s="203"/>
      <c r="V11" s="201">
        <v>180</v>
      </c>
      <c r="W11" s="203"/>
      <c r="X11" s="201">
        <v>180</v>
      </c>
      <c r="Y11" s="82"/>
      <c r="Z11" s="82"/>
      <c r="AA11" s="82"/>
      <c r="AB11" s="82"/>
      <c r="AC11" s="82"/>
      <c r="AD11" s="82"/>
      <c r="AE11" s="82"/>
      <c r="AF11" s="82"/>
      <c r="AG11" s="82"/>
      <c r="AH11" s="82"/>
    </row>
    <row r="12" spans="1:34" s="64" customFormat="1" ht="52.5" customHeight="1" x14ac:dyDescent="0.35">
      <c r="A12" s="99">
        <v>8</v>
      </c>
      <c r="B12" s="86">
        <v>12</v>
      </c>
      <c r="C12" s="100" t="s">
        <v>86</v>
      </c>
      <c r="D12" s="87" t="s">
        <v>87</v>
      </c>
      <c r="E12" s="88" t="s">
        <v>88</v>
      </c>
      <c r="F12" s="88" t="s">
        <v>85</v>
      </c>
      <c r="G12" s="153" t="s">
        <v>123</v>
      </c>
      <c r="H12" s="186" t="s">
        <v>102</v>
      </c>
      <c r="I12" s="91">
        <v>4.8499999999999996</v>
      </c>
      <c r="J12" s="185">
        <v>0</v>
      </c>
      <c r="K12" s="78">
        <f t="shared" si="0"/>
        <v>0</v>
      </c>
      <c r="L12" s="26">
        <f t="shared" si="1"/>
        <v>0</v>
      </c>
      <c r="M12" s="29"/>
      <c r="N12" s="79">
        <f t="shared" si="2"/>
        <v>0</v>
      </c>
      <c r="O12" s="29"/>
      <c r="P12" s="29"/>
      <c r="Q12" s="29"/>
      <c r="R12" s="80">
        <f t="shared" si="3"/>
        <v>0</v>
      </c>
      <c r="S12" s="81" t="str">
        <f t="shared" si="4"/>
        <v>OK</v>
      </c>
      <c r="T12" s="203"/>
      <c r="U12" s="203"/>
      <c r="V12" s="203"/>
      <c r="W12" s="203"/>
      <c r="X12" s="203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64" customFormat="1" ht="52.5" customHeight="1" x14ac:dyDescent="0.35">
      <c r="A13" s="102">
        <v>11</v>
      </c>
      <c r="B13" s="72">
        <v>15</v>
      </c>
      <c r="C13" s="103" t="s">
        <v>90</v>
      </c>
      <c r="D13" s="73" t="s">
        <v>91</v>
      </c>
      <c r="E13" s="74" t="s">
        <v>92</v>
      </c>
      <c r="F13" s="74" t="s">
        <v>89</v>
      </c>
      <c r="G13" s="156" t="s">
        <v>124</v>
      </c>
      <c r="H13" s="90" t="s">
        <v>103</v>
      </c>
      <c r="I13" s="83">
        <v>127.74</v>
      </c>
      <c r="J13" s="185">
        <v>0</v>
      </c>
      <c r="K13" s="78">
        <f t="shared" si="0"/>
        <v>0</v>
      </c>
      <c r="L13" s="26">
        <f t="shared" si="1"/>
        <v>0</v>
      </c>
      <c r="M13" s="29"/>
      <c r="N13" s="79">
        <f t="shared" si="2"/>
        <v>0</v>
      </c>
      <c r="O13" s="29"/>
      <c r="P13" s="29"/>
      <c r="Q13" s="29"/>
      <c r="R13" s="80">
        <f t="shared" si="3"/>
        <v>0</v>
      </c>
      <c r="S13" s="81" t="str">
        <f t="shared" si="4"/>
        <v>OK</v>
      </c>
      <c r="T13" s="203"/>
      <c r="U13" s="203"/>
      <c r="V13" s="203"/>
      <c r="W13" s="203"/>
      <c r="X13" s="203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pans="1:34" s="64" customFormat="1" ht="52.5" customHeight="1" x14ac:dyDescent="0.35">
      <c r="A14" s="273">
        <v>13</v>
      </c>
      <c r="B14" s="86">
        <v>17</v>
      </c>
      <c r="C14" s="274" t="s">
        <v>93</v>
      </c>
      <c r="D14" s="87" t="s">
        <v>94</v>
      </c>
      <c r="E14" s="88" t="s">
        <v>95</v>
      </c>
      <c r="F14" s="35" t="s">
        <v>69</v>
      </c>
      <c r="G14" s="154" t="s">
        <v>119</v>
      </c>
      <c r="H14" s="187" t="s">
        <v>102</v>
      </c>
      <c r="I14" s="91">
        <v>15.31</v>
      </c>
      <c r="J14" s="185">
        <v>0</v>
      </c>
      <c r="K14" s="78">
        <f t="shared" si="0"/>
        <v>0</v>
      </c>
      <c r="L14" s="26">
        <f t="shared" si="1"/>
        <v>0</v>
      </c>
      <c r="M14" s="29"/>
      <c r="N14" s="79">
        <f t="shared" si="2"/>
        <v>0</v>
      </c>
      <c r="O14" s="29"/>
      <c r="P14" s="29"/>
      <c r="Q14" s="29"/>
      <c r="R14" s="80">
        <f t="shared" si="3"/>
        <v>0</v>
      </c>
      <c r="S14" s="81" t="str">
        <f t="shared" si="4"/>
        <v>OK</v>
      </c>
      <c r="T14" s="203"/>
      <c r="U14" s="203"/>
      <c r="V14" s="203"/>
      <c r="W14" s="203"/>
      <c r="X14" s="203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spans="1:34" s="64" customFormat="1" ht="52.5" customHeight="1" x14ac:dyDescent="0.35">
      <c r="A15" s="273"/>
      <c r="B15" s="86">
        <v>18</v>
      </c>
      <c r="C15" s="275"/>
      <c r="D15" s="105" t="s">
        <v>96</v>
      </c>
      <c r="E15" s="106" t="s">
        <v>95</v>
      </c>
      <c r="F15" s="35" t="s">
        <v>71</v>
      </c>
      <c r="G15" s="154" t="s">
        <v>120</v>
      </c>
      <c r="H15" s="187" t="s">
        <v>102</v>
      </c>
      <c r="I15" s="91">
        <v>13.94</v>
      </c>
      <c r="J15" s="185">
        <v>0</v>
      </c>
      <c r="K15" s="78">
        <f t="shared" si="0"/>
        <v>0</v>
      </c>
      <c r="L15" s="26">
        <f t="shared" si="1"/>
        <v>0</v>
      </c>
      <c r="M15" s="29"/>
      <c r="N15" s="79">
        <f t="shared" si="2"/>
        <v>0</v>
      </c>
      <c r="O15" s="29"/>
      <c r="P15" s="29"/>
      <c r="Q15" s="29"/>
      <c r="R15" s="80">
        <f t="shared" si="3"/>
        <v>0</v>
      </c>
      <c r="S15" s="81" t="str">
        <f t="shared" si="4"/>
        <v>OK</v>
      </c>
      <c r="T15" s="203"/>
      <c r="U15" s="203"/>
      <c r="V15" s="203"/>
      <c r="W15" s="203"/>
      <c r="X15" s="203"/>
      <c r="Y15" s="82"/>
      <c r="Z15" s="82"/>
      <c r="AA15" s="82"/>
      <c r="AB15" s="82"/>
      <c r="AC15" s="82"/>
      <c r="AD15" s="82"/>
      <c r="AE15" s="82"/>
      <c r="AF15" s="82"/>
      <c r="AG15" s="82"/>
      <c r="AH15" s="82"/>
    </row>
    <row r="16" spans="1:34" s="64" customFormat="1" ht="52.5" customHeight="1" x14ac:dyDescent="0.35">
      <c r="A16" s="92">
        <v>14</v>
      </c>
      <c r="B16" s="93">
        <v>19</v>
      </c>
      <c r="C16" s="94" t="s">
        <v>79</v>
      </c>
      <c r="D16" s="95" t="s">
        <v>97</v>
      </c>
      <c r="E16" s="96" t="s">
        <v>81</v>
      </c>
      <c r="F16" s="107" t="s">
        <v>82</v>
      </c>
      <c r="G16" s="155" t="s">
        <v>122</v>
      </c>
      <c r="H16" s="104" t="s">
        <v>102</v>
      </c>
      <c r="I16" s="98">
        <v>25.77</v>
      </c>
      <c r="J16" s="185">
        <v>0</v>
      </c>
      <c r="K16" s="78">
        <f t="shared" si="0"/>
        <v>0</v>
      </c>
      <c r="L16" s="26">
        <f t="shared" si="1"/>
        <v>0</v>
      </c>
      <c r="M16" s="29"/>
      <c r="N16" s="79">
        <f t="shared" si="2"/>
        <v>0</v>
      </c>
      <c r="O16" s="29"/>
      <c r="P16" s="29"/>
      <c r="Q16" s="29"/>
      <c r="R16" s="80">
        <f t="shared" si="3"/>
        <v>0</v>
      </c>
      <c r="S16" s="81" t="str">
        <f t="shared" si="4"/>
        <v>OK</v>
      </c>
      <c r="T16" s="203"/>
      <c r="U16" s="203"/>
      <c r="V16" s="203"/>
      <c r="W16" s="203"/>
      <c r="X16" s="203"/>
      <c r="Y16" s="82"/>
      <c r="Z16" s="82"/>
      <c r="AA16" s="82"/>
      <c r="AB16" s="82"/>
      <c r="AC16" s="82"/>
      <c r="AD16" s="82"/>
      <c r="AE16" s="82"/>
      <c r="AF16" s="82"/>
      <c r="AG16" s="82"/>
      <c r="AH16" s="82"/>
    </row>
    <row r="17" spans="1:34" s="64" customFormat="1" ht="52.5" customHeight="1" x14ac:dyDescent="0.35">
      <c r="A17" s="99">
        <v>15</v>
      </c>
      <c r="B17" s="86">
        <v>20</v>
      </c>
      <c r="C17" s="108" t="s">
        <v>93</v>
      </c>
      <c r="D17" s="105" t="s">
        <v>98</v>
      </c>
      <c r="E17" s="106" t="s">
        <v>99</v>
      </c>
      <c r="F17" s="106" t="s">
        <v>85</v>
      </c>
      <c r="G17" s="154" t="s">
        <v>123</v>
      </c>
      <c r="H17" s="187" t="s">
        <v>102</v>
      </c>
      <c r="I17" s="109">
        <v>4.42</v>
      </c>
      <c r="J17" s="184">
        <v>0</v>
      </c>
      <c r="K17" s="78">
        <f t="shared" si="0"/>
        <v>0</v>
      </c>
      <c r="L17" s="26">
        <f t="shared" si="1"/>
        <v>0</v>
      </c>
      <c r="M17" s="29"/>
      <c r="N17" s="79">
        <f t="shared" si="2"/>
        <v>0</v>
      </c>
      <c r="O17" s="29"/>
      <c r="P17" s="29"/>
      <c r="Q17" s="29"/>
      <c r="R17" s="80">
        <f t="shared" si="3"/>
        <v>0</v>
      </c>
      <c r="S17" s="81" t="str">
        <f t="shared" si="4"/>
        <v>OK</v>
      </c>
      <c r="T17" s="203"/>
      <c r="U17" s="203"/>
      <c r="V17" s="203"/>
      <c r="W17" s="203"/>
      <c r="X17" s="203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1:34" s="116" customFormat="1" ht="52.5" customHeight="1" thickBot="1" x14ac:dyDescent="0.4">
      <c r="A18" s="110"/>
      <c r="B18" s="110"/>
      <c r="C18" s="111"/>
      <c r="D18" s="112"/>
      <c r="E18" s="113"/>
      <c r="F18" s="113"/>
      <c r="G18" s="113"/>
      <c r="H18" s="113"/>
      <c r="I18" s="114"/>
      <c r="J18" s="115">
        <f>SUM(J4:J17)</f>
        <v>975</v>
      </c>
      <c r="M18" s="117"/>
      <c r="N18" s="117"/>
      <c r="O18" s="117"/>
      <c r="P18" s="117"/>
      <c r="Q18" s="117"/>
      <c r="R18" s="118">
        <f>SUM(R4:R17)</f>
        <v>100</v>
      </c>
      <c r="S18" s="119" t="str">
        <f t="shared" si="4"/>
        <v>OK</v>
      </c>
      <c r="T18" s="209">
        <f>SUMPRODUCT($I$4:$I$17,T4:T17)</f>
        <v>5001.0000000000009</v>
      </c>
      <c r="U18" s="209">
        <f t="shared" ref="U18:AH18" si="5">SUMPRODUCT($I$4:$I$17,U4:U17)</f>
        <v>218.7</v>
      </c>
      <c r="V18" s="209">
        <f t="shared" si="5"/>
        <v>4926.6000000000004</v>
      </c>
      <c r="W18" s="209">
        <f t="shared" si="5"/>
        <v>3334.0000000000005</v>
      </c>
      <c r="X18" s="209">
        <f t="shared" si="5"/>
        <v>4926.6000000000004</v>
      </c>
      <c r="Y18" s="209">
        <f t="shared" si="5"/>
        <v>0</v>
      </c>
      <c r="Z18" s="209">
        <f t="shared" si="5"/>
        <v>0</v>
      </c>
      <c r="AA18" s="209">
        <f t="shared" si="5"/>
        <v>0</v>
      </c>
      <c r="AB18" s="209">
        <f t="shared" si="5"/>
        <v>0</v>
      </c>
      <c r="AC18" s="209">
        <f t="shared" si="5"/>
        <v>0</v>
      </c>
      <c r="AD18" s="209">
        <f t="shared" si="5"/>
        <v>0</v>
      </c>
      <c r="AE18" s="209">
        <f t="shared" si="5"/>
        <v>0</v>
      </c>
      <c r="AF18" s="209">
        <f t="shared" si="5"/>
        <v>0</v>
      </c>
      <c r="AG18" s="209">
        <f t="shared" si="5"/>
        <v>0</v>
      </c>
      <c r="AH18" s="209">
        <f t="shared" si="5"/>
        <v>0</v>
      </c>
    </row>
    <row r="19" spans="1:34" s="64" customFormat="1" ht="52.5" customHeight="1" thickBot="1" x14ac:dyDescent="0.4">
      <c r="A19" s="1"/>
      <c r="B19" s="1"/>
      <c r="C19" s="264" t="s">
        <v>101</v>
      </c>
      <c r="D19" s="265"/>
      <c r="E19" s="265"/>
      <c r="F19" s="265"/>
      <c r="G19" s="265"/>
      <c r="H19" s="265"/>
      <c r="I19" s="266"/>
      <c r="J19" s="242">
        <f>SUMPRODUCT($I$4:$I$17,J4:J17)</f>
        <v>20073.900000000001</v>
      </c>
      <c r="K19" s="242">
        <f t="shared" ref="K19:Q19" si="6">SUMPRODUCT($I$4:$I$17,K4:K17)</f>
        <v>18406.900000000001</v>
      </c>
      <c r="L19" s="242">
        <f t="shared" si="6"/>
        <v>18406.900000000001</v>
      </c>
      <c r="M19" s="242">
        <f t="shared" si="6"/>
        <v>0</v>
      </c>
      <c r="N19" s="242">
        <f t="shared" si="6"/>
        <v>5007.5400000000009</v>
      </c>
      <c r="O19" s="242">
        <f t="shared" si="6"/>
        <v>0</v>
      </c>
      <c r="P19" s="242">
        <f t="shared" si="6"/>
        <v>0</v>
      </c>
      <c r="Q19" s="242">
        <f t="shared" si="6"/>
        <v>0</v>
      </c>
      <c r="R19" s="242">
        <f>SUMPRODUCT($I$4:$I$17,R4:R17)</f>
        <v>1667.0000000000002</v>
      </c>
      <c r="S19" s="120"/>
      <c r="T19" s="202"/>
      <c r="U19" s="202"/>
      <c r="V19" s="202"/>
      <c r="W19" s="202"/>
      <c r="X19" s="202"/>
      <c r="AA19" s="122"/>
    </row>
  </sheetData>
  <mergeCells count="27">
    <mergeCell ref="AC1:AC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U1:U2"/>
    <mergeCell ref="V1:V2"/>
    <mergeCell ref="W1:W2"/>
    <mergeCell ref="A1:C1"/>
    <mergeCell ref="D1:I1"/>
    <mergeCell ref="J1:S1"/>
    <mergeCell ref="T1:T2"/>
    <mergeCell ref="A2:I2"/>
    <mergeCell ref="J2:S2"/>
    <mergeCell ref="A14:A15"/>
    <mergeCell ref="C14:C15"/>
    <mergeCell ref="C19:I19"/>
    <mergeCell ref="A4:A6"/>
    <mergeCell ref="C4:C6"/>
    <mergeCell ref="A7:A8"/>
    <mergeCell ref="C7:C8"/>
  </mergeCells>
  <conditionalFormatting sqref="Y4:AH17">
    <cfRule type="cellIs" dxfId="18" priority="1" stopIfTrue="1" operator="greaterThan">
      <formula>0</formula>
    </cfRule>
    <cfRule type="cellIs" dxfId="17" priority="2" stopIfTrue="1" operator="greaterThan">
      <formula>0</formula>
    </cfRule>
    <cfRule type="cellIs" dxfId="16" priority="3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REITORIA</vt:lpstr>
      <vt:lpstr>CESFI</vt:lpstr>
      <vt:lpstr>CEFID</vt:lpstr>
      <vt:lpstr>CAV</vt:lpstr>
      <vt:lpstr>CCT</vt:lpstr>
      <vt:lpstr>CEART</vt:lpstr>
      <vt:lpstr>ESAG</vt:lpstr>
      <vt:lpstr>CEAD</vt:lpstr>
      <vt:lpstr>CEPLAN</vt:lpstr>
      <vt:lpstr>CEAVI</vt:lpstr>
      <vt:lpstr>CERES</vt:lpstr>
      <vt:lpstr>FAED</vt:lpstr>
      <vt:lpstr>CEO</vt:lpstr>
      <vt:lpstr>GESTOR da Ata</vt:lpstr>
      <vt:lpstr>(CARONA-USO DO GESTOR)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2018-01-24T18:18:49Z</cp:lastPrinted>
  <dcterms:created xsi:type="dcterms:W3CDTF">2010-06-19T20:43:11Z</dcterms:created>
  <dcterms:modified xsi:type="dcterms:W3CDTF">2026-08-05T21:58:15Z</dcterms:modified>
</cp:coreProperties>
</file>