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472.2019 SGPE 15486.2018 - Hospedagem e Alimentação SRP RELANÇAMENTO VIG  02.04.2019 a 01.04.2020\"/>
    </mc:Choice>
  </mc:AlternateContent>
  <bookViews>
    <workbookView xWindow="0" yWindow="0" windowWidth="19200" windowHeight="11445" tabRatio="857" activeTab="4"/>
  </bookViews>
  <sheets>
    <sheet name="aditivo " sheetId="192" r:id="rId1"/>
    <sheet name="REITORIA" sheetId="75" r:id="rId2"/>
    <sheet name="PROEX" sheetId="191" r:id="rId3"/>
    <sheet name="ESAG" sheetId="178" r:id="rId4"/>
    <sheet name="CEART" sheetId="179" r:id="rId5"/>
    <sheet name="FAED" sheetId="180" r:id="rId6"/>
    <sheet name="CEAD" sheetId="181" r:id="rId7"/>
    <sheet name="CEFID" sheetId="182" r:id="rId8"/>
    <sheet name="CERES" sheetId="183" r:id="rId9"/>
    <sheet name="CESFI" sheetId="184" r:id="rId10"/>
    <sheet name="CCT" sheetId="185" r:id="rId11"/>
    <sheet name="CEO" sheetId="186" r:id="rId12"/>
    <sheet name="CAV" sheetId="190" r:id="rId13"/>
    <sheet name="CEAVI" sheetId="187" r:id="rId14"/>
    <sheet name="CEPLAN" sheetId="188" r:id="rId15"/>
    <sheet name="GESTOR" sheetId="189" r:id="rId16"/>
    <sheet name="Modelo Anexo II IN 002_2014" sheetId="77" r:id="rId17"/>
  </sheets>
  <definedNames>
    <definedName name="diasuteis" localSheetId="0">#REF!</definedName>
    <definedName name="diasuteis" localSheetId="10">#REF!</definedName>
    <definedName name="diasuteis" localSheetId="6">#REF!</definedName>
    <definedName name="diasuteis" localSheetId="4">#REF!</definedName>
    <definedName name="diasuteis" localSheetId="13">#REF!</definedName>
    <definedName name="diasuteis" localSheetId="7">#REF!</definedName>
    <definedName name="diasuteis" localSheetId="11">#REF!</definedName>
    <definedName name="diasuteis" localSheetId="14">#REF!</definedName>
    <definedName name="diasuteis" localSheetId="8">#REF!</definedName>
    <definedName name="diasuteis" localSheetId="9">#REF!</definedName>
    <definedName name="diasuteis" localSheetId="3">#REF!</definedName>
    <definedName name="diasuteis" localSheetId="5">#REF!</definedName>
    <definedName name="diasuteis" localSheetId="15">#REF!</definedName>
    <definedName name="diasuteis" localSheetId="1">#REF!</definedName>
    <definedName name="diasuteis">#REF!</definedName>
    <definedName name="Ferias" localSheetId="0">#REF!</definedName>
    <definedName name="Ferias" localSheetId="10">#REF!</definedName>
    <definedName name="Ferias" localSheetId="6">#REF!</definedName>
    <definedName name="Ferias" localSheetId="4">#REF!</definedName>
    <definedName name="Ferias" localSheetId="13">#REF!</definedName>
    <definedName name="Ferias" localSheetId="8">#REF!</definedName>
    <definedName name="Ferias" localSheetId="15">#REF!</definedName>
    <definedName name="Ferias">#REF!</definedName>
    <definedName name="RD" localSheetId="0">OFFSET(#REF!,(MATCH(SMALL(#REF!,ROW()-10),#REF!,0)-1),0)</definedName>
    <definedName name="RD" localSheetId="10">OFFSET(#REF!,(MATCH(SMALL(#REF!,ROW()-10),#REF!,0)-1),0)</definedName>
    <definedName name="RD" localSheetId="6">OFFSET(#REF!,(MATCH(SMALL(#REF!,ROW()-10),#REF!,0)-1),0)</definedName>
    <definedName name="RD" localSheetId="4">OFFSET(#REF!,(MATCH(SMALL(#REF!,ROW()-10),#REF!,0)-1),0)</definedName>
    <definedName name="RD" localSheetId="13">OFFSET(#REF!,(MATCH(SMALL(#REF!,ROW()-10),#REF!,0)-1),0)</definedName>
    <definedName name="RD" localSheetId="8">OFFSET(#REF!,(MATCH(SMALL(#REF!,ROW()-10),#REF!,0)-1),0)</definedName>
    <definedName name="RD" localSheetId="15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F5" i="180" l="1"/>
  <c r="F4" i="180"/>
  <c r="H21" i="192"/>
  <c r="F5" i="181" l="1"/>
  <c r="F5" i="179" l="1"/>
  <c r="F4" i="179"/>
  <c r="F4" i="190"/>
  <c r="E3" i="192" l="1"/>
  <c r="G3" i="192" s="1"/>
  <c r="H3" i="192" s="1"/>
  <c r="E2" i="192"/>
  <c r="E4" i="192" l="1"/>
  <c r="G2" i="192"/>
  <c r="H2" i="192" s="1"/>
  <c r="F5" i="184"/>
  <c r="F4" i="184"/>
  <c r="G4" i="192" l="1"/>
  <c r="H4" i="192" s="1"/>
  <c r="F4" i="181"/>
  <c r="F4" i="186" l="1"/>
  <c r="F5" i="191" l="1"/>
  <c r="F5" i="185" l="1"/>
  <c r="F5" i="186" l="1"/>
  <c r="F5" i="189" l="1"/>
  <c r="F4" i="189"/>
  <c r="G5" i="188"/>
  <c r="H5" i="188" s="1"/>
  <c r="G4" i="188"/>
  <c r="H4" i="188" s="1"/>
  <c r="G5" i="187"/>
  <c r="H5" i="187" s="1"/>
  <c r="G4" i="187"/>
  <c r="H4" i="187" s="1"/>
  <c r="G5" i="190"/>
  <c r="H5" i="190" s="1"/>
  <c r="H4" i="190"/>
  <c r="G4" i="190"/>
  <c r="G5" i="186"/>
  <c r="H5" i="186" s="1"/>
  <c r="G4" i="186"/>
  <c r="H4" i="186" s="1"/>
  <c r="G5" i="185"/>
  <c r="H5" i="185" s="1"/>
  <c r="G4" i="185"/>
  <c r="H4" i="185" s="1"/>
  <c r="G5" i="184"/>
  <c r="H5" i="184" s="1"/>
  <c r="G4" i="184"/>
  <c r="H4" i="184" s="1"/>
  <c r="G5" i="183"/>
  <c r="H5" i="183" s="1"/>
  <c r="G4" i="183"/>
  <c r="H4" i="183" s="1"/>
  <c r="G5" i="182"/>
  <c r="H5" i="182" s="1"/>
  <c r="G4" i="182"/>
  <c r="H4" i="182" s="1"/>
  <c r="G5" i="181"/>
  <c r="H5" i="181" s="1"/>
  <c r="G4" i="181"/>
  <c r="H4" i="181" s="1"/>
  <c r="G5" i="180"/>
  <c r="H5" i="180" s="1"/>
  <c r="G4" i="180"/>
  <c r="H4" i="180" s="1"/>
  <c r="G5" i="179"/>
  <c r="H5" i="179" s="1"/>
  <c r="G4" i="179"/>
  <c r="H4" i="179" s="1"/>
  <c r="G5" i="178"/>
  <c r="H5" i="178" s="1"/>
  <c r="G4" i="178"/>
  <c r="H4" i="178" s="1"/>
  <c r="G5" i="191"/>
  <c r="H5" i="191" s="1"/>
  <c r="G4" i="191"/>
  <c r="H4" i="191" s="1"/>
  <c r="G5" i="75" l="1"/>
  <c r="G4" i="75"/>
  <c r="H4" i="75" l="1"/>
  <c r="G4" i="189"/>
  <c r="H5" i="75"/>
  <c r="G5" i="189"/>
  <c r="F6" i="189"/>
  <c r="I5" i="189" l="1"/>
  <c r="I12" i="189"/>
  <c r="I4" i="189" l="1"/>
  <c r="G6" i="189"/>
  <c r="H4" i="189"/>
  <c r="H5" i="189"/>
  <c r="I6" i="189" l="1"/>
  <c r="I13" i="189"/>
  <c r="I15" i="189" s="1"/>
  <c r="H6" i="189"/>
</calcChain>
</file>

<file path=xl/comments1.xml><?xml version="1.0" encoding="utf-8"?>
<comments xmlns="http://schemas.openxmlformats.org/spreadsheetml/2006/main">
  <authors>
    <author>Leticia Mees</author>
  </authors>
  <commentList>
    <comment ref="K1" authorId="0" shapeId="0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PEDIDO PRA PROEN - PQ DAS PROFISSÕES.</t>
        </r>
      </text>
    </comment>
  </commentList>
</comments>
</file>

<file path=xl/comments2.xml><?xml version="1.0" encoding="utf-8"?>
<comments xmlns="http://schemas.openxmlformats.org/spreadsheetml/2006/main">
  <authors>
    <author>MARCELO DARCI DE SOUZA</author>
  </authors>
  <commentList>
    <comment ref="F5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CEO 5.000,00 04/07/2019
cedido ao CCT 6.000,00 16/08/19 
cedido ao ceo 8.550,00 sgpe 19330/2019 </t>
        </r>
      </text>
    </comment>
  </commentList>
</comments>
</file>

<file path=xl/comments3.xml><?xml version="1.0" encoding="utf-8"?>
<comments xmlns="http://schemas.openxmlformats.org/spreadsheetml/2006/main">
  <authors>
    <author>MARCELO DARCI DE SOUZA</author>
  </authors>
  <commentList>
    <comment ref="F4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3.000,00 do CAV 10/09/19 
recebido 5.000,00 da faed 17/09/19 
recebido 3.000,00 do cead 19/09/19 
recebido 7.000 do cesfi 19/09/19 
1 termo aditivo 16.500,00 07/10/19 </t>
        </r>
      </text>
    </comment>
    <comment ref="F5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3.300 do cesfi 19/09/19 
1 termo aditivo 4750,00  07/10/19 </t>
        </r>
      </text>
    </comment>
  </commentList>
</comments>
</file>

<file path=xl/comments4.xml><?xml version="1.0" encoding="utf-8"?>
<comments xmlns="http://schemas.openxmlformats.org/spreadsheetml/2006/main">
  <authors>
    <author>MARCELO DARCI DE SOUZA</author>
  </authors>
  <commentList>
    <comment ref="F4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5.000,00 ao ceart - 17/09/19 </t>
        </r>
      </text>
    </comment>
    <comment ref="F5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referente 1 termo aditivo 4.200,00 </t>
        </r>
      </text>
    </comment>
  </commentList>
</comments>
</file>

<file path=xl/comments5.xml><?xml version="1.0" encoding="utf-8"?>
<comments xmlns="http://schemas.openxmlformats.org/spreadsheetml/2006/main">
  <authors>
    <author>MARCELO DARCI DE SOUZA</author>
  </authors>
  <commentList>
    <comment ref="F4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3.000 ao ceart 19/09/19 </t>
        </r>
      </text>
    </comment>
    <comment ref="F5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ref 1 termo aditivo 3.000,00 08/10/19 
</t>
        </r>
      </text>
    </comment>
  </commentList>
</comments>
</file>

<file path=xl/comments6.xml><?xml version="1.0" encoding="utf-8"?>
<comments xmlns="http://schemas.openxmlformats.org/spreadsheetml/2006/main">
  <authors>
    <author>MARCELO DARCI DE SOUZA</author>
  </authors>
  <commentList>
    <comment ref="F4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ceart 7.000 em 19/09/19 
</t>
        </r>
      </text>
    </comment>
    <comment ref="F5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ceart 3300,00 19/09/19 </t>
        </r>
      </text>
    </comment>
  </commentList>
</comments>
</file>

<file path=xl/comments7.xml><?xml version="1.0" encoding="utf-8"?>
<comments xmlns="http://schemas.openxmlformats.org/spreadsheetml/2006/main">
  <authors>
    <author>MARCELO DARCI DE SOUZA</author>
  </authors>
  <commentList>
    <comment ref="F5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ao proex 6.000,00 16/08/19</t>
        </r>
      </text>
    </comment>
  </commentList>
</comments>
</file>

<file path=xl/comments8.xml><?xml version="1.0" encoding="utf-8"?>
<comments xmlns="http://schemas.openxmlformats.org/spreadsheetml/2006/main">
  <authors>
    <author>MARCELO DARCI DE SOUZA</author>
  </authors>
  <commentList>
    <comment ref="F4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pela reitoria proex 8.550,00 sgpe 19330/2019</t>
        </r>
      </text>
    </comment>
    <comment ref="F5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5.000,00 da proex 04/07/2019 </t>
        </r>
      </text>
    </comment>
  </commentList>
</comments>
</file>

<file path=xl/comments9.xml><?xml version="1.0" encoding="utf-8"?>
<comments xmlns="http://schemas.openxmlformats.org/spreadsheetml/2006/main">
  <authors>
    <author>MARCELO DARCI DE SOUZA</author>
  </authors>
  <commentList>
    <comment ref="F4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ceart 3.000,00 10/09/19 
1 termo aditivo cav - 5000,00 07/10/19</t>
        </r>
      </text>
    </comment>
  </commentList>
</comments>
</file>

<file path=xl/sharedStrings.xml><?xml version="1.0" encoding="utf-8"?>
<sst xmlns="http://schemas.openxmlformats.org/spreadsheetml/2006/main" count="547" uniqueCount="171">
  <si>
    <t>Saldo / Automático</t>
  </si>
  <si>
    <t>LOTE</t>
  </si>
  <si>
    <t>...../...../......</t>
  </si>
  <si>
    <t>FORNECEDOR</t>
  </si>
  <si>
    <t>ITEM</t>
  </si>
  <si>
    <t>PRODUTO - CARACTERÍSTICAS MÍNIMAS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</si>
  <si>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</si>
  <si>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</si>
  <si>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</si>
  <si>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</si>
  <si>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</si>
  <si>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</si>
  <si>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</si>
  <si>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</si>
  <si>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</si>
  <si>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</si>
  <si>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</si>
  <si>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</si>
  <si>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</si>
  <si>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</si>
  <si>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</si>
  <si>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</si>
  <si>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</si>
  <si>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</si>
  <si>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</si>
  <si>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</si>
  <si>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</si>
  <si>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</si>
  <si>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CENTRO PARTICIPANTE: GESTOR</t>
  </si>
  <si>
    <t>Qtde Utilizada</t>
  </si>
  <si>
    <t>Saldo</t>
  </si>
  <si>
    <t>% Utilizado</t>
  </si>
  <si>
    <t>Valor Total da Ata com Aditivo</t>
  </si>
  <si>
    <t>Valor Utilizado</t>
  </si>
  <si>
    <t>% Aditivos</t>
  </si>
  <si>
    <t xml:space="preserve">Hospedagem </t>
  </si>
  <si>
    <t xml:space="preserve">Alimentação </t>
  </si>
  <si>
    <t xml:space="preserve">OBJETO: CONTRATAÇÃO DE AGÊNCIA DE TURISMO PARA A PRESTAÇÃO DE SERVIÇOS DE COTAÇÃO, RESERVA E EMISSÃO DE HOSPEDAGEM EM HOTÉIS E DEMAIS SERVIÇOS CORRELATOS PARA A UDESC. </t>
  </si>
  <si>
    <t xml:space="preserve">Hospedagem (Diária) </t>
  </si>
  <si>
    <t>Alimentação</t>
  </si>
  <si>
    <t>CENTRO PARTICIPANTE: REITORIA/PROAD</t>
  </si>
  <si>
    <t>PROCESSO: 001/2018/UDESC</t>
  </si>
  <si>
    <t>Resumo Atualizado em</t>
  </si>
  <si>
    <t xml:space="preserve"> AF/OS nº XXX/2019 Qtde. DT</t>
  </si>
  <si>
    <t>VIGÊNCIA DA ATA: 02/04/2019 à 01/03/2020</t>
  </si>
  <si>
    <t>PROCESSO: 472.2019</t>
  </si>
  <si>
    <t>WEBTRIP AGENCIA DE VIAGENS E TURISMO EIRELI CNPJ 07.340.993/0001-90</t>
  </si>
  <si>
    <t>CONTRATAÇÃO DE AGÊNCIA DE TURISMO PARA PRESTAÇÃO DE SERVIÇOS DE COTAÇÃO, RESERVA E EMISSÃO DE HOSPEDAGEM EM HOTÉIS E DEMAIS SERVIÇOS NECESSÁRIOS E CORRELATOS PARA 2019 PARA A UDESC.</t>
  </si>
  <si>
    <t>VIGÊNCIA DA ATA:  02/04/2019 à 01/03/2020</t>
  </si>
  <si>
    <t>CENTRO PARTICIPANTE: PROEX</t>
  </si>
  <si>
    <t>CENTRO PARTICIPANTE: ESAG</t>
  </si>
  <si>
    <t>CENTRO PARTICIPANTE: CEART</t>
  </si>
  <si>
    <t>CENTRO PARTICIPANTE: FAED</t>
  </si>
  <si>
    <t>CENTRO PARTICIPANTE: CEAD</t>
  </si>
  <si>
    <t>CENTRO PARTICIPANTE: CEFID</t>
  </si>
  <si>
    <t>CENTRO PARTICIPANTE: CERES</t>
  </si>
  <si>
    <t>CENTRO PARTICIPANTE: CESFI</t>
  </si>
  <si>
    <t>CENTRO PARTICIPANTE: CCT</t>
  </si>
  <si>
    <t>CENTRO PARTICIPANTE: CEO</t>
  </si>
  <si>
    <t>CENTRO PARTICIPANTE: CAV</t>
  </si>
  <si>
    <t>CENTRO PARTICIPANTE: CEAVI</t>
  </si>
  <si>
    <t>CENTRO PARTICIPANTE: CEPLAN</t>
  </si>
  <si>
    <t>TAXA DE TRANSAÇÃO%</t>
  </si>
  <si>
    <t>TAXA DE TRANSAÇÃO %</t>
  </si>
  <si>
    <t xml:space="preserve">Aditivo </t>
  </si>
  <si>
    <t xml:space="preserve">Atualizado </t>
  </si>
  <si>
    <t>WEBTRIP AGENCIA DE VIAGENS E TURISMO EIRELI CNPJ 07.340.993/0001-9</t>
  </si>
  <si>
    <t xml:space="preserve">cav </t>
  </si>
  <si>
    <t xml:space="preserve">25% item 1 </t>
  </si>
  <si>
    <t xml:space="preserve">ceart </t>
  </si>
  <si>
    <t xml:space="preserve">25 item 1 </t>
  </si>
  <si>
    <t xml:space="preserve">item 2 </t>
  </si>
  <si>
    <t xml:space="preserve">cead </t>
  </si>
  <si>
    <t xml:space="preserve">faed </t>
  </si>
  <si>
    <t xml:space="preserve"> AF/OS nº 437/2019 Qtde. DT</t>
  </si>
  <si>
    <t xml:space="preserve"> AF/OS nº 1875/2019 Qtde. DT</t>
  </si>
  <si>
    <t xml:space="preserve"> AF/OS nº 311/2019 Qtde. DT - PRAPEG</t>
  </si>
  <si>
    <t xml:space="preserve"> AF/OS nº 313/2019 Qtde. DT - PAEX</t>
  </si>
  <si>
    <t xml:space="preserve"> AF/OS nº 702/2019 Qtde. DT - PROAP PPGH</t>
  </si>
  <si>
    <t xml:space="preserve"> AF/OS nº 1235/2019 Qtde. DT</t>
  </si>
  <si>
    <t xml:space="preserve"> AF/OS nº 1359/2019 Qtde. DT - PRAPEG</t>
  </si>
  <si>
    <t xml:space="preserve"> AF/OS nº 1691/2019 Qtde. DT - PRAPEG</t>
  </si>
  <si>
    <t xml:space="preserve"> AF/OS nº 1800/2019 Qtde. DT - PRAPEG</t>
  </si>
  <si>
    <t xml:space="preserve"> AF/OS nº 2071/2019 Qtde. DT - PROAP PPGH</t>
  </si>
  <si>
    <t xml:space="preserve"> AF/OS nº 535/2019 Qtde. DT</t>
  </si>
  <si>
    <t xml:space="preserve"> AF/OS nº 899/2019 Qtde. DT Daniel PAEX</t>
  </si>
  <si>
    <t xml:space="preserve"> AF/OS nº 942/2019 Qtde. DT Alimentação Rondon</t>
  </si>
  <si>
    <t xml:space="preserve"> AF/OS nº 968/2019 Qtde. DT Ivete PRAPEG</t>
  </si>
  <si>
    <t xml:space="preserve"> AF/OS nº 1426/2019 Qtde. DT</t>
  </si>
  <si>
    <t xml:space="preserve"> AF/OS nº 2014/2019 Qtde. DT</t>
  </si>
  <si>
    <t xml:space="preserve"> AF/OS nº 2018/2019 Qtde. DT Projeto Kiciosan Emenda Parlamentar</t>
  </si>
  <si>
    <t xml:space="preserve"> AF/OS nº 709/2019     Qtde. DT</t>
  </si>
  <si>
    <t xml:space="preserve"> supressão  AF/OS nº 709/2019      Qtde. DT 61,51</t>
  </si>
  <si>
    <t xml:space="preserve"> AF/OS nº 1089/2019 Qtde. DT</t>
  </si>
  <si>
    <t xml:space="preserve"> AF/OS nº 1387/2019 Qtde. DT</t>
  </si>
  <si>
    <t xml:space="preserve"> AF/OS nº 1547/2019 Qtde. DT</t>
  </si>
  <si>
    <t xml:space="preserve"> AF/OS nº 1664/2019 Qtde. DT</t>
  </si>
  <si>
    <t xml:space="preserve"> AF/OS nº 1793/2019 Qtde. DT</t>
  </si>
  <si>
    <t xml:space="preserve"> AF/OS nº 1934/2019 Qtde. DT</t>
  </si>
  <si>
    <t xml:space="preserve"> AF/OS nº 462/2019 Qtde. DT</t>
  </si>
  <si>
    <t xml:space="preserve"> AF/OS nº 1847/2019 Solos</t>
  </si>
  <si>
    <t xml:space="preserve"> AF/OS nº 472/2019 Ciência Animal </t>
  </si>
  <si>
    <t xml:space="preserve"> AF/OS nº 1990/2019 Qtde. DT</t>
  </si>
  <si>
    <t>cedido CEART</t>
  </si>
  <si>
    <t xml:space="preserve"> AF/OS nº 1126/2019 Qtde. DT</t>
  </si>
  <si>
    <t xml:space="preserve"> AF/OS nº 1165/2019 Qtde. DT</t>
  </si>
  <si>
    <t xml:space="preserve"> AF/OS nº 1498/2019 Qtde. DT</t>
  </si>
  <si>
    <t xml:space="preserve"> AF/OS nº 1605/2019 Qtde. DT</t>
  </si>
  <si>
    <t xml:space="preserve"> AF/OS nº 1712/2019 Qtde. DT</t>
  </si>
  <si>
    <t xml:space="preserve"> AF/OS nº 1848/2019 Qtde. DT</t>
  </si>
  <si>
    <t xml:space="preserve"> AF/OS nº 2026/2019 Qtde. DT</t>
  </si>
  <si>
    <t xml:space="preserve"> AF/OS nº 2099/2019 Qtde. DT</t>
  </si>
  <si>
    <t xml:space="preserve"> AF/OS nº 1117/2019 Qtde. DT</t>
  </si>
  <si>
    <t xml:space="preserve"> AF/OS nº 1424/2019 Qtde. DT</t>
  </si>
  <si>
    <t xml:space="preserve"> AF/OS nº 423/2019 Qtde. DT</t>
  </si>
  <si>
    <t xml:space="preserve"> AF/OS nº 1152/2019 Qtde. DT</t>
  </si>
  <si>
    <t>OS nº 534/2019 Qtde. DT</t>
  </si>
  <si>
    <t>OS nº 1053/2019 Qtde. DT</t>
  </si>
  <si>
    <t>OS nº 1233/2019 Qtde. DT</t>
  </si>
  <si>
    <t>OS nº 1510/2019 Qtde. DT</t>
  </si>
  <si>
    <t xml:space="preserve"> OS nº 534/2019 Qtde. DT</t>
  </si>
  <si>
    <t xml:space="preserve"> OS nº  1409/2019 Qtde. DT</t>
  </si>
  <si>
    <t xml:space="preserve"> AF/OS nº  1754/2019  Qtde. DT</t>
  </si>
  <si>
    <t xml:space="preserve"> AF/OS nº 1788/2019   Qtde. DT</t>
  </si>
  <si>
    <t xml:space="preserve"> AF/OS nº 1820/2019 Qtde. DT</t>
  </si>
  <si>
    <t xml:space="preserve"> AF/OS nº 2076/2019 Qtde. DT</t>
  </si>
  <si>
    <t>WEBTRIP 31/12/2019</t>
  </si>
  <si>
    <t>WEBTRIP        31/12/2019</t>
  </si>
  <si>
    <t xml:space="preserve"> AF/OS nº 0687/2019 Qtde. DT</t>
  </si>
  <si>
    <t xml:space="preserve"> AF/OS nº 1058/2019 Qtde. DT</t>
  </si>
  <si>
    <t xml:space="preserve"> AF/OS nº 1309/2019 Qtde. DT</t>
  </si>
  <si>
    <t xml:space="preserve"> AF/OS nº 2059/2019 Qtde. DT</t>
  </si>
  <si>
    <t xml:space="preserve"> AF/OS nº 453/2019</t>
  </si>
  <si>
    <t xml:space="preserve"> AF/OS nº 455/2019</t>
  </si>
  <si>
    <t xml:space="preserve"> AF/OS nº 464/2019 </t>
  </si>
  <si>
    <t xml:space="preserve"> AF/OS nº 581/2019 </t>
  </si>
  <si>
    <t xml:space="preserve"> AF/OS nº 875/2019 </t>
  </si>
  <si>
    <t xml:space="preserve"> AF/OS nº 876/2019 </t>
  </si>
  <si>
    <t xml:space="preserve"> AF/OS nº 962/2019</t>
  </si>
  <si>
    <t xml:space="preserve"> AF/OS nº 1064/2019 </t>
  </si>
  <si>
    <t xml:space="preserve"> AF/OS nº 1198/2019 </t>
  </si>
  <si>
    <t xml:space="preserve"> AF/OS nº 2038/2019</t>
  </si>
  <si>
    <t xml:space="preserve"> AF/OS nº 2208/2019</t>
  </si>
  <si>
    <t>AF 2226/2019</t>
  </si>
  <si>
    <t>01/07.2019</t>
  </si>
  <si>
    <t xml:space="preserve"> AF/OS nº 324/2019</t>
  </si>
  <si>
    <t xml:space="preserve"> AF/OS nº 448/2019</t>
  </si>
  <si>
    <t xml:space="preserve"> AF/OS nº 523/2019 </t>
  </si>
  <si>
    <t xml:space="preserve"> AF/OS nº 524/2019 </t>
  </si>
  <si>
    <t xml:space="preserve"> AF/OS nº 895/2019</t>
  </si>
  <si>
    <t xml:space="preserve"> AF/OS nº 922/2019</t>
  </si>
  <si>
    <t xml:space="preserve"> AF/OS nº 965/2019</t>
  </si>
  <si>
    <t xml:space="preserve"> AF/OS nº 1008/2019</t>
  </si>
  <si>
    <t xml:space="preserve"> AF/OS nº 1016/2019</t>
  </si>
  <si>
    <t xml:space="preserve"> AF/OS nº 1168/2019</t>
  </si>
  <si>
    <t xml:space="preserve"> AF/OS nº 1167/2019 Qtde. DT</t>
  </si>
  <si>
    <t xml:space="preserve"> AF/OS nº 1240/2019 Qtde. DT</t>
  </si>
  <si>
    <t xml:space="preserve"> AF/OS nº 1208/2019 Qtde. DT</t>
  </si>
  <si>
    <t xml:space="preserve"> AF/OS nº 1299/2019 Qtde. DT</t>
  </si>
  <si>
    <t xml:space="preserve"> AF/OS nº 1325/2019 Qtde. DT</t>
  </si>
  <si>
    <t xml:space="preserve"> AF/OS nº 1447/2019 Qtde. DT</t>
  </si>
  <si>
    <t xml:space="preserve"> AF/OS nº 1546/2019 Qtde. DT</t>
  </si>
  <si>
    <t xml:space="preserve"> AF/OS nº 1624/2019 Qtde. DT</t>
  </si>
  <si>
    <t xml:space="preserve"> AF/OS nº 1623/2019 Qtde. DT</t>
  </si>
  <si>
    <t xml:space="preserve"> AF/OS nº 1695/2019 Qtde. DT</t>
  </si>
  <si>
    <t xml:space="preserve"> AF/OS nº 1696/2019 Qtde. DT</t>
  </si>
  <si>
    <t>AF 1799/2019</t>
  </si>
  <si>
    <t>AF 1798/2019</t>
  </si>
  <si>
    <t>AF 1763/2019</t>
  </si>
  <si>
    <t>AF 1829/2019</t>
  </si>
  <si>
    <t>AF 2181/2019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</si>
</sst>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</numFmts>
  <fonts count="23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color rgb="FF00000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6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4" fontId="5" fillId="0" borderId="0" xfId="1" applyNumberFormat="1" applyFont="1" applyFill="1" applyAlignment="1">
      <alignment horizontal="center"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vertic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9" fontId="4" fillId="6" borderId="1" xfId="13" applyFont="1" applyFill="1" applyBorder="1" applyAlignment="1">
      <alignment horizontal="center" wrapText="1"/>
    </xf>
    <xf numFmtId="9" fontId="4" fillId="6" borderId="1" xfId="13" applyFont="1" applyFill="1" applyBorder="1" applyAlignment="1" applyProtection="1">
      <alignment horizontal="center" wrapText="1"/>
      <protection locked="0"/>
    </xf>
    <xf numFmtId="0" fontId="17" fillId="9" borderId="6" xfId="1" applyFont="1" applyFill="1" applyBorder="1" applyAlignment="1" applyProtection="1">
      <alignment horizontal="left"/>
      <protection locked="0"/>
    </xf>
    <xf numFmtId="0" fontId="17" fillId="9" borderId="7" xfId="1" applyFont="1" applyFill="1" applyBorder="1" applyAlignment="1" applyProtection="1">
      <alignment horizontal="left"/>
      <protection locked="0"/>
    </xf>
    <xf numFmtId="44" fontId="17" fillId="9" borderId="7" xfId="8" applyFont="1" applyFill="1" applyBorder="1" applyAlignment="1" applyProtection="1">
      <alignment horizontal="left"/>
      <protection locked="0"/>
    </xf>
    <xf numFmtId="0" fontId="17" fillId="9" borderId="13" xfId="1" applyFont="1" applyFill="1" applyBorder="1" applyAlignment="1" applyProtection="1">
      <alignment horizontal="left"/>
      <protection locked="0"/>
    </xf>
    <xf numFmtId="0" fontId="17" fillId="9" borderId="0" xfId="1" applyFont="1" applyFill="1" applyBorder="1" applyAlignment="1" applyProtection="1">
      <alignment horizontal="left"/>
      <protection locked="0"/>
    </xf>
    <xf numFmtId="44" fontId="17" fillId="9" borderId="0" xfId="8" applyFont="1" applyFill="1" applyBorder="1" applyAlignment="1" applyProtection="1">
      <alignment horizontal="left"/>
      <protection locked="0"/>
    </xf>
    <xf numFmtId="2" fontId="17" fillId="9" borderId="14" xfId="1" applyNumberFormat="1" applyFont="1" applyFill="1" applyBorder="1" applyAlignment="1">
      <alignment horizontal="right"/>
    </xf>
    <xf numFmtId="0" fontId="17" fillId="9" borderId="9" xfId="1" applyFont="1" applyFill="1" applyBorder="1" applyAlignment="1" applyProtection="1">
      <alignment horizontal="left"/>
      <protection locked="0"/>
    </xf>
    <xf numFmtId="0" fontId="17" fillId="9" borderId="10" xfId="1" applyFont="1" applyFill="1" applyBorder="1" applyAlignment="1" applyProtection="1">
      <alignment horizontal="left"/>
      <protection locked="0"/>
    </xf>
    <xf numFmtId="44" fontId="17" fillId="9" borderId="10" xfId="8" applyFont="1" applyFill="1" applyBorder="1" applyAlignment="1" applyProtection="1">
      <alignment horizontal="left"/>
      <protection locked="0"/>
    </xf>
    <xf numFmtId="9" fontId="17" fillId="9" borderId="15" xfId="12" applyFont="1" applyFill="1" applyBorder="1" applyAlignment="1" applyProtection="1">
      <alignment horizontal="right"/>
      <protection locked="0"/>
    </xf>
    <xf numFmtId="0" fontId="17" fillId="9" borderId="16" xfId="1" applyFont="1" applyFill="1" applyBorder="1" applyAlignment="1" applyProtection="1">
      <alignment horizontal="left"/>
      <protection locked="0"/>
    </xf>
    <xf numFmtId="0" fontId="17" fillId="9" borderId="17" xfId="1" applyFont="1" applyFill="1" applyBorder="1" applyAlignment="1" applyProtection="1">
      <alignment horizontal="left"/>
      <protection locked="0"/>
    </xf>
    <xf numFmtId="44" fontId="17" fillId="9" borderId="17" xfId="8" applyFont="1" applyFill="1" applyBorder="1" applyAlignment="1" applyProtection="1">
      <alignment horizontal="left"/>
      <protection locked="0"/>
    </xf>
    <xf numFmtId="0" fontId="17" fillId="9" borderId="18" xfId="1" applyFont="1" applyFill="1" applyBorder="1" applyAlignment="1" applyProtection="1">
      <alignment horizontal="left"/>
      <protection locked="0"/>
    </xf>
    <xf numFmtId="44" fontId="1" fillId="8" borderId="1" xfId="20" applyFont="1" applyFill="1" applyBorder="1" applyAlignment="1" applyProtection="1">
      <alignment horizontal="center" vertical="distributed" shrinkToFit="1"/>
      <protection locked="0"/>
    </xf>
    <xf numFmtId="44" fontId="4" fillId="4" borderId="1" xfId="20" applyFont="1" applyFill="1" applyBorder="1" applyAlignment="1">
      <alignment horizontal="center" vertical="center" wrapText="1"/>
    </xf>
    <xf numFmtId="44" fontId="4" fillId="6" borderId="1" xfId="20" applyFont="1" applyFill="1" applyBorder="1" applyAlignment="1" applyProtection="1">
      <alignment horizontal="center" wrapText="1"/>
      <protection locked="0"/>
    </xf>
    <xf numFmtId="44" fontId="4" fillId="2" borderId="1" xfId="20" applyFont="1" applyFill="1" applyBorder="1" applyAlignment="1" applyProtection="1">
      <alignment horizontal="center" vertical="center" wrapText="1"/>
      <protection locked="0"/>
    </xf>
    <xf numFmtId="44" fontId="1" fillId="8" borderId="1" xfId="8" applyFont="1" applyFill="1" applyBorder="1" applyAlignment="1" applyProtection="1">
      <alignment horizontal="center" vertical="distributed" shrinkToFit="1"/>
      <protection locked="0"/>
    </xf>
    <xf numFmtId="44" fontId="4" fillId="0" borderId="0" xfId="8" applyFont="1" applyAlignment="1" applyProtection="1">
      <alignment wrapText="1"/>
      <protection locked="0"/>
    </xf>
    <xf numFmtId="44" fontId="4" fillId="0" borderId="1" xfId="20" applyFont="1" applyFill="1" applyBorder="1" applyAlignment="1" applyProtection="1">
      <alignment horizontal="center" vertical="center" wrapText="1"/>
      <protection locked="0"/>
    </xf>
    <xf numFmtId="44" fontId="17" fillId="9" borderId="12" xfId="20" applyFont="1" applyFill="1" applyBorder="1" applyAlignment="1" applyProtection="1">
      <alignment horizontal="right"/>
      <protection locked="0"/>
    </xf>
    <xf numFmtId="44" fontId="17" fillId="9" borderId="14" xfId="20" applyFont="1" applyFill="1" applyBorder="1" applyAlignment="1" applyProtection="1">
      <alignment horizontal="right"/>
      <protection locked="0"/>
    </xf>
    <xf numFmtId="1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1" fillId="10" borderId="1" xfId="0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vertical="center"/>
    </xf>
    <xf numFmtId="44" fontId="1" fillId="10" borderId="1" xfId="20" applyFont="1" applyFill="1" applyBorder="1" applyAlignment="1" applyProtection="1">
      <alignment horizontal="center" vertical="distributed" shrinkToFit="1"/>
      <protection locked="0"/>
    </xf>
    <xf numFmtId="9" fontId="4" fillId="10" borderId="1" xfId="20" applyNumberFormat="1" applyFont="1" applyFill="1" applyBorder="1" applyAlignment="1">
      <alignment horizontal="center" vertical="center" wrapText="1"/>
    </xf>
    <xf numFmtId="44" fontId="4" fillId="10" borderId="1" xfId="20" applyFont="1" applyFill="1" applyBorder="1" applyAlignment="1" applyProtection="1">
      <alignment horizontal="center" vertical="center" wrapText="1"/>
      <protection locked="0"/>
    </xf>
    <xf numFmtId="44" fontId="4" fillId="10" borderId="1" xfId="13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vertical="center"/>
    </xf>
    <xf numFmtId="0" fontId="4" fillId="10" borderId="0" xfId="1" applyFont="1" applyFill="1" applyAlignment="1">
      <alignment horizontal="center" vertical="center" wrapText="1"/>
    </xf>
    <xf numFmtId="0" fontId="5" fillId="10" borderId="0" xfId="1" applyFont="1" applyFill="1" applyAlignment="1">
      <alignment horizontal="center" vertical="center" wrapText="1"/>
    </xf>
    <xf numFmtId="4" fontId="5" fillId="10" borderId="0" xfId="1" applyNumberFormat="1" applyFont="1" applyFill="1" applyAlignment="1">
      <alignment horizontal="center" vertical="center" wrapText="1"/>
    </xf>
    <xf numFmtId="0" fontId="4" fillId="11" borderId="1" xfId="1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>
      <alignment horizontal="center" vertical="center" wrapText="1"/>
    </xf>
    <xf numFmtId="1" fontId="4" fillId="11" borderId="1" xfId="1" applyNumberFormat="1" applyFont="1" applyFill="1" applyBorder="1" applyAlignment="1" applyProtection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0" borderId="1" xfId="8" applyFont="1" applyFill="1" applyBorder="1" applyAlignment="1" applyProtection="1">
      <alignment horizontal="center" vertical="center" wrapText="1"/>
      <protection locked="0"/>
    </xf>
    <xf numFmtId="14" fontId="20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11" borderId="16" xfId="1" applyNumberFormat="1" applyFont="1" applyFill="1" applyBorder="1" applyAlignment="1">
      <alignment horizontal="center" vertical="center" wrapText="1"/>
    </xf>
    <xf numFmtId="166" fontId="4" fillId="11" borderId="18" xfId="1" applyNumberFormat="1" applyFont="1" applyFill="1" applyBorder="1" applyAlignment="1">
      <alignment horizontal="center" vertical="center" wrapText="1"/>
    </xf>
    <xf numFmtId="0" fontId="15" fillId="10" borderId="12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textRotation="1"/>
    </xf>
    <xf numFmtId="3" fontId="4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textRotation="1"/>
    </xf>
    <xf numFmtId="3" fontId="20" fillId="7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9" borderId="6" xfId="1" applyFont="1" applyFill="1" applyBorder="1" applyAlignment="1">
      <alignment horizontal="left" vertical="center" wrapText="1"/>
    </xf>
    <xf numFmtId="0" fontId="17" fillId="9" borderId="7" xfId="1" applyFont="1" applyFill="1" applyBorder="1" applyAlignment="1">
      <alignment horizontal="left" vertical="center" wrapText="1"/>
    </xf>
    <xf numFmtId="0" fontId="17" fillId="9" borderId="8" xfId="1" applyFont="1" applyFill="1" applyBorder="1" applyAlignment="1">
      <alignment horizontal="left" vertical="center" wrapText="1"/>
    </xf>
    <xf numFmtId="0" fontId="17" fillId="9" borderId="1" xfId="1" applyFont="1" applyFill="1" applyBorder="1" applyAlignment="1">
      <alignment horizontal="left" vertical="center" wrapText="1"/>
    </xf>
    <xf numFmtId="0" fontId="17" fillId="9" borderId="9" xfId="1" applyFont="1" applyFill="1" applyBorder="1" applyAlignment="1">
      <alignment horizontal="left" vertical="center" wrapText="1"/>
    </xf>
    <xf numFmtId="0" fontId="17" fillId="9" borderId="10" xfId="1" applyFont="1" applyFill="1" applyBorder="1" applyAlignment="1">
      <alignment horizontal="left" vertical="center" wrapText="1"/>
    </xf>
    <xf numFmtId="0" fontId="17" fillId="9" borderId="11" xfId="1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3" fontId="4" fillId="7" borderId="12" xfId="1" applyNumberFormat="1" applyFont="1" applyFill="1" applyBorder="1" applyAlignment="1" applyProtection="1">
      <alignment horizontal="center" vertical="center" wrapText="1"/>
      <protection locked="0"/>
    </xf>
    <xf numFmtId="3" fontId="4" fillId="7" borderId="15" xfId="1" applyNumberFormat="1" applyFont="1" applyFill="1" applyBorder="1" applyAlignment="1" applyProtection="1">
      <alignment horizontal="center" vertical="center" wrapText="1"/>
      <protection locked="0"/>
    </xf>
  </cellXfs>
  <cellStyles count="21">
    <cellStyle name="Moeda" xfId="20" builtinId="4"/>
    <cellStyle name="Moeda 2" xfId="5"/>
    <cellStyle name="Moeda 2 2" xfId="9"/>
    <cellStyle name="Moeda 3" xfId="8"/>
    <cellStyle name="Moeda 3 2" xfId="17"/>
    <cellStyle name="Moeda 4" xfId="14"/>
    <cellStyle name="Normal" xfId="0" builtinId="0"/>
    <cellStyle name="Normal 2" xfId="1"/>
    <cellStyle name="Porcentagem" xfId="13" builtinId="5"/>
    <cellStyle name="Porcentagem 2" xfId="12"/>
    <cellStyle name="Separador de milhares 2" xfId="2"/>
    <cellStyle name="Separador de milhares 2 2" xfId="7"/>
    <cellStyle name="Separador de milhares 2 2 2" xfId="11"/>
    <cellStyle name="Separador de milhares 2 2 2 2" xfId="19"/>
    <cellStyle name="Separador de milhares 2 2 3" xfId="16"/>
    <cellStyle name="Separador de milhares 2 3" xfId="6"/>
    <cellStyle name="Separador de milhares 2 3 2" xfId="10"/>
    <cellStyle name="Separador de milhares 2 3 2 2" xfId="18"/>
    <cellStyle name="Separador de milhares 2 3 3" xfId="15"/>
    <cellStyle name="Separador de milhares 3" xfId="3"/>
    <cellStyle name="Título 5" xfId="4"/>
  </cellStyles>
  <dxfs count="87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zoomScale="84" zoomScaleNormal="84" workbookViewId="0">
      <selection activeCell="H20" sqref="H20"/>
    </sheetView>
  </sheetViews>
  <sheetFormatPr defaultColWidth="9.7109375" defaultRowHeight="15" x14ac:dyDescent="0.25"/>
  <cols>
    <col min="1" max="1" width="18.42578125" style="1" customWidth="1"/>
    <col min="2" max="2" width="7.42578125" style="2" customWidth="1"/>
    <col min="3" max="3" width="6" style="19" bestFit="1" customWidth="1"/>
    <col min="4" max="4" width="26.5703125" style="2" customWidth="1"/>
    <col min="5" max="5" width="15.140625" style="22" customWidth="1"/>
    <col min="6" max="6" width="14.7109375" style="3" bestFit="1" customWidth="1"/>
    <col min="7" max="7" width="16.85546875" style="20" customWidth="1"/>
    <col min="8" max="8" width="16.140625" style="17" bestFit="1" customWidth="1"/>
    <col min="9" max="9" width="12.42578125" style="17" customWidth="1"/>
    <col min="10" max="16384" width="9.7109375" style="17"/>
  </cols>
  <sheetData>
    <row r="1" spans="1:8" ht="51.75" customHeight="1" x14ac:dyDescent="0.25">
      <c r="A1" s="73" t="s">
        <v>3</v>
      </c>
      <c r="B1" s="73" t="s">
        <v>1</v>
      </c>
      <c r="C1" s="74" t="s">
        <v>4</v>
      </c>
      <c r="D1" s="74" t="s">
        <v>5</v>
      </c>
      <c r="E1" s="75" t="s">
        <v>27</v>
      </c>
      <c r="F1" s="79" t="s">
        <v>64</v>
      </c>
      <c r="G1" s="80"/>
      <c r="H1" s="73" t="s">
        <v>65</v>
      </c>
    </row>
    <row r="2" spans="1:8" ht="57" customHeight="1" x14ac:dyDescent="0.25">
      <c r="A2" s="81" t="s">
        <v>46</v>
      </c>
      <c r="B2" s="83">
        <v>1</v>
      </c>
      <c r="C2" s="62">
        <v>1</v>
      </c>
      <c r="D2" s="63" t="s">
        <v>38</v>
      </c>
      <c r="E2" s="64">
        <f>REITORIA!F4+PROEX!F4++ESAG!F4+CEART!F4+FAED!F4+CEAD!F4+CEFID!F4+CERES!F4+CESFI!F4+CCT!F4+CEO!F4+CAV!F4+CEAVI!F4+CEPLAN!F4</f>
        <v>463550</v>
      </c>
      <c r="F2" s="65">
        <v>0.25</v>
      </c>
      <c r="G2" s="66">
        <f>E2*F2</f>
        <v>115887.5</v>
      </c>
      <c r="H2" s="67">
        <f>G2+E2</f>
        <v>579437.5</v>
      </c>
    </row>
    <row r="3" spans="1:8" ht="57.75" customHeight="1" x14ac:dyDescent="0.25">
      <c r="A3" s="82"/>
      <c r="B3" s="83"/>
      <c r="C3" s="68">
        <v>2</v>
      </c>
      <c r="D3" s="69" t="s">
        <v>39</v>
      </c>
      <c r="E3" s="64">
        <f>REITORIA!F5+PROEX!F5+ESAG!F5+CEART!F5+FAED!F5+CEAD!F5+CEFID!F5+CERES!F5+CESFI!F5+CCT!F5+CEO!F5+CAV!F5+CEAVI!F5+CEPLAN!F5</f>
        <v>139500</v>
      </c>
      <c r="F3" s="65">
        <v>0.25</v>
      </c>
      <c r="G3" s="66">
        <f>E3*F3</f>
        <v>34875</v>
      </c>
      <c r="H3" s="67">
        <f t="shared" ref="H3:H4" si="0">G3+E3</f>
        <v>174375</v>
      </c>
    </row>
    <row r="4" spans="1:8" s="61" customFormat="1" ht="54.75" customHeight="1" x14ac:dyDescent="0.2">
      <c r="A4" s="70"/>
      <c r="B4" s="71"/>
      <c r="C4" s="72"/>
      <c r="D4" s="71"/>
      <c r="E4" s="66">
        <f>SUM(E2:E3)</f>
        <v>603050</v>
      </c>
      <c r="F4" s="66"/>
      <c r="G4" s="66">
        <f>SUM(G2:G3)</f>
        <v>150762.5</v>
      </c>
      <c r="H4" s="67">
        <f t="shared" si="0"/>
        <v>753812.5</v>
      </c>
    </row>
    <row r="10" spans="1:8" x14ac:dyDescent="0.25">
      <c r="H10" s="17">
        <v>110512.5</v>
      </c>
    </row>
    <row r="11" spans="1:8" x14ac:dyDescent="0.25">
      <c r="F11" s="3" t="s">
        <v>67</v>
      </c>
      <c r="G11" s="20" t="s">
        <v>68</v>
      </c>
      <c r="H11" s="17">
        <v>5000</v>
      </c>
    </row>
    <row r="12" spans="1:8" x14ac:dyDescent="0.25">
      <c r="F12" s="3" t="s">
        <v>69</v>
      </c>
      <c r="G12" s="20" t="s">
        <v>70</v>
      </c>
      <c r="H12" s="17">
        <v>16500</v>
      </c>
    </row>
    <row r="16" spans="1:8" x14ac:dyDescent="0.25">
      <c r="H16" s="17">
        <v>31887.5</v>
      </c>
    </row>
    <row r="17" spans="6:8" x14ac:dyDescent="0.25">
      <c r="F17" s="3" t="s">
        <v>69</v>
      </c>
      <c r="G17" s="20" t="s">
        <v>71</v>
      </c>
      <c r="H17" s="17">
        <v>4750</v>
      </c>
    </row>
    <row r="18" spans="6:8" x14ac:dyDescent="0.25">
      <c r="F18" s="3" t="s">
        <v>72</v>
      </c>
      <c r="G18" s="20" t="s">
        <v>71</v>
      </c>
      <c r="H18" s="17">
        <v>3000</v>
      </c>
    </row>
    <row r="19" spans="6:8" x14ac:dyDescent="0.25">
      <c r="F19" s="3" t="s">
        <v>73</v>
      </c>
      <c r="G19" s="20" t="s">
        <v>71</v>
      </c>
      <c r="H19" s="17">
        <v>1200</v>
      </c>
    </row>
    <row r="20" spans="6:8" x14ac:dyDescent="0.25">
      <c r="F20" s="3" t="s">
        <v>73</v>
      </c>
      <c r="G20" s="20" t="s">
        <v>71</v>
      </c>
      <c r="H20" s="17">
        <v>3000</v>
      </c>
    </row>
    <row r="21" spans="6:8" x14ac:dyDescent="0.25">
      <c r="H21" s="17">
        <f>H16-(H17+H18+H19+H20)</f>
        <v>19937.5</v>
      </c>
    </row>
  </sheetData>
  <mergeCells count="3">
    <mergeCell ref="F1:G1"/>
    <mergeCell ref="A2:A3"/>
    <mergeCell ref="B2:B3"/>
  </mergeCells>
  <pageMargins left="0.74791666666666667" right="0.74791666666666667" top="0.98402777777777772" bottom="0.98402777777777772" header="0.51180555555555551" footer="0.51180555555555551"/>
  <pageSetup paperSize="9" scale="83" firstPageNumber="0" fitToHeight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"/>
  <sheetViews>
    <sheetView zoomScale="84" zoomScaleNormal="84" workbookViewId="0">
      <selection activeCell="I1" sqref="I1:J5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85" t="s">
        <v>45</v>
      </c>
      <c r="B1" s="85"/>
      <c r="C1" s="85"/>
      <c r="D1" s="85" t="s">
        <v>37</v>
      </c>
      <c r="E1" s="85"/>
      <c r="F1" s="85" t="s">
        <v>44</v>
      </c>
      <c r="G1" s="85"/>
      <c r="H1" s="85"/>
      <c r="I1" s="84" t="s">
        <v>114</v>
      </c>
      <c r="J1" s="88" t="s">
        <v>115</v>
      </c>
      <c r="K1" s="84" t="s">
        <v>43</v>
      </c>
      <c r="L1" s="84" t="s">
        <v>43</v>
      </c>
      <c r="M1" s="84" t="s">
        <v>43</v>
      </c>
      <c r="N1" s="84" t="s">
        <v>43</v>
      </c>
      <c r="O1" s="84" t="s">
        <v>43</v>
      </c>
      <c r="P1" s="84" t="s">
        <v>43</v>
      </c>
      <c r="Q1" s="84" t="s">
        <v>43</v>
      </c>
      <c r="R1" s="84" t="s">
        <v>43</v>
      </c>
      <c r="S1" s="84" t="s">
        <v>43</v>
      </c>
      <c r="T1" s="84" t="s">
        <v>43</v>
      </c>
    </row>
    <row r="2" spans="1:20" ht="21.75" customHeight="1" x14ac:dyDescent="0.25">
      <c r="A2" s="85" t="s">
        <v>56</v>
      </c>
      <c r="B2" s="85"/>
      <c r="C2" s="85"/>
      <c r="D2" s="85"/>
      <c r="E2" s="85"/>
      <c r="F2" s="85"/>
      <c r="G2" s="85"/>
      <c r="H2" s="85"/>
      <c r="I2" s="84"/>
      <c r="J2" s="88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s="18" customFormat="1" ht="45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62</v>
      </c>
      <c r="F3" s="28" t="s">
        <v>27</v>
      </c>
      <c r="G3" s="29" t="s">
        <v>0</v>
      </c>
      <c r="H3" s="25" t="s">
        <v>6</v>
      </c>
      <c r="I3" s="76">
        <v>43585</v>
      </c>
      <c r="J3" s="78">
        <v>43686</v>
      </c>
      <c r="K3" s="30" t="s">
        <v>2</v>
      </c>
      <c r="L3" s="30" t="s">
        <v>2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86" t="s">
        <v>46</v>
      </c>
      <c r="B4" s="87">
        <v>1</v>
      </c>
      <c r="C4" s="31">
        <v>1</v>
      </c>
      <c r="D4" s="24" t="s">
        <v>35</v>
      </c>
      <c r="E4" s="60">
        <v>3.6499999999999998E-2</v>
      </c>
      <c r="F4" s="55">
        <f>25000-7000</f>
        <v>18000</v>
      </c>
      <c r="G4" s="52">
        <f>F4-(SUM(I4:T4))</f>
        <v>14000</v>
      </c>
      <c r="H4" s="32" t="str">
        <f>IF(G4&lt;0,"ATENÇÃO","OK")</f>
        <v>OK</v>
      </c>
      <c r="I4" s="77">
        <v>2500</v>
      </c>
      <c r="J4" s="77">
        <v>1500</v>
      </c>
      <c r="K4" s="57">
        <v>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86"/>
      <c r="B5" s="87"/>
      <c r="C5" s="33">
        <v>2</v>
      </c>
      <c r="D5" s="23" t="s">
        <v>36</v>
      </c>
      <c r="E5" s="60">
        <v>2.5000000000000001E-2</v>
      </c>
      <c r="F5" s="55">
        <f>10000-3300</f>
        <v>6700</v>
      </c>
      <c r="G5" s="52">
        <f>F5-(SUM(I5:T5))</f>
        <v>6000</v>
      </c>
      <c r="H5" s="32" t="str">
        <f t="shared" ref="H5" si="0">IF(G5&lt;0,"ATENÇÃO","OK")</f>
        <v>OK</v>
      </c>
      <c r="I5" s="77">
        <v>400</v>
      </c>
      <c r="J5" s="77">
        <v>300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S1:S2"/>
    <mergeCell ref="T1:T2"/>
    <mergeCell ref="N1:N2"/>
    <mergeCell ref="O1:O2"/>
    <mergeCell ref="P1:P2"/>
    <mergeCell ref="Q1:Q2"/>
    <mergeCell ref="J1:J2"/>
    <mergeCell ref="K1:K2"/>
    <mergeCell ref="A4:A5"/>
    <mergeCell ref="B4:B5"/>
    <mergeCell ref="R1:R2"/>
    <mergeCell ref="A2:H2"/>
    <mergeCell ref="L1:L2"/>
    <mergeCell ref="M1:M2"/>
    <mergeCell ref="A1:C1"/>
    <mergeCell ref="D1:E1"/>
    <mergeCell ref="F1:H1"/>
    <mergeCell ref="I1:I2"/>
  </mergeCells>
  <conditionalFormatting sqref="K4:T5">
    <cfRule type="cellIs" dxfId="38" priority="4" stopIfTrue="1" operator="greaterThan">
      <formula>0</formula>
    </cfRule>
    <cfRule type="cellIs" dxfId="37" priority="5" stopIfTrue="1" operator="greaterThan">
      <formula>0</formula>
    </cfRule>
    <cfRule type="cellIs" dxfId="36" priority="6" stopIfTrue="1" operator="greaterThan">
      <formula>0</formula>
    </cfRule>
  </conditionalFormatting>
  <conditionalFormatting sqref="I4:J5">
    <cfRule type="cellIs" dxfId="35" priority="1" stopIfTrue="1" operator="greaterThan">
      <formula>0</formula>
    </cfRule>
    <cfRule type="cellIs" dxfId="34" priority="2" stopIfTrue="1" operator="greaterThan">
      <formula>0</formula>
    </cfRule>
    <cfRule type="cellIs" dxfId="3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"/>
  <sheetViews>
    <sheetView zoomScale="84" zoomScaleNormal="84" workbookViewId="0">
      <selection activeCell="I1" sqref="I1:L5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85" t="s">
        <v>45</v>
      </c>
      <c r="B1" s="85"/>
      <c r="C1" s="85"/>
      <c r="D1" s="85" t="s">
        <v>37</v>
      </c>
      <c r="E1" s="85"/>
      <c r="F1" s="85" t="s">
        <v>44</v>
      </c>
      <c r="G1" s="85"/>
      <c r="H1" s="85"/>
      <c r="I1" s="84" t="s">
        <v>128</v>
      </c>
      <c r="J1" s="84" t="s">
        <v>129</v>
      </c>
      <c r="K1" s="84" t="s">
        <v>130</v>
      </c>
      <c r="L1" s="84" t="s">
        <v>131</v>
      </c>
      <c r="M1" s="84" t="s">
        <v>43</v>
      </c>
      <c r="N1" s="84" t="s">
        <v>43</v>
      </c>
      <c r="O1" s="84" t="s">
        <v>43</v>
      </c>
      <c r="P1" s="84" t="s">
        <v>43</v>
      </c>
      <c r="Q1" s="84" t="s">
        <v>43</v>
      </c>
      <c r="R1" s="84" t="s">
        <v>43</v>
      </c>
      <c r="S1" s="84" t="s">
        <v>43</v>
      </c>
      <c r="T1" s="84" t="s">
        <v>43</v>
      </c>
    </row>
    <row r="2" spans="1:20" ht="21.75" customHeight="1" x14ac:dyDescent="0.25">
      <c r="A2" s="85" t="s">
        <v>57</v>
      </c>
      <c r="B2" s="85"/>
      <c r="C2" s="85"/>
      <c r="D2" s="85"/>
      <c r="E2" s="85"/>
      <c r="F2" s="85"/>
      <c r="G2" s="85"/>
      <c r="H2" s="85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s="18" customFormat="1" ht="45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62</v>
      </c>
      <c r="F3" s="28" t="s">
        <v>27</v>
      </c>
      <c r="G3" s="29" t="s">
        <v>0</v>
      </c>
      <c r="H3" s="25" t="s">
        <v>6</v>
      </c>
      <c r="I3" s="76">
        <v>43616</v>
      </c>
      <c r="J3" s="76">
        <v>43675</v>
      </c>
      <c r="K3" s="76">
        <v>43698</v>
      </c>
      <c r="L3" s="76">
        <v>43760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86" t="s">
        <v>46</v>
      </c>
      <c r="B4" s="87">
        <v>1</v>
      </c>
      <c r="C4" s="31">
        <v>1</v>
      </c>
      <c r="D4" s="24" t="s">
        <v>35</v>
      </c>
      <c r="E4" s="60">
        <v>3.6499999999999998E-2</v>
      </c>
      <c r="F4" s="55">
        <v>60000</v>
      </c>
      <c r="G4" s="52">
        <f>F4-(SUM(I4:T4))</f>
        <v>15000</v>
      </c>
      <c r="H4" s="32" t="str">
        <f>IF(G4&lt;0,"ATENÇÃO","OK")</f>
        <v>OK</v>
      </c>
      <c r="I4" s="77">
        <v>10000</v>
      </c>
      <c r="J4" s="77">
        <v>20000</v>
      </c>
      <c r="K4" s="77">
        <v>0</v>
      </c>
      <c r="L4" s="77">
        <v>15000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86"/>
      <c r="B5" s="87"/>
      <c r="C5" s="33">
        <v>2</v>
      </c>
      <c r="D5" s="23" t="s">
        <v>36</v>
      </c>
      <c r="E5" s="60">
        <v>2.5000000000000001E-2</v>
      </c>
      <c r="F5" s="55">
        <f>15000+6000</f>
        <v>21000</v>
      </c>
      <c r="G5" s="52">
        <f>F5-(SUM(I5:T5))</f>
        <v>11000</v>
      </c>
      <c r="H5" s="32" t="str">
        <f t="shared" ref="H5" si="0">IF(G5&lt;0,"ATENÇÃO","OK")</f>
        <v>OK</v>
      </c>
      <c r="I5" s="77"/>
      <c r="J5" s="77">
        <v>0</v>
      </c>
      <c r="K5" s="77">
        <v>10000</v>
      </c>
      <c r="L5" s="7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S1:S2"/>
    <mergeCell ref="T1:T2"/>
    <mergeCell ref="N1:N2"/>
    <mergeCell ref="O1:O2"/>
    <mergeCell ref="P1:P2"/>
    <mergeCell ref="Q1:Q2"/>
    <mergeCell ref="J1:J2"/>
    <mergeCell ref="K1:K2"/>
    <mergeCell ref="A4:A5"/>
    <mergeCell ref="B4:B5"/>
    <mergeCell ref="R1:R2"/>
    <mergeCell ref="A2:H2"/>
    <mergeCell ref="L1:L2"/>
    <mergeCell ref="M1:M2"/>
    <mergeCell ref="A1:C1"/>
    <mergeCell ref="D1:E1"/>
    <mergeCell ref="F1:H1"/>
    <mergeCell ref="I1:I2"/>
  </mergeCells>
  <conditionalFormatting sqref="M4:T5">
    <cfRule type="cellIs" dxfId="32" priority="4" stopIfTrue="1" operator="greaterThan">
      <formula>0</formula>
    </cfRule>
    <cfRule type="cellIs" dxfId="31" priority="5" stopIfTrue="1" operator="greaterThan">
      <formula>0</formula>
    </cfRule>
    <cfRule type="cellIs" dxfId="30" priority="6" stopIfTrue="1" operator="greaterThan">
      <formula>0</formula>
    </cfRule>
  </conditionalFormatting>
  <conditionalFormatting sqref="I4:L5">
    <cfRule type="cellIs" dxfId="29" priority="1" stopIfTrue="1" operator="greaterThan">
      <formula>0</formula>
    </cfRule>
    <cfRule type="cellIs" dxfId="28" priority="2" stopIfTrue="1" operator="greaterThan">
      <formula>0</formula>
    </cfRule>
    <cfRule type="cellIs" dxfId="27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"/>
  <sheetViews>
    <sheetView zoomScale="84" zoomScaleNormal="84" workbookViewId="0">
      <selection activeCell="I1" sqref="I1:O5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85" t="s">
        <v>45</v>
      </c>
      <c r="B1" s="85"/>
      <c r="C1" s="85"/>
      <c r="D1" s="85" t="s">
        <v>37</v>
      </c>
      <c r="E1" s="85"/>
      <c r="F1" s="85" t="s">
        <v>44</v>
      </c>
      <c r="G1" s="85"/>
      <c r="H1" s="85"/>
      <c r="I1" s="84" t="s">
        <v>84</v>
      </c>
      <c r="J1" s="84" t="s">
        <v>85</v>
      </c>
      <c r="K1" s="84" t="s">
        <v>86</v>
      </c>
      <c r="L1" s="84" t="s">
        <v>87</v>
      </c>
      <c r="M1" s="84" t="s">
        <v>88</v>
      </c>
      <c r="N1" s="84" t="s">
        <v>89</v>
      </c>
      <c r="O1" s="84" t="s">
        <v>90</v>
      </c>
      <c r="P1" s="84" t="s">
        <v>43</v>
      </c>
      <c r="Q1" s="84" t="s">
        <v>43</v>
      </c>
      <c r="R1" s="84" t="s">
        <v>43</v>
      </c>
      <c r="S1" s="84" t="s">
        <v>43</v>
      </c>
      <c r="T1" s="84" t="s">
        <v>43</v>
      </c>
    </row>
    <row r="2" spans="1:20" ht="21.75" customHeight="1" x14ac:dyDescent="0.25">
      <c r="A2" s="85" t="s">
        <v>58</v>
      </c>
      <c r="B2" s="85"/>
      <c r="C2" s="85"/>
      <c r="D2" s="85"/>
      <c r="E2" s="85"/>
      <c r="F2" s="85"/>
      <c r="G2" s="85"/>
      <c r="H2" s="85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s="18" customFormat="1" ht="45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62</v>
      </c>
      <c r="F3" s="28" t="s">
        <v>27</v>
      </c>
      <c r="G3" s="29" t="s">
        <v>0</v>
      </c>
      <c r="H3" s="25" t="s">
        <v>6</v>
      </c>
      <c r="I3" s="76">
        <v>43600</v>
      </c>
      <c r="J3" s="76">
        <v>43651</v>
      </c>
      <c r="K3" s="76">
        <v>43662</v>
      </c>
      <c r="L3" s="76">
        <v>43662</v>
      </c>
      <c r="M3" s="76">
        <v>43725</v>
      </c>
      <c r="N3" s="76">
        <v>43755</v>
      </c>
      <c r="O3" s="76">
        <v>43761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86" t="s">
        <v>46</v>
      </c>
      <c r="B4" s="87">
        <v>1</v>
      </c>
      <c r="C4" s="31">
        <v>1</v>
      </c>
      <c r="D4" s="24" t="s">
        <v>35</v>
      </c>
      <c r="E4" s="60">
        <v>3.6499999999999998E-2</v>
      </c>
      <c r="F4" s="55">
        <f>25000+8550</f>
        <v>33550</v>
      </c>
      <c r="G4" s="52">
        <f>F4-(SUM(I4:T4))</f>
        <v>12435.82</v>
      </c>
      <c r="H4" s="32" t="str">
        <f>IF(G4&lt;0,"ATENÇÃO","OK")</f>
        <v>OK</v>
      </c>
      <c r="I4" s="77">
        <v>2000</v>
      </c>
      <c r="J4" s="77">
        <v>1653.44</v>
      </c>
      <c r="K4" s="77">
        <v>0</v>
      </c>
      <c r="L4" s="77">
        <v>460.74</v>
      </c>
      <c r="M4" s="77">
        <v>7000</v>
      </c>
      <c r="N4" s="77">
        <v>7000</v>
      </c>
      <c r="O4" s="77">
        <v>3000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86"/>
      <c r="B5" s="87"/>
      <c r="C5" s="33">
        <v>2</v>
      </c>
      <c r="D5" s="23" t="s">
        <v>36</v>
      </c>
      <c r="E5" s="60">
        <v>2.5000000000000001E-2</v>
      </c>
      <c r="F5" s="55">
        <f>5000+5000</f>
        <v>10000</v>
      </c>
      <c r="G5" s="52">
        <f>F5-(SUM(I5:T5))</f>
        <v>5733.25</v>
      </c>
      <c r="H5" s="32" t="str">
        <f t="shared" ref="H5" si="0">IF(G5&lt;0,"ATENÇÃO","OK")</f>
        <v>OK</v>
      </c>
      <c r="I5" s="77">
        <v>300</v>
      </c>
      <c r="J5" s="77">
        <v>0</v>
      </c>
      <c r="K5" s="77">
        <v>3966.75</v>
      </c>
      <c r="L5" s="77"/>
      <c r="M5" s="77">
        <v>0</v>
      </c>
      <c r="N5" s="77">
        <v>0</v>
      </c>
      <c r="O5" s="7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T1:T2"/>
    <mergeCell ref="N1:N2"/>
    <mergeCell ref="O1:O2"/>
    <mergeCell ref="P1:P2"/>
    <mergeCell ref="Q1:Q2"/>
    <mergeCell ref="A4:A5"/>
    <mergeCell ref="B4:B5"/>
    <mergeCell ref="R1:R2"/>
    <mergeCell ref="A2:H2"/>
    <mergeCell ref="S1:S2"/>
    <mergeCell ref="L1:L2"/>
    <mergeCell ref="M1:M2"/>
    <mergeCell ref="A1:C1"/>
    <mergeCell ref="D1:E1"/>
    <mergeCell ref="F1:H1"/>
    <mergeCell ref="I1:I2"/>
    <mergeCell ref="J1:J2"/>
    <mergeCell ref="K1:K2"/>
  </mergeCells>
  <conditionalFormatting sqref="P4:T5">
    <cfRule type="cellIs" dxfId="26" priority="4" stopIfTrue="1" operator="greaterThan">
      <formula>0</formula>
    </cfRule>
    <cfRule type="cellIs" dxfId="25" priority="5" stopIfTrue="1" operator="greaterThan">
      <formula>0</formula>
    </cfRule>
    <cfRule type="cellIs" dxfId="24" priority="6" stopIfTrue="1" operator="greaterThan">
      <formula>0</formula>
    </cfRule>
  </conditionalFormatting>
  <conditionalFormatting sqref="I4:O5">
    <cfRule type="cellIs" dxfId="23" priority="1" stopIfTrue="1" operator="greaterThan">
      <formula>0</formula>
    </cfRule>
    <cfRule type="cellIs" dxfId="22" priority="2" stopIfTrue="1" operator="greaterThan">
      <formula>0</formula>
    </cfRule>
    <cfRule type="cellIs" dxfId="21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"/>
  <sheetViews>
    <sheetView zoomScale="80" zoomScaleNormal="80" workbookViewId="0">
      <selection activeCell="I1" sqref="I1:M5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1" width="12.7109375" style="21" bestFit="1" customWidth="1"/>
    <col min="12" max="12" width="16" style="21" bestFit="1" customWidth="1"/>
    <col min="13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85" t="s">
        <v>45</v>
      </c>
      <c r="B1" s="85"/>
      <c r="C1" s="85"/>
      <c r="D1" s="85" t="s">
        <v>37</v>
      </c>
      <c r="E1" s="85"/>
      <c r="F1" s="85" t="s">
        <v>44</v>
      </c>
      <c r="G1" s="85"/>
      <c r="H1" s="85"/>
      <c r="I1" s="84" t="s">
        <v>99</v>
      </c>
      <c r="J1" s="84" t="s">
        <v>43</v>
      </c>
      <c r="K1" s="84" t="s">
        <v>100</v>
      </c>
      <c r="L1" s="84" t="s">
        <v>101</v>
      </c>
      <c r="M1" s="84" t="s">
        <v>102</v>
      </c>
      <c r="N1" s="84" t="s">
        <v>43</v>
      </c>
      <c r="O1" s="84" t="s">
        <v>43</v>
      </c>
      <c r="P1" s="84" t="s">
        <v>43</v>
      </c>
      <c r="Q1" s="84" t="s">
        <v>43</v>
      </c>
      <c r="R1" s="84" t="s">
        <v>43</v>
      </c>
      <c r="S1" s="84" t="s">
        <v>43</v>
      </c>
      <c r="T1" s="84" t="s">
        <v>43</v>
      </c>
    </row>
    <row r="2" spans="1:20" ht="21.75" customHeight="1" x14ac:dyDescent="0.25">
      <c r="A2" s="85" t="s">
        <v>59</v>
      </c>
      <c r="B2" s="85"/>
      <c r="C2" s="85"/>
      <c r="D2" s="85"/>
      <c r="E2" s="85"/>
      <c r="F2" s="85"/>
      <c r="G2" s="85"/>
      <c r="H2" s="85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s="18" customFormat="1" ht="45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62</v>
      </c>
      <c r="F3" s="28" t="s">
        <v>27</v>
      </c>
      <c r="G3" s="29" t="s">
        <v>0</v>
      </c>
      <c r="H3" s="25" t="s">
        <v>6</v>
      </c>
      <c r="I3" s="76">
        <v>43592</v>
      </c>
      <c r="J3" s="30" t="s">
        <v>103</v>
      </c>
      <c r="K3" s="76">
        <v>43748</v>
      </c>
      <c r="L3" s="76">
        <v>43749</v>
      </c>
      <c r="M3" s="76">
        <v>43754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86" t="s">
        <v>46</v>
      </c>
      <c r="B4" s="87">
        <v>1</v>
      </c>
      <c r="C4" s="31">
        <v>1</v>
      </c>
      <c r="D4" s="24" t="s">
        <v>35</v>
      </c>
      <c r="E4" s="60">
        <v>3.6499999999999998E-2</v>
      </c>
      <c r="F4" s="55">
        <f>20000-3000+5000</f>
        <v>22000</v>
      </c>
      <c r="G4" s="52">
        <f>F4-(SUM(I4:T4))</f>
        <v>5200</v>
      </c>
      <c r="H4" s="32" t="str">
        <f>IF(G4&lt;0,"ATENÇÃO","OK")</f>
        <v>OK</v>
      </c>
      <c r="I4" s="77">
        <v>10000</v>
      </c>
      <c r="J4" s="77">
        <v>3000</v>
      </c>
      <c r="K4" s="77">
        <v>1300</v>
      </c>
      <c r="L4" s="77">
        <v>2500</v>
      </c>
      <c r="M4" s="7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86"/>
      <c r="B5" s="87"/>
      <c r="C5" s="33">
        <v>2</v>
      </c>
      <c r="D5" s="23" t="s">
        <v>36</v>
      </c>
      <c r="E5" s="60">
        <v>2.5000000000000001E-2</v>
      </c>
      <c r="F5" s="55">
        <v>4000</v>
      </c>
      <c r="G5" s="52">
        <f>F5-(SUM(I5:T5))</f>
        <v>3820</v>
      </c>
      <c r="H5" s="32" t="str">
        <f t="shared" ref="H5" si="0">IF(G5&lt;0,"ATENÇÃO","OK")</f>
        <v>OK</v>
      </c>
      <c r="I5" s="77">
        <v>0</v>
      </c>
      <c r="J5" s="77">
        <v>0</v>
      </c>
      <c r="K5" s="77">
        <v>0</v>
      </c>
      <c r="L5" s="77">
        <v>0</v>
      </c>
      <c r="M5" s="77">
        <v>180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A4:A5"/>
    <mergeCell ref="B4:B5"/>
    <mergeCell ref="A2:H2"/>
    <mergeCell ref="L1:L2"/>
    <mergeCell ref="M1:M2"/>
    <mergeCell ref="A1:C1"/>
    <mergeCell ref="D1:E1"/>
    <mergeCell ref="F1:H1"/>
    <mergeCell ref="I1:I2"/>
    <mergeCell ref="J1:J2"/>
    <mergeCell ref="K1:K2"/>
    <mergeCell ref="R1:R2"/>
    <mergeCell ref="S1:S2"/>
    <mergeCell ref="T1:T2"/>
    <mergeCell ref="N1:N2"/>
    <mergeCell ref="O1:O2"/>
    <mergeCell ref="P1:P2"/>
    <mergeCell ref="Q1:Q2"/>
  </mergeCells>
  <conditionalFormatting sqref="N4:T5">
    <cfRule type="cellIs" dxfId="20" priority="4" stopIfTrue="1" operator="greaterThan">
      <formula>0</formula>
    </cfRule>
    <cfRule type="cellIs" dxfId="19" priority="5" stopIfTrue="1" operator="greaterThan">
      <formula>0</formula>
    </cfRule>
    <cfRule type="cellIs" dxfId="18" priority="6" stopIfTrue="1" operator="greaterThan">
      <formula>0</formula>
    </cfRule>
  </conditionalFormatting>
  <conditionalFormatting sqref="I4:M5">
    <cfRule type="cellIs" dxfId="17" priority="1" stopIfTrue="1" operator="greaterThan">
      <formula>0</formula>
    </cfRule>
    <cfRule type="cellIs" dxfId="16" priority="2" stopIfTrue="1" operator="greaterThan">
      <formula>0</formula>
    </cfRule>
    <cfRule type="cellIs" dxfId="15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zoomScale="84" zoomScaleNormal="84" workbookViewId="0">
      <selection activeCell="I1" sqref="I1:P5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85" t="s">
        <v>45</v>
      </c>
      <c r="B1" s="85"/>
      <c r="C1" s="85"/>
      <c r="D1" s="85" t="s">
        <v>37</v>
      </c>
      <c r="E1" s="85"/>
      <c r="F1" s="85" t="s">
        <v>44</v>
      </c>
      <c r="G1" s="85"/>
      <c r="H1" s="85"/>
      <c r="I1" s="89" t="s">
        <v>91</v>
      </c>
      <c r="J1" s="89" t="s">
        <v>92</v>
      </c>
      <c r="K1" s="89" t="s">
        <v>93</v>
      </c>
      <c r="L1" s="89" t="s">
        <v>94</v>
      </c>
      <c r="M1" s="89" t="s">
        <v>95</v>
      </c>
      <c r="N1" s="89" t="s">
        <v>96</v>
      </c>
      <c r="O1" s="89" t="s">
        <v>97</v>
      </c>
      <c r="P1" s="89" t="s">
        <v>98</v>
      </c>
      <c r="Q1" s="84" t="s">
        <v>43</v>
      </c>
      <c r="R1" s="84" t="s">
        <v>43</v>
      </c>
      <c r="S1" s="84" t="s">
        <v>43</v>
      </c>
      <c r="T1" s="84" t="s">
        <v>43</v>
      </c>
    </row>
    <row r="2" spans="1:20" ht="21.75" customHeight="1" x14ac:dyDescent="0.25">
      <c r="A2" s="85" t="s">
        <v>60</v>
      </c>
      <c r="B2" s="85"/>
      <c r="C2" s="85"/>
      <c r="D2" s="85"/>
      <c r="E2" s="85"/>
      <c r="F2" s="85"/>
      <c r="G2" s="85"/>
      <c r="H2" s="85"/>
      <c r="I2" s="89"/>
      <c r="J2" s="89"/>
      <c r="K2" s="89"/>
      <c r="L2" s="89"/>
      <c r="M2" s="89"/>
      <c r="N2" s="89"/>
      <c r="O2" s="89"/>
      <c r="P2" s="89"/>
      <c r="Q2" s="84"/>
      <c r="R2" s="84"/>
      <c r="S2" s="84"/>
      <c r="T2" s="84"/>
    </row>
    <row r="3" spans="1:20" s="18" customFormat="1" ht="45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62</v>
      </c>
      <c r="F3" s="28" t="s">
        <v>27</v>
      </c>
      <c r="G3" s="29" t="s">
        <v>0</v>
      </c>
      <c r="H3" s="25" t="s">
        <v>6</v>
      </c>
      <c r="I3" s="76">
        <v>43627</v>
      </c>
      <c r="J3" s="76">
        <v>43684</v>
      </c>
      <c r="K3" s="76">
        <v>43689</v>
      </c>
      <c r="L3" s="76">
        <v>43711</v>
      </c>
      <c r="M3" s="76">
        <v>43720</v>
      </c>
      <c r="N3" s="76">
        <v>43742</v>
      </c>
      <c r="O3" s="76">
        <v>43742</v>
      </c>
      <c r="P3" s="76">
        <v>43748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86" t="s">
        <v>46</v>
      </c>
      <c r="B4" s="87">
        <v>1</v>
      </c>
      <c r="C4" s="31">
        <v>1</v>
      </c>
      <c r="D4" s="24" t="s">
        <v>35</v>
      </c>
      <c r="E4" s="60">
        <v>3.6499999999999998E-2</v>
      </c>
      <c r="F4" s="55">
        <v>4000</v>
      </c>
      <c r="G4" s="52">
        <f>F4-(SUM(I4:T4))</f>
        <v>2067.2399999999998</v>
      </c>
      <c r="H4" s="32" t="str">
        <f>IF(G4&lt;0,"ATENÇÃO","OK")</f>
        <v>OK</v>
      </c>
      <c r="I4" s="77">
        <v>255.63</v>
      </c>
      <c r="J4" s="77"/>
      <c r="K4" s="77">
        <v>217.67</v>
      </c>
      <c r="L4" s="77">
        <v>513.07000000000005</v>
      </c>
      <c r="M4" s="77">
        <v>320.89999999999998</v>
      </c>
      <c r="N4" s="77">
        <v>298.99</v>
      </c>
      <c r="O4" s="77">
        <v>217.67</v>
      </c>
      <c r="P4" s="77">
        <v>108.83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86"/>
      <c r="B5" s="87"/>
      <c r="C5" s="33">
        <v>2</v>
      </c>
      <c r="D5" s="23" t="s">
        <v>36</v>
      </c>
      <c r="E5" s="60">
        <v>2.5000000000000001E-2</v>
      </c>
      <c r="F5" s="55">
        <v>800</v>
      </c>
      <c r="G5" s="52">
        <f>F5-(SUM(I5:T5))</f>
        <v>735</v>
      </c>
      <c r="H5" s="32" t="str">
        <f t="shared" ref="H5" si="0">IF(G5&lt;0,"ATENÇÃO","OK")</f>
        <v>OK</v>
      </c>
      <c r="I5" s="77">
        <v>65</v>
      </c>
      <c r="J5" s="77"/>
      <c r="K5" s="77">
        <v>0</v>
      </c>
      <c r="L5" s="77"/>
      <c r="M5" s="77">
        <v>0</v>
      </c>
      <c r="N5" s="77">
        <v>0</v>
      </c>
      <c r="O5" s="77">
        <v>0</v>
      </c>
      <c r="P5" s="7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S1:S2"/>
    <mergeCell ref="T1:T2"/>
    <mergeCell ref="N1:N2"/>
    <mergeCell ref="O1:O2"/>
    <mergeCell ref="P1:P2"/>
    <mergeCell ref="Q1:Q2"/>
    <mergeCell ref="J1:J2"/>
    <mergeCell ref="K1:K2"/>
    <mergeCell ref="A4:A5"/>
    <mergeCell ref="B4:B5"/>
    <mergeCell ref="R1:R2"/>
    <mergeCell ref="A2:H2"/>
    <mergeCell ref="L1:L2"/>
    <mergeCell ref="M1:M2"/>
    <mergeCell ref="A1:C1"/>
    <mergeCell ref="D1:E1"/>
    <mergeCell ref="F1:H1"/>
    <mergeCell ref="I1:I2"/>
  </mergeCells>
  <conditionalFormatting sqref="Q4:T5">
    <cfRule type="cellIs" dxfId="14" priority="7" stopIfTrue="1" operator="greaterThan">
      <formula>0</formula>
    </cfRule>
    <cfRule type="cellIs" dxfId="13" priority="8" stopIfTrue="1" operator="greaterThan">
      <formula>0</formula>
    </cfRule>
    <cfRule type="cellIs" dxfId="12" priority="9" stopIfTrue="1" operator="greaterThan">
      <formula>0</formula>
    </cfRule>
  </conditionalFormatting>
  <conditionalFormatting sqref="N4:P5">
    <cfRule type="cellIs" dxfId="11" priority="4" stopIfTrue="1" operator="greaterThan">
      <formula>0</formula>
    </cfRule>
    <cfRule type="cellIs" dxfId="10" priority="5" stopIfTrue="1" operator="greaterThan">
      <formula>0</formula>
    </cfRule>
    <cfRule type="cellIs" dxfId="9" priority="6" stopIfTrue="1" operator="greaterThan">
      <formula>0</formula>
    </cfRule>
  </conditionalFormatting>
  <conditionalFormatting sqref="I4:M5">
    <cfRule type="cellIs" dxfId="8" priority="1" stopIfTrue="1" operator="greaterThan">
      <formula>0</formula>
    </cfRule>
    <cfRule type="cellIs" dxfId="7" priority="2" stopIfTrue="1" operator="greaterThan">
      <formula>0</formula>
    </cfRule>
    <cfRule type="cellIs" dxfId="6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zoomScale="84" zoomScaleNormal="84" workbookViewId="0">
      <selection activeCell="I1" sqref="I1:J5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85" t="s">
        <v>45</v>
      </c>
      <c r="B1" s="85"/>
      <c r="C1" s="85"/>
      <c r="D1" s="85" t="s">
        <v>37</v>
      </c>
      <c r="E1" s="85"/>
      <c r="F1" s="85" t="s">
        <v>44</v>
      </c>
      <c r="G1" s="85"/>
      <c r="H1" s="85"/>
      <c r="I1" s="84" t="s">
        <v>112</v>
      </c>
      <c r="J1" s="84" t="s">
        <v>113</v>
      </c>
      <c r="K1" s="84" t="s">
        <v>43</v>
      </c>
      <c r="L1" s="84" t="s">
        <v>43</v>
      </c>
      <c r="M1" s="84" t="s">
        <v>43</v>
      </c>
      <c r="N1" s="84" t="s">
        <v>43</v>
      </c>
      <c r="O1" s="84" t="s">
        <v>43</v>
      </c>
      <c r="P1" s="84" t="s">
        <v>43</v>
      </c>
      <c r="Q1" s="84" t="s">
        <v>43</v>
      </c>
      <c r="R1" s="84" t="s">
        <v>43</v>
      </c>
      <c r="S1" s="84" t="s">
        <v>43</v>
      </c>
      <c r="T1" s="84" t="s">
        <v>43</v>
      </c>
    </row>
    <row r="2" spans="1:20" ht="21.75" customHeight="1" x14ac:dyDescent="0.25">
      <c r="A2" s="85" t="s">
        <v>61</v>
      </c>
      <c r="B2" s="85"/>
      <c r="C2" s="85"/>
      <c r="D2" s="85"/>
      <c r="E2" s="85"/>
      <c r="F2" s="85"/>
      <c r="G2" s="85"/>
      <c r="H2" s="85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s="18" customFormat="1" ht="45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62</v>
      </c>
      <c r="F3" s="28" t="s">
        <v>27</v>
      </c>
      <c r="G3" s="29" t="s">
        <v>0</v>
      </c>
      <c r="H3" s="25" t="s">
        <v>6</v>
      </c>
      <c r="I3" s="76">
        <v>43677</v>
      </c>
      <c r="J3" s="76">
        <v>43707</v>
      </c>
      <c r="K3" s="30" t="s">
        <v>2</v>
      </c>
      <c r="L3" s="30" t="s">
        <v>2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86" t="s">
        <v>46</v>
      </c>
      <c r="B4" s="87">
        <v>1</v>
      </c>
      <c r="C4" s="31">
        <v>1</v>
      </c>
      <c r="D4" s="24" t="s">
        <v>35</v>
      </c>
      <c r="E4" s="60">
        <v>3.6499999999999998E-2</v>
      </c>
      <c r="F4" s="55">
        <v>3000</v>
      </c>
      <c r="G4" s="52">
        <f>F4-(SUM(I4:T4))</f>
        <v>1826.87257</v>
      </c>
      <c r="H4" s="32" t="str">
        <f>IF(G4&lt;0,"ATENÇÃO","OK")</f>
        <v>OK</v>
      </c>
      <c r="I4" s="77">
        <v>866.32743000000005</v>
      </c>
      <c r="J4" s="77">
        <v>306.8</v>
      </c>
      <c r="K4" s="57">
        <v>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86"/>
      <c r="B5" s="87"/>
      <c r="C5" s="33">
        <v>2</v>
      </c>
      <c r="D5" s="23" t="s">
        <v>36</v>
      </c>
      <c r="E5" s="60">
        <v>2.5000000000000001E-2</v>
      </c>
      <c r="F5" s="55">
        <v>1500</v>
      </c>
      <c r="G5" s="52">
        <f>F5-(SUM(I5:T5))</f>
        <v>782.5</v>
      </c>
      <c r="H5" s="32" t="str">
        <f t="shared" ref="H5" si="0">IF(G5&lt;0,"ATENÇÃO","OK")</f>
        <v>OK</v>
      </c>
      <c r="I5" s="77">
        <v>512.5</v>
      </c>
      <c r="J5" s="77">
        <v>205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S1:S2"/>
    <mergeCell ref="T1:T2"/>
    <mergeCell ref="N1:N2"/>
    <mergeCell ref="O1:O2"/>
    <mergeCell ref="P1:P2"/>
    <mergeCell ref="Q1:Q2"/>
    <mergeCell ref="J1:J2"/>
    <mergeCell ref="K1:K2"/>
    <mergeCell ref="A4:A5"/>
    <mergeCell ref="B4:B5"/>
    <mergeCell ref="R1:R2"/>
    <mergeCell ref="A2:H2"/>
    <mergeCell ref="L1:L2"/>
    <mergeCell ref="M1:M2"/>
    <mergeCell ref="A1:C1"/>
    <mergeCell ref="D1:E1"/>
    <mergeCell ref="F1:H1"/>
    <mergeCell ref="I1:I2"/>
  </mergeCells>
  <conditionalFormatting sqref="K4:T5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I4:J5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="84" zoomScaleNormal="84" workbookViewId="0">
      <selection activeCell="A6" sqref="A6"/>
    </sheetView>
  </sheetViews>
  <sheetFormatPr defaultColWidth="9.7109375" defaultRowHeight="15" x14ac:dyDescent="0.25"/>
  <cols>
    <col min="1" max="1" width="14.570312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5.140625" style="22" customWidth="1"/>
    <col min="7" max="7" width="14.7109375" style="3" bestFit="1" customWidth="1"/>
    <col min="8" max="8" width="16.85546875" style="20" customWidth="1"/>
    <col min="9" max="9" width="16.140625" style="17" bestFit="1" customWidth="1"/>
    <col min="10" max="16384" width="9.7109375" style="17"/>
  </cols>
  <sheetData>
    <row r="1" spans="1:9" ht="58.5" customHeight="1" x14ac:dyDescent="0.25">
      <c r="A1" s="85" t="s">
        <v>41</v>
      </c>
      <c r="B1" s="85"/>
      <c r="C1" s="85"/>
      <c r="D1" s="97" t="s">
        <v>37</v>
      </c>
      <c r="E1" s="97"/>
      <c r="F1" s="97" t="s">
        <v>48</v>
      </c>
      <c r="G1" s="97"/>
      <c r="H1" s="97"/>
      <c r="I1" s="97"/>
    </row>
    <row r="2" spans="1:9" s="18" customFormat="1" ht="15" customHeight="1" x14ac:dyDescent="0.2">
      <c r="A2" s="97" t="s">
        <v>28</v>
      </c>
      <c r="B2" s="97"/>
      <c r="C2" s="97"/>
      <c r="D2" s="97"/>
      <c r="E2" s="97"/>
      <c r="F2" s="97"/>
      <c r="G2" s="97"/>
      <c r="H2" s="97"/>
      <c r="I2" s="97"/>
    </row>
    <row r="3" spans="1:9" ht="45" x14ac:dyDescent="0.25">
      <c r="A3" s="25" t="s">
        <v>3</v>
      </c>
      <c r="B3" s="25" t="s">
        <v>1</v>
      </c>
      <c r="C3" s="26" t="s">
        <v>4</v>
      </c>
      <c r="D3" s="26" t="s">
        <v>5</v>
      </c>
      <c r="E3" s="27" t="s">
        <v>62</v>
      </c>
      <c r="F3" s="28" t="s">
        <v>27</v>
      </c>
      <c r="G3" s="29" t="s">
        <v>29</v>
      </c>
      <c r="H3" s="25" t="s">
        <v>30</v>
      </c>
      <c r="I3" s="25" t="s">
        <v>31</v>
      </c>
    </row>
    <row r="4" spans="1:9" ht="20.100000000000001" customHeight="1" x14ac:dyDescent="0.25">
      <c r="A4" s="98" t="s">
        <v>66</v>
      </c>
      <c r="B4" s="87">
        <v>1</v>
      </c>
      <c r="C4" s="31">
        <v>1</v>
      </c>
      <c r="D4" s="24" t="s">
        <v>38</v>
      </c>
      <c r="E4" s="60">
        <v>3.6499999999999998E-2</v>
      </c>
      <c r="F4" s="51">
        <f>REITORIA!F4+PROEX!F4++ESAG!F4+CEART!F4+FAED!F4+CEAD!F4+CEFID!F4+CERES!F4+CESFI!F4+CCT!F4+CEO!F4+CAV!F4+CEAVI!F4+CEPLAN!F4</f>
        <v>463550</v>
      </c>
      <c r="G4" s="52">
        <f>(REITORIA!F4-REITORIA!G4)+(ESAG!F4-ESAG!G4)+(CEART!F4-CEART!G4)+(FAED!F4-FAED!G4)+(CEAD!F4-CEAD!G4)+(CEFID!F4-CEFID!G4)+(CERES!F4-CERES!G4)+(CESFI!F4-CESFI!G4)+(CCT!F4-CCT!G4)+(CEO!F4-CEO!G4)+(CAV!F4-CAV!G4)+(CEAVI!F4-CEAVI!G4)+(CEPLAN!F4-CEPLAN!G4)</f>
        <v>240936.72743</v>
      </c>
      <c r="H4" s="54">
        <f>F4-G4</f>
        <v>222613.27257</v>
      </c>
      <c r="I4" s="34">
        <f>G4/F4</f>
        <v>0.51976427015424442</v>
      </c>
    </row>
    <row r="5" spans="1:9" x14ac:dyDescent="0.25">
      <c r="A5" s="99"/>
      <c r="B5" s="87"/>
      <c r="C5" s="33">
        <v>2</v>
      </c>
      <c r="D5" s="23" t="s">
        <v>39</v>
      </c>
      <c r="E5" s="60">
        <v>2.5000000000000001E-2</v>
      </c>
      <c r="F5" s="51">
        <f>REITORIA!F5+PROEX!F5+ESAG!F5+CEART!F5+FAED!F5+CEAD!F5+CEFID!F5+CERES!F5+CESFI!F5+CCT!F5+CEO!F5+CAV!F5+CEAVI!F5+CEPLAN!F5</f>
        <v>139500</v>
      </c>
      <c r="G5" s="52">
        <f>(REITORIA!F5-REITORIA!G5)+(ESAG!F5-ESAG!G5)+(CEART!F5-CEART!G5)+(FAED!F5-FAED!G5)+(CEAD!F5-CEAD!G5)+(CEFID!F5-CEFID!G5)+(CERES!F5-CERES!G5)+(CESFI!F5-CESFI!G5)+(CCT!F5-CCT!G5)+(CEO!F5-CEO!G5)+(CAV!F5-CAV!G5)+(CEAVI!F5-CEAVI!G5)+(CEPLAN!F5-CEPLAN!G5)</f>
        <v>65914.19</v>
      </c>
      <c r="H5" s="54">
        <f t="shared" ref="H5" si="0">F5-G5</f>
        <v>73585.81</v>
      </c>
      <c r="I5" s="34">
        <f>G5/F5</f>
        <v>0.47250315412186383</v>
      </c>
    </row>
    <row r="6" spans="1:9" x14ac:dyDescent="0.25">
      <c r="F6" s="53">
        <f>SUM(F4:F5)</f>
        <v>603050</v>
      </c>
      <c r="G6" s="53">
        <f>SUM(G4:G5)</f>
        <v>306850.91743000003</v>
      </c>
      <c r="H6" s="53">
        <f>SUM(H4:H5)</f>
        <v>296199.08256999997</v>
      </c>
      <c r="I6" s="35">
        <f>G6/F6</f>
        <v>0.50883163490589511</v>
      </c>
    </row>
    <row r="9" spans="1:9" ht="15.75" x14ac:dyDescent="0.25">
      <c r="E9" s="90" t="s">
        <v>45</v>
      </c>
      <c r="F9" s="91"/>
      <c r="G9" s="91"/>
      <c r="H9" s="91"/>
      <c r="I9" s="92"/>
    </row>
    <row r="10" spans="1:9" ht="60" customHeight="1" x14ac:dyDescent="0.25">
      <c r="E10" s="93" t="s">
        <v>47</v>
      </c>
      <c r="F10" s="93"/>
      <c r="G10" s="93"/>
      <c r="H10" s="93"/>
      <c r="I10" s="93"/>
    </row>
    <row r="11" spans="1:9" ht="15.75" x14ac:dyDescent="0.25">
      <c r="E11" s="94" t="s">
        <v>48</v>
      </c>
      <c r="F11" s="95"/>
      <c r="G11" s="95"/>
      <c r="H11" s="95"/>
      <c r="I11" s="96"/>
    </row>
    <row r="12" spans="1:9" ht="15.75" x14ac:dyDescent="0.25">
      <c r="E12" s="36" t="s">
        <v>32</v>
      </c>
      <c r="F12" s="37"/>
      <c r="G12" s="37"/>
      <c r="H12" s="38"/>
      <c r="I12" s="58">
        <f>F6</f>
        <v>603050</v>
      </c>
    </row>
    <row r="13" spans="1:9" ht="15.75" x14ac:dyDescent="0.25">
      <c r="E13" s="39" t="s">
        <v>33</v>
      </c>
      <c r="F13" s="40"/>
      <c r="G13" s="40"/>
      <c r="H13" s="41"/>
      <c r="I13" s="59">
        <f>G6</f>
        <v>306850.91743000003</v>
      </c>
    </row>
    <row r="14" spans="1:9" ht="15.75" x14ac:dyDescent="0.25">
      <c r="E14" s="39" t="s">
        <v>34</v>
      </c>
      <c r="F14" s="40"/>
      <c r="G14" s="40"/>
      <c r="H14" s="41"/>
      <c r="I14" s="42"/>
    </row>
    <row r="15" spans="1:9" ht="15.75" x14ac:dyDescent="0.25">
      <c r="E15" s="43" t="s">
        <v>31</v>
      </c>
      <c r="F15" s="44"/>
      <c r="G15" s="44"/>
      <c r="H15" s="45"/>
      <c r="I15" s="46">
        <f>I13/I12</f>
        <v>0.50883163490589511</v>
      </c>
    </row>
    <row r="16" spans="1:9" ht="15.75" x14ac:dyDescent="0.25">
      <c r="E16" s="47" t="s">
        <v>42</v>
      </c>
      <c r="F16" s="48"/>
      <c r="G16" s="48"/>
      <c r="H16" s="49"/>
      <c r="I16" s="50"/>
    </row>
  </sheetData>
  <mergeCells count="9">
    <mergeCell ref="E9:I9"/>
    <mergeCell ref="E10:I10"/>
    <mergeCell ref="E11:I11"/>
    <mergeCell ref="A1:C1"/>
    <mergeCell ref="D1:E1"/>
    <mergeCell ref="A4:A5"/>
    <mergeCell ref="B4:B5"/>
    <mergeCell ref="F1:I1"/>
    <mergeCell ref="A2:I2"/>
  </mergeCells>
  <pageMargins left="0.74791666666666667" right="0.74791666666666667" top="0.98402777777777772" bottom="0.98402777777777772" header="0.51180555555555551" footer="0.51180555555555551"/>
  <pageSetup paperSize="9" scale="83" firstPageNumber="0" fitToHeight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4" customWidth="1"/>
    <col min="2" max="2" width="6.85546875" style="4" customWidth="1"/>
    <col min="3" max="3" width="31" style="4" customWidth="1"/>
    <col min="4" max="4" width="8.5703125" style="4" bestFit="1" customWidth="1"/>
    <col min="5" max="5" width="9.5703125" style="4" customWidth="1"/>
    <col min="6" max="6" width="14.7109375" style="4" customWidth="1"/>
    <col min="7" max="7" width="16" style="4" customWidth="1"/>
    <col min="8" max="8" width="11.140625" style="4" customWidth="1"/>
    <col min="9" max="16384" width="9.140625" style="4"/>
  </cols>
  <sheetData>
    <row r="1" spans="1:8" ht="20.25" customHeight="1" x14ac:dyDescent="0.2">
      <c r="A1" s="101" t="s">
        <v>10</v>
      </c>
      <c r="B1" s="101"/>
      <c r="C1" s="101"/>
      <c r="D1" s="101"/>
      <c r="E1" s="101"/>
      <c r="F1" s="101"/>
      <c r="G1" s="101"/>
      <c r="H1" s="101"/>
    </row>
    <row r="2" spans="1:8" ht="20.25" x14ac:dyDescent="0.2">
      <c r="B2" s="5"/>
    </row>
    <row r="3" spans="1:8" ht="47.25" customHeight="1" x14ac:dyDescent="0.2">
      <c r="A3" s="102" t="s">
        <v>11</v>
      </c>
      <c r="B3" s="102"/>
      <c r="C3" s="102"/>
      <c r="D3" s="102"/>
      <c r="E3" s="102"/>
      <c r="F3" s="102"/>
      <c r="G3" s="102"/>
      <c r="H3" s="102"/>
    </row>
    <row r="4" spans="1:8" ht="35.25" customHeight="1" x14ac:dyDescent="0.2">
      <c r="B4" s="6"/>
    </row>
    <row r="5" spans="1:8" ht="15" customHeight="1" x14ac:dyDescent="0.2">
      <c r="A5" s="103" t="s">
        <v>12</v>
      </c>
      <c r="B5" s="103"/>
      <c r="C5" s="103"/>
      <c r="D5" s="103"/>
      <c r="E5" s="103"/>
      <c r="F5" s="103"/>
      <c r="G5" s="103"/>
      <c r="H5" s="103"/>
    </row>
    <row r="6" spans="1:8" ht="15" customHeight="1" x14ac:dyDescent="0.2">
      <c r="A6" s="103" t="s">
        <v>13</v>
      </c>
      <c r="B6" s="103"/>
      <c r="C6" s="103"/>
      <c r="D6" s="103"/>
      <c r="E6" s="103"/>
      <c r="F6" s="103"/>
      <c r="G6" s="103"/>
      <c r="H6" s="103"/>
    </row>
    <row r="7" spans="1:8" ht="15" customHeight="1" x14ac:dyDescent="0.2">
      <c r="A7" s="103" t="s">
        <v>14</v>
      </c>
      <c r="B7" s="103"/>
      <c r="C7" s="103"/>
      <c r="D7" s="103"/>
      <c r="E7" s="103"/>
      <c r="F7" s="103"/>
      <c r="G7" s="103"/>
      <c r="H7" s="103"/>
    </row>
    <row r="8" spans="1:8" ht="15" customHeight="1" x14ac:dyDescent="0.2">
      <c r="A8" s="103" t="s">
        <v>15</v>
      </c>
      <c r="B8" s="103"/>
      <c r="C8" s="103"/>
      <c r="D8" s="103"/>
      <c r="E8" s="103"/>
      <c r="F8" s="103"/>
      <c r="G8" s="103"/>
      <c r="H8" s="103"/>
    </row>
    <row r="9" spans="1:8" ht="30" customHeight="1" x14ac:dyDescent="0.2">
      <c r="B9" s="7"/>
    </row>
    <row r="10" spans="1:8" ht="105" customHeight="1" x14ac:dyDescent="0.2">
      <c r="A10" s="104" t="s">
        <v>16</v>
      </c>
      <c r="B10" s="104"/>
      <c r="C10" s="104"/>
      <c r="D10" s="104"/>
      <c r="E10" s="104"/>
      <c r="F10" s="104"/>
      <c r="G10" s="104"/>
      <c r="H10" s="104"/>
    </row>
    <row r="11" spans="1:8" ht="15.75" thickBot="1" x14ac:dyDescent="0.25">
      <c r="B11" s="8"/>
    </row>
    <row r="12" spans="1:8" ht="48.75" thickBot="1" x14ac:dyDescent="0.25">
      <c r="A12" s="9" t="s">
        <v>9</v>
      </c>
      <c r="B12" s="9" t="s">
        <v>7</v>
      </c>
      <c r="C12" s="10" t="s">
        <v>17</v>
      </c>
      <c r="D12" s="10" t="s">
        <v>8</v>
      </c>
      <c r="E12" s="10" t="s">
        <v>18</v>
      </c>
      <c r="F12" s="10" t="s">
        <v>19</v>
      </c>
      <c r="G12" s="10" t="s">
        <v>20</v>
      </c>
      <c r="H12" s="10" t="s">
        <v>21</v>
      </c>
    </row>
    <row r="13" spans="1:8" ht="15.75" thickBot="1" x14ac:dyDescent="0.25">
      <c r="A13" s="11"/>
      <c r="B13" s="11"/>
      <c r="C13" s="12"/>
      <c r="D13" s="12"/>
      <c r="E13" s="12"/>
      <c r="F13" s="12"/>
      <c r="G13" s="12"/>
      <c r="H13" s="12"/>
    </row>
    <row r="14" spans="1:8" ht="15.75" thickBot="1" x14ac:dyDescent="0.25">
      <c r="A14" s="11"/>
      <c r="B14" s="11"/>
      <c r="C14" s="12"/>
      <c r="D14" s="12"/>
      <c r="E14" s="12"/>
      <c r="F14" s="12"/>
      <c r="G14" s="12"/>
      <c r="H14" s="12"/>
    </row>
    <row r="15" spans="1:8" ht="15.75" thickBot="1" x14ac:dyDescent="0.25">
      <c r="A15" s="11"/>
      <c r="B15" s="11"/>
      <c r="C15" s="12"/>
      <c r="D15" s="12"/>
      <c r="E15" s="12"/>
      <c r="F15" s="12"/>
      <c r="G15" s="12"/>
      <c r="H15" s="12"/>
    </row>
    <row r="16" spans="1:8" ht="15.75" thickBot="1" x14ac:dyDescent="0.25">
      <c r="A16" s="11"/>
      <c r="B16" s="11"/>
      <c r="C16" s="12"/>
      <c r="D16" s="12"/>
      <c r="E16" s="12"/>
      <c r="F16" s="12"/>
      <c r="G16" s="12"/>
      <c r="H16" s="12"/>
    </row>
    <row r="17" spans="1:8" ht="15.75" thickBot="1" x14ac:dyDescent="0.25">
      <c r="A17" s="13"/>
      <c r="B17" s="13"/>
      <c r="C17" s="14"/>
      <c r="D17" s="14"/>
      <c r="E17" s="14"/>
      <c r="F17" s="14"/>
      <c r="G17" s="14"/>
      <c r="H17" s="14"/>
    </row>
    <row r="18" spans="1:8" ht="42" customHeight="1" x14ac:dyDescent="0.2">
      <c r="B18" s="15"/>
      <c r="C18" s="16"/>
      <c r="D18" s="16"/>
      <c r="E18" s="16"/>
      <c r="F18" s="16"/>
      <c r="G18" s="16"/>
      <c r="H18" s="16"/>
    </row>
    <row r="19" spans="1:8" ht="15" customHeight="1" x14ac:dyDescent="0.2">
      <c r="A19" s="105" t="s">
        <v>22</v>
      </c>
      <c r="B19" s="105"/>
      <c r="C19" s="105"/>
      <c r="D19" s="105"/>
      <c r="E19" s="105"/>
      <c r="F19" s="105"/>
      <c r="G19" s="105"/>
      <c r="H19" s="105"/>
    </row>
    <row r="20" spans="1:8" ht="14.25" x14ac:dyDescent="0.2">
      <c r="A20" s="106" t="s">
        <v>23</v>
      </c>
      <c r="B20" s="106"/>
      <c r="C20" s="106"/>
      <c r="D20" s="106"/>
      <c r="E20" s="106"/>
      <c r="F20" s="106"/>
      <c r="G20" s="106"/>
      <c r="H20" s="106"/>
    </row>
    <row r="21" spans="1:8" ht="15" x14ac:dyDescent="0.2">
      <c r="B21" s="8"/>
    </row>
    <row r="22" spans="1:8" ht="15" x14ac:dyDescent="0.2">
      <c r="B22" s="8"/>
    </row>
    <row r="23" spans="1:8" ht="15" x14ac:dyDescent="0.2">
      <c r="B23" s="8"/>
    </row>
    <row r="24" spans="1:8" ht="15" customHeight="1" x14ac:dyDescent="0.2">
      <c r="A24" s="107" t="s">
        <v>24</v>
      </c>
      <c r="B24" s="107"/>
      <c r="C24" s="107"/>
      <c r="D24" s="107"/>
      <c r="E24" s="107"/>
      <c r="F24" s="107"/>
      <c r="G24" s="107"/>
      <c r="H24" s="107"/>
    </row>
    <row r="25" spans="1:8" ht="15" customHeight="1" x14ac:dyDescent="0.2">
      <c r="A25" s="107" t="s">
        <v>25</v>
      </c>
      <c r="B25" s="107"/>
      <c r="C25" s="107"/>
      <c r="D25" s="107"/>
      <c r="E25" s="107"/>
      <c r="F25" s="107"/>
      <c r="G25" s="107"/>
      <c r="H25" s="107"/>
    </row>
    <row r="26" spans="1:8" ht="15" customHeight="1" x14ac:dyDescent="0.2">
      <c r="A26" s="100" t="s">
        <v>26</v>
      </c>
      <c r="B26" s="100"/>
      <c r="C26" s="100"/>
      <c r="D26" s="100"/>
      <c r="E26" s="100"/>
      <c r="F26" s="100"/>
      <c r="G26" s="100"/>
      <c r="H26" s="100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T6"/>
  <sheetViews>
    <sheetView zoomScale="84" zoomScaleNormal="84" workbookViewId="0">
      <selection activeCell="I1" sqref="I1:L5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85" t="s">
        <v>45</v>
      </c>
      <c r="B1" s="85"/>
      <c r="C1" s="85"/>
      <c r="D1" s="85" t="s">
        <v>37</v>
      </c>
      <c r="E1" s="85"/>
      <c r="F1" s="85" t="s">
        <v>44</v>
      </c>
      <c r="G1" s="85"/>
      <c r="H1" s="85"/>
      <c r="I1" s="84" t="s">
        <v>116</v>
      </c>
      <c r="J1" s="84" t="s">
        <v>117</v>
      </c>
      <c r="K1" s="84" t="s">
        <v>118</v>
      </c>
      <c r="L1" s="84" t="s">
        <v>119</v>
      </c>
      <c r="M1" s="84" t="s">
        <v>43</v>
      </c>
      <c r="N1" s="84" t="s">
        <v>43</v>
      </c>
      <c r="O1" s="84" t="s">
        <v>43</v>
      </c>
      <c r="P1" s="84" t="s">
        <v>43</v>
      </c>
      <c r="Q1" s="84" t="s">
        <v>43</v>
      </c>
      <c r="R1" s="84" t="s">
        <v>43</v>
      </c>
      <c r="S1" s="84" t="s">
        <v>43</v>
      </c>
      <c r="T1" s="84" t="s">
        <v>43</v>
      </c>
    </row>
    <row r="2" spans="1:20" ht="21.75" customHeight="1" x14ac:dyDescent="0.25">
      <c r="A2" s="85" t="s">
        <v>40</v>
      </c>
      <c r="B2" s="85"/>
      <c r="C2" s="85"/>
      <c r="D2" s="85"/>
      <c r="E2" s="85"/>
      <c r="F2" s="85"/>
      <c r="G2" s="85"/>
      <c r="H2" s="85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s="18" customFormat="1" ht="45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63</v>
      </c>
      <c r="F3" s="28" t="s">
        <v>27</v>
      </c>
      <c r="G3" s="29" t="s">
        <v>0</v>
      </c>
      <c r="H3" s="25" t="s">
        <v>6</v>
      </c>
      <c r="I3" s="76">
        <v>43594</v>
      </c>
      <c r="J3" s="76">
        <v>43672</v>
      </c>
      <c r="K3" s="76">
        <v>43691</v>
      </c>
      <c r="L3" s="76">
        <v>43714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86" t="s">
        <v>46</v>
      </c>
      <c r="B4" s="87">
        <v>1</v>
      </c>
      <c r="C4" s="31">
        <v>1</v>
      </c>
      <c r="D4" s="24" t="s">
        <v>35</v>
      </c>
      <c r="E4" s="60">
        <v>3.6499999999999998E-2</v>
      </c>
      <c r="F4" s="55">
        <v>50000</v>
      </c>
      <c r="G4" s="52">
        <f>F4-(SUM(I4:T4))</f>
        <v>19000</v>
      </c>
      <c r="H4" s="32" t="str">
        <f>IF(G4&lt;0,"ATENÇÃO","OK")</f>
        <v>OK</v>
      </c>
      <c r="I4" s="77">
        <v>3000</v>
      </c>
      <c r="J4" s="77">
        <v>3000</v>
      </c>
      <c r="K4" s="77">
        <v>5000</v>
      </c>
      <c r="L4" s="77">
        <v>20000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86"/>
      <c r="B5" s="87"/>
      <c r="C5" s="33">
        <v>2</v>
      </c>
      <c r="D5" s="23" t="s">
        <v>36</v>
      </c>
      <c r="E5" s="60">
        <v>2.5000000000000001E-2</v>
      </c>
      <c r="F5" s="55">
        <v>5000</v>
      </c>
      <c r="G5" s="52">
        <f>F5-(SUM(I5:T5))</f>
        <v>-8100</v>
      </c>
      <c r="H5" s="32" t="str">
        <f t="shared" ref="H5" si="0">IF(G5&lt;0,"ATENÇÃO","OK")</f>
        <v>ATENÇÃO</v>
      </c>
      <c r="I5" s="77">
        <v>800</v>
      </c>
      <c r="J5" s="77">
        <v>0</v>
      </c>
      <c r="K5" s="77">
        <v>2300</v>
      </c>
      <c r="L5" s="77">
        <v>10000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I1:I2"/>
    <mergeCell ref="A1:C1"/>
    <mergeCell ref="F1:H1"/>
    <mergeCell ref="D1:E1"/>
    <mergeCell ref="A4:A5"/>
    <mergeCell ref="B4:B5"/>
    <mergeCell ref="A2:H2"/>
    <mergeCell ref="T1:T2"/>
    <mergeCell ref="N1:N2"/>
    <mergeCell ref="O1:O2"/>
    <mergeCell ref="P1:P2"/>
    <mergeCell ref="Q1:Q2"/>
    <mergeCell ref="R1:R2"/>
    <mergeCell ref="J1:J2"/>
    <mergeCell ref="K1:K2"/>
    <mergeCell ref="L1:L2"/>
    <mergeCell ref="M1:M2"/>
    <mergeCell ref="S1:S2"/>
  </mergeCells>
  <phoneticPr fontId="0" type="noConversion"/>
  <conditionalFormatting sqref="M4:T5">
    <cfRule type="cellIs" dxfId="86" priority="7" stopIfTrue="1" operator="greaterThan">
      <formula>0</formula>
    </cfRule>
    <cfRule type="cellIs" dxfId="85" priority="8" stopIfTrue="1" operator="greaterThan">
      <formula>0</formula>
    </cfRule>
    <cfRule type="cellIs" dxfId="84" priority="9" stopIfTrue="1" operator="greaterThan">
      <formula>0</formula>
    </cfRule>
  </conditionalFormatting>
  <conditionalFormatting sqref="I4:L5">
    <cfRule type="cellIs" dxfId="83" priority="1" stopIfTrue="1" operator="greaterThan">
      <formula>0</formula>
    </cfRule>
    <cfRule type="cellIs" dxfId="82" priority="2" stopIfTrue="1" operator="greaterThan">
      <formula>0</formula>
    </cfRule>
    <cfRule type="cellIs" dxfId="81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"/>
  <sheetViews>
    <sheetView zoomScale="70" zoomScaleNormal="70" workbookViewId="0">
      <selection activeCell="I1" sqref="I1:K5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6.42578125" style="1" bestFit="1" customWidth="1"/>
    <col min="6" max="6" width="14.28515625" style="22" bestFit="1" customWidth="1"/>
    <col min="7" max="7" width="17.7109375" style="3" customWidth="1"/>
    <col min="8" max="8" width="12.5703125" style="20" customWidth="1"/>
    <col min="9" max="10" width="17.140625" style="21" bestFit="1" customWidth="1"/>
    <col min="11" max="11" width="18.28515625" style="21" bestFit="1" customWidth="1"/>
    <col min="12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85" t="s">
        <v>45</v>
      </c>
      <c r="B1" s="85"/>
      <c r="C1" s="85"/>
      <c r="D1" s="85" t="s">
        <v>37</v>
      </c>
      <c r="E1" s="85"/>
      <c r="F1" s="85" t="s">
        <v>44</v>
      </c>
      <c r="G1" s="85"/>
      <c r="H1" s="85"/>
      <c r="I1" s="84" t="s">
        <v>120</v>
      </c>
      <c r="J1" s="84" t="s">
        <v>117</v>
      </c>
      <c r="K1" s="84" t="s">
        <v>121</v>
      </c>
      <c r="L1" s="84" t="s">
        <v>43</v>
      </c>
      <c r="M1" s="84" t="s">
        <v>43</v>
      </c>
      <c r="N1" s="84" t="s">
        <v>43</v>
      </c>
      <c r="O1" s="84" t="s">
        <v>43</v>
      </c>
      <c r="P1" s="84" t="s">
        <v>43</v>
      </c>
      <c r="Q1" s="84" t="s">
        <v>43</v>
      </c>
      <c r="R1" s="84" t="s">
        <v>43</v>
      </c>
      <c r="S1" s="84" t="s">
        <v>43</v>
      </c>
      <c r="T1" s="84" t="s">
        <v>43</v>
      </c>
    </row>
    <row r="2" spans="1:20" ht="21.75" customHeight="1" x14ac:dyDescent="0.25">
      <c r="A2" s="85" t="s">
        <v>49</v>
      </c>
      <c r="B2" s="85"/>
      <c r="C2" s="85"/>
      <c r="D2" s="85"/>
      <c r="E2" s="85"/>
      <c r="F2" s="85"/>
      <c r="G2" s="85"/>
      <c r="H2" s="85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63</v>
      </c>
      <c r="F3" s="28" t="s">
        <v>27</v>
      </c>
      <c r="G3" s="29" t="s">
        <v>0</v>
      </c>
      <c r="H3" s="25" t="s">
        <v>6</v>
      </c>
      <c r="I3" s="76">
        <v>43594</v>
      </c>
      <c r="J3" s="76">
        <v>43672</v>
      </c>
      <c r="K3" s="76">
        <v>43706</v>
      </c>
      <c r="L3" s="30" t="s">
        <v>2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86" t="s">
        <v>46</v>
      </c>
      <c r="B4" s="87">
        <v>1</v>
      </c>
      <c r="C4" s="31">
        <v>1</v>
      </c>
      <c r="D4" s="24" t="s">
        <v>35</v>
      </c>
      <c r="E4" s="60">
        <v>3.6499999999999998E-2</v>
      </c>
      <c r="F4" s="55">
        <v>50000</v>
      </c>
      <c r="G4" s="52">
        <f>F4-(SUM(I4:T4))</f>
        <v>40000</v>
      </c>
      <c r="H4" s="32" t="str">
        <f>IF(G4&lt;0,"ATENÇÃO","OK")</f>
        <v>OK</v>
      </c>
      <c r="I4" s="77">
        <v>5000</v>
      </c>
      <c r="J4" s="77">
        <v>5000</v>
      </c>
      <c r="K4" s="77">
        <v>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86"/>
      <c r="B5" s="87"/>
      <c r="C5" s="33">
        <v>2</v>
      </c>
      <c r="D5" s="23" t="s">
        <v>36</v>
      </c>
      <c r="E5" s="60">
        <v>2.5000000000000001E-2</v>
      </c>
      <c r="F5" s="55">
        <f>50000-5000-6000-8550</f>
        <v>30450</v>
      </c>
      <c r="G5" s="52">
        <f>F5-(SUM(I5:T5))</f>
        <v>8450</v>
      </c>
      <c r="H5" s="32" t="str">
        <f t="shared" ref="H5" si="0">IF(G5&lt;0,"ATENÇÃO","OK")</f>
        <v>OK</v>
      </c>
      <c r="I5" s="77">
        <v>5000</v>
      </c>
      <c r="J5" s="77">
        <v>7000</v>
      </c>
      <c r="K5" s="77">
        <v>10000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R1:R2"/>
    <mergeCell ref="S1:S2"/>
    <mergeCell ref="T1:T2"/>
    <mergeCell ref="N1:N2"/>
    <mergeCell ref="O1:O2"/>
    <mergeCell ref="P1:P2"/>
    <mergeCell ref="Q1:Q2"/>
    <mergeCell ref="A2:H2"/>
    <mergeCell ref="A4:A5"/>
    <mergeCell ref="B4:B5"/>
    <mergeCell ref="L1:L2"/>
    <mergeCell ref="M1:M2"/>
    <mergeCell ref="A1:C1"/>
    <mergeCell ref="D1:E1"/>
    <mergeCell ref="F1:H1"/>
    <mergeCell ref="I1:I2"/>
    <mergeCell ref="J1:J2"/>
    <mergeCell ref="K1:K2"/>
  </mergeCells>
  <conditionalFormatting sqref="L4:T5">
    <cfRule type="cellIs" dxfId="80" priority="4" stopIfTrue="1" operator="greaterThan">
      <formula>0</formula>
    </cfRule>
    <cfRule type="cellIs" dxfId="79" priority="5" stopIfTrue="1" operator="greaterThan">
      <formula>0</formula>
    </cfRule>
    <cfRule type="cellIs" dxfId="78" priority="6" stopIfTrue="1" operator="greaterThan">
      <formula>0</formula>
    </cfRule>
  </conditionalFormatting>
  <conditionalFormatting sqref="I4:K5">
    <cfRule type="cellIs" dxfId="77" priority="1" stopIfTrue="1" operator="greaterThan">
      <formula>0</formula>
    </cfRule>
    <cfRule type="cellIs" dxfId="76" priority="2" stopIfTrue="1" operator="greaterThan">
      <formula>0</formula>
    </cfRule>
    <cfRule type="cellIs" dxfId="75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zoomScale="84" zoomScaleNormal="84" workbookViewId="0">
      <selection activeCell="I1" sqref="I1:L5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3.2851562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85" t="s">
        <v>45</v>
      </c>
      <c r="B1" s="85"/>
      <c r="C1" s="85"/>
      <c r="D1" s="85" t="s">
        <v>37</v>
      </c>
      <c r="E1" s="85"/>
      <c r="F1" s="85" t="s">
        <v>44</v>
      </c>
      <c r="G1" s="85"/>
      <c r="H1" s="85"/>
      <c r="I1" s="84" t="s">
        <v>122</v>
      </c>
      <c r="J1" s="84" t="s">
        <v>123</v>
      </c>
      <c r="K1" s="84" t="s">
        <v>124</v>
      </c>
      <c r="L1" s="84" t="s">
        <v>125</v>
      </c>
      <c r="M1" s="84" t="s">
        <v>43</v>
      </c>
      <c r="N1" s="84" t="s">
        <v>43</v>
      </c>
      <c r="O1" s="84" t="s">
        <v>43</v>
      </c>
      <c r="P1" s="84" t="s">
        <v>43</v>
      </c>
      <c r="Q1" s="84" t="s">
        <v>43</v>
      </c>
      <c r="R1" s="84" t="s">
        <v>43</v>
      </c>
      <c r="S1" s="84" t="s">
        <v>43</v>
      </c>
      <c r="T1" s="84" t="s">
        <v>43</v>
      </c>
    </row>
    <row r="2" spans="1:20" ht="21.75" customHeight="1" x14ac:dyDescent="0.25">
      <c r="A2" s="85" t="s">
        <v>50</v>
      </c>
      <c r="B2" s="85"/>
      <c r="C2" s="85"/>
      <c r="D2" s="85"/>
      <c r="E2" s="85"/>
      <c r="F2" s="85"/>
      <c r="G2" s="85"/>
      <c r="H2" s="85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s="18" customFormat="1" ht="45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63</v>
      </c>
      <c r="F3" s="28" t="s">
        <v>27</v>
      </c>
      <c r="G3" s="29" t="s">
        <v>0</v>
      </c>
      <c r="H3" s="25" t="s">
        <v>6</v>
      </c>
      <c r="I3" s="76" t="s">
        <v>126</v>
      </c>
      <c r="J3" s="30" t="s">
        <v>127</v>
      </c>
      <c r="K3" s="30" t="s">
        <v>127</v>
      </c>
      <c r="L3" s="30" t="s">
        <v>127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86" t="s">
        <v>46</v>
      </c>
      <c r="B4" s="87">
        <v>1</v>
      </c>
      <c r="C4" s="31">
        <v>1</v>
      </c>
      <c r="D4" s="24" t="s">
        <v>35</v>
      </c>
      <c r="E4" s="60">
        <v>3.6499999999999998E-2</v>
      </c>
      <c r="F4" s="55">
        <v>15000</v>
      </c>
      <c r="G4" s="52">
        <f>F4-(SUM(I4:T4))</f>
        <v>1000</v>
      </c>
      <c r="H4" s="32" t="str">
        <f>IF(G4&lt;0,"ATENÇÃO","OK")</f>
        <v>OK</v>
      </c>
      <c r="I4" s="77">
        <v>5000</v>
      </c>
      <c r="J4" s="77">
        <v>2000</v>
      </c>
      <c r="K4" s="77">
        <v>7000</v>
      </c>
      <c r="L4" s="77">
        <v>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86"/>
      <c r="B5" s="87"/>
      <c r="C5" s="33">
        <v>2</v>
      </c>
      <c r="D5" s="23" t="s">
        <v>36</v>
      </c>
      <c r="E5" s="60">
        <v>2.5000000000000001E-2</v>
      </c>
      <c r="F5" s="55">
        <v>5000</v>
      </c>
      <c r="G5" s="52">
        <f>F5-(SUM(I5:T5))</f>
        <v>2500</v>
      </c>
      <c r="H5" s="32" t="str">
        <f t="shared" ref="H5" si="0">IF(G5&lt;0,"ATENÇÃO","OK")</f>
        <v>OK</v>
      </c>
      <c r="I5" s="77">
        <v>0</v>
      </c>
      <c r="J5" s="77">
        <v>0</v>
      </c>
      <c r="K5" s="77">
        <v>0</v>
      </c>
      <c r="L5" s="77">
        <v>2500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S1:S2"/>
    <mergeCell ref="T1:T2"/>
    <mergeCell ref="N1:N2"/>
    <mergeCell ref="O1:O2"/>
    <mergeCell ref="P1:P2"/>
    <mergeCell ref="Q1:Q2"/>
    <mergeCell ref="J1:J2"/>
    <mergeCell ref="K1:K2"/>
    <mergeCell ref="A4:A5"/>
    <mergeCell ref="B4:B5"/>
    <mergeCell ref="R1:R2"/>
    <mergeCell ref="A2:H2"/>
    <mergeCell ref="L1:L2"/>
    <mergeCell ref="M1:M2"/>
    <mergeCell ref="A1:C1"/>
    <mergeCell ref="D1:E1"/>
    <mergeCell ref="F1:H1"/>
    <mergeCell ref="I1:I2"/>
  </mergeCells>
  <conditionalFormatting sqref="M4:T5">
    <cfRule type="cellIs" dxfId="74" priority="4" stopIfTrue="1" operator="greaterThan">
      <formula>0</formula>
    </cfRule>
    <cfRule type="cellIs" dxfId="73" priority="5" stopIfTrue="1" operator="greaterThan">
      <formula>0</formula>
    </cfRule>
    <cfRule type="cellIs" dxfId="72" priority="6" stopIfTrue="1" operator="greaterThan">
      <formula>0</formula>
    </cfRule>
  </conditionalFormatting>
  <conditionalFormatting sqref="I4:L5">
    <cfRule type="cellIs" dxfId="71" priority="1" stopIfTrue="1" operator="greaterThan">
      <formula>0</formula>
    </cfRule>
    <cfRule type="cellIs" dxfId="70" priority="2" stopIfTrue="1" operator="greaterThan">
      <formula>0</formula>
    </cfRule>
    <cfRule type="cellIs" dxfId="69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"/>
  <sheetViews>
    <sheetView tabSelected="1" topLeftCell="D1" zoomScale="84" zoomScaleNormal="84" workbookViewId="0">
      <selection activeCell="AB1" sqref="AB1:AD1048576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3.2851562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34" ht="58.5" customHeight="1" x14ac:dyDescent="0.25">
      <c r="A1" s="85" t="s">
        <v>45</v>
      </c>
      <c r="B1" s="85"/>
      <c r="C1" s="85"/>
      <c r="D1" s="85" t="s">
        <v>37</v>
      </c>
      <c r="E1" s="85"/>
      <c r="F1" s="85" t="s">
        <v>44</v>
      </c>
      <c r="G1" s="85"/>
      <c r="H1" s="85"/>
      <c r="I1" s="84" t="s">
        <v>145</v>
      </c>
      <c r="J1" s="84" t="s">
        <v>146</v>
      </c>
      <c r="K1" s="84" t="s">
        <v>147</v>
      </c>
      <c r="L1" s="84" t="s">
        <v>148</v>
      </c>
      <c r="M1" s="84" t="s">
        <v>149</v>
      </c>
      <c r="N1" s="84" t="s">
        <v>150</v>
      </c>
      <c r="O1" s="84" t="s">
        <v>151</v>
      </c>
      <c r="P1" s="84" t="s">
        <v>152</v>
      </c>
      <c r="Q1" s="84" t="s">
        <v>153</v>
      </c>
      <c r="R1" s="84" t="s">
        <v>154</v>
      </c>
      <c r="S1" s="84" t="s">
        <v>155</v>
      </c>
      <c r="T1" s="84" t="s">
        <v>156</v>
      </c>
      <c r="U1" s="84" t="s">
        <v>157</v>
      </c>
      <c r="V1" s="84" t="s">
        <v>158</v>
      </c>
      <c r="W1" s="84" t="s">
        <v>159</v>
      </c>
      <c r="X1" s="84" t="s">
        <v>160</v>
      </c>
      <c r="Y1" s="84" t="s">
        <v>161</v>
      </c>
      <c r="Z1" s="84" t="s">
        <v>162</v>
      </c>
      <c r="AA1" s="84" t="s">
        <v>163</v>
      </c>
      <c r="AB1" s="84" t="s">
        <v>164</v>
      </c>
      <c r="AC1" s="84" t="s">
        <v>165</v>
      </c>
      <c r="AD1" s="84" t="s">
        <v>166</v>
      </c>
      <c r="AE1" s="84" t="s">
        <v>167</v>
      </c>
      <c r="AF1" s="84" t="s">
        <v>168</v>
      </c>
      <c r="AG1" s="84" t="s">
        <v>169</v>
      </c>
      <c r="AH1" s="84" t="s">
        <v>170</v>
      </c>
    </row>
    <row r="2" spans="1:34" ht="21.75" customHeight="1" x14ac:dyDescent="0.25">
      <c r="A2" s="85" t="s">
        <v>51</v>
      </c>
      <c r="B2" s="85"/>
      <c r="C2" s="85"/>
      <c r="D2" s="85"/>
      <c r="E2" s="85"/>
      <c r="F2" s="85"/>
      <c r="G2" s="85"/>
      <c r="H2" s="85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</row>
    <row r="3" spans="1:34" s="18" customFormat="1" ht="45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63</v>
      </c>
      <c r="F3" s="28" t="s">
        <v>27</v>
      </c>
      <c r="G3" s="29" t="s">
        <v>0</v>
      </c>
      <c r="H3" s="25" t="s">
        <v>6</v>
      </c>
      <c r="I3" s="76">
        <v>43565</v>
      </c>
      <c r="J3" s="76">
        <v>43585</v>
      </c>
      <c r="K3" s="76">
        <v>43594</v>
      </c>
      <c r="L3" s="76">
        <v>43594</v>
      </c>
      <c r="M3" s="76">
        <v>43649</v>
      </c>
      <c r="N3" s="76">
        <v>43655</v>
      </c>
      <c r="O3" s="76">
        <v>43658</v>
      </c>
      <c r="P3" s="76">
        <v>43668</v>
      </c>
      <c r="Q3" s="76">
        <v>43669</v>
      </c>
      <c r="R3" s="76">
        <v>43684</v>
      </c>
      <c r="S3" s="76">
        <v>43686</v>
      </c>
      <c r="T3" s="76">
        <v>43692</v>
      </c>
      <c r="U3" s="76">
        <v>43692</v>
      </c>
      <c r="V3" s="76">
        <v>43697</v>
      </c>
      <c r="W3" s="76">
        <v>43699</v>
      </c>
      <c r="X3" s="76">
        <v>43711</v>
      </c>
      <c r="Y3" s="76">
        <v>43718</v>
      </c>
      <c r="Z3" s="76">
        <v>43724</v>
      </c>
      <c r="AA3" s="76">
        <v>43724</v>
      </c>
      <c r="AB3" s="76">
        <v>43728</v>
      </c>
      <c r="AC3" s="76">
        <v>43728</v>
      </c>
      <c r="AD3" s="76">
        <v>43740</v>
      </c>
      <c r="AE3" s="76">
        <v>43740</v>
      </c>
      <c r="AF3" s="76">
        <v>43738</v>
      </c>
      <c r="AG3" s="76">
        <v>43741</v>
      </c>
      <c r="AH3" s="76">
        <v>43769</v>
      </c>
    </row>
    <row r="4" spans="1:34" ht="20.100000000000001" customHeight="1" x14ac:dyDescent="0.25">
      <c r="A4" s="86" t="s">
        <v>46</v>
      </c>
      <c r="B4" s="87">
        <v>1</v>
      </c>
      <c r="C4" s="31">
        <v>1</v>
      </c>
      <c r="D4" s="24" t="s">
        <v>35</v>
      </c>
      <c r="E4" s="60">
        <v>3.6499999999999998E-2</v>
      </c>
      <c r="F4" s="55">
        <f>66000+3000+5000+3000+7000+16500</f>
        <v>100500</v>
      </c>
      <c r="G4" s="52">
        <f>F4-(SUM(I4:T4))</f>
        <v>57600</v>
      </c>
      <c r="H4" s="32" t="str">
        <f>IF(G4&lt;0,"ATENÇÃO","OK")</f>
        <v>OK</v>
      </c>
      <c r="I4" s="77">
        <v>20000</v>
      </c>
      <c r="J4" s="77">
        <v>4000</v>
      </c>
      <c r="K4" s="77">
        <v>3000</v>
      </c>
      <c r="L4" s="77">
        <v>4000</v>
      </c>
      <c r="M4" s="77">
        <v>3000</v>
      </c>
      <c r="N4" s="77">
        <v>800</v>
      </c>
      <c r="O4" s="77">
        <v>800</v>
      </c>
      <c r="P4" s="77">
        <v>900</v>
      </c>
      <c r="Q4" s="77">
        <v>1500</v>
      </c>
      <c r="R4" s="77">
        <v>3000</v>
      </c>
      <c r="S4" s="77">
        <v>1500</v>
      </c>
      <c r="T4" s="77">
        <v>400</v>
      </c>
      <c r="U4" s="77">
        <v>6000</v>
      </c>
      <c r="V4" s="77">
        <v>7000</v>
      </c>
      <c r="W4" s="77">
        <v>4000</v>
      </c>
      <c r="X4" s="77">
        <v>300</v>
      </c>
      <c r="Y4" s="77">
        <v>6600</v>
      </c>
      <c r="Z4" s="77">
        <v>774</v>
      </c>
      <c r="AA4" s="77">
        <v>1150</v>
      </c>
      <c r="AB4" s="77">
        <v>600</v>
      </c>
      <c r="AC4" s="77">
        <v>1600</v>
      </c>
      <c r="AD4" s="77">
        <v>2000</v>
      </c>
      <c r="AE4" s="77">
        <v>2500</v>
      </c>
      <c r="AF4" s="77">
        <v>5000</v>
      </c>
      <c r="AG4" s="77">
        <v>600</v>
      </c>
      <c r="AH4" s="77">
        <v>4000</v>
      </c>
    </row>
    <row r="5" spans="1:34" ht="20.100000000000001" customHeight="1" x14ac:dyDescent="0.25">
      <c r="A5" s="86"/>
      <c r="B5" s="87"/>
      <c r="C5" s="33">
        <v>2</v>
      </c>
      <c r="D5" s="23" t="s">
        <v>36</v>
      </c>
      <c r="E5" s="60">
        <v>2.5000000000000001E-2</v>
      </c>
      <c r="F5" s="55">
        <f>19000+3300+4750</f>
        <v>27050</v>
      </c>
      <c r="G5" s="52">
        <f>F5-(SUM(I5:T5))</f>
        <v>14774.06</v>
      </c>
      <c r="H5" s="32" t="str">
        <f t="shared" ref="H5" si="0">IF(G5&lt;0,"ATENÇÃO","OK")</f>
        <v>OK</v>
      </c>
      <c r="I5" s="77">
        <v>7000</v>
      </c>
      <c r="J5" s="77">
        <v>1000</v>
      </c>
      <c r="K5" s="77">
        <v>1000</v>
      </c>
      <c r="L5" s="77">
        <v>1000</v>
      </c>
      <c r="M5" s="77">
        <v>1000</v>
      </c>
      <c r="N5" s="77">
        <v>200</v>
      </c>
      <c r="O5" s="77">
        <v>200</v>
      </c>
      <c r="P5" s="77">
        <v>0</v>
      </c>
      <c r="Q5" s="77">
        <v>275.94</v>
      </c>
      <c r="R5" s="77">
        <v>0</v>
      </c>
      <c r="S5" s="77">
        <v>500</v>
      </c>
      <c r="T5" s="77">
        <v>100</v>
      </c>
      <c r="U5" s="77">
        <v>2000</v>
      </c>
      <c r="V5" s="77">
        <v>2000</v>
      </c>
      <c r="W5" s="77">
        <v>1000</v>
      </c>
      <c r="X5" s="77">
        <v>100</v>
      </c>
      <c r="Y5" s="77">
        <v>800</v>
      </c>
      <c r="Z5" s="77">
        <v>450</v>
      </c>
      <c r="AA5" s="77">
        <v>650</v>
      </c>
      <c r="AB5" s="77"/>
      <c r="AC5" s="77"/>
      <c r="AD5" s="77"/>
      <c r="AE5" s="77"/>
      <c r="AF5" s="77"/>
      <c r="AG5" s="77"/>
      <c r="AH5" s="77">
        <v>1000</v>
      </c>
    </row>
    <row r="6" spans="1:34" x14ac:dyDescent="0.25">
      <c r="I6" s="56"/>
      <c r="J6" s="56"/>
      <c r="K6" s="56"/>
      <c r="L6" s="56"/>
      <c r="M6" s="56"/>
    </row>
  </sheetData>
  <mergeCells count="32">
    <mergeCell ref="AF1:AF2"/>
    <mergeCell ref="AG1:AG2"/>
    <mergeCell ref="AH1:AH2"/>
    <mergeCell ref="AB1:AB2"/>
    <mergeCell ref="AC1:AC2"/>
    <mergeCell ref="AD1:AD2"/>
    <mergeCell ref="AE1:AE2"/>
    <mergeCell ref="Z1:Z2"/>
    <mergeCell ref="AA1:AA2"/>
    <mergeCell ref="U1:U2"/>
    <mergeCell ref="V1:V2"/>
    <mergeCell ref="W1:W2"/>
    <mergeCell ref="X1:X2"/>
    <mergeCell ref="Y1:Y2"/>
    <mergeCell ref="S1:S2"/>
    <mergeCell ref="T1:T2"/>
    <mergeCell ref="P1:P2"/>
    <mergeCell ref="Q1:Q2"/>
    <mergeCell ref="N1:N2"/>
    <mergeCell ref="O1:O2"/>
    <mergeCell ref="J1:J2"/>
    <mergeCell ref="K1:K2"/>
    <mergeCell ref="A4:A5"/>
    <mergeCell ref="B4:B5"/>
    <mergeCell ref="R1:R2"/>
    <mergeCell ref="A2:H2"/>
    <mergeCell ref="L1:L2"/>
    <mergeCell ref="M1:M2"/>
    <mergeCell ref="A1:C1"/>
    <mergeCell ref="D1:E1"/>
    <mergeCell ref="F1:H1"/>
    <mergeCell ref="I1:I2"/>
  </mergeCells>
  <conditionalFormatting sqref="AB4:AH5">
    <cfRule type="cellIs" dxfId="68" priority="1" stopIfTrue="1" operator="greaterThan">
      <formula>0</formula>
    </cfRule>
    <cfRule type="cellIs" dxfId="67" priority="2" stopIfTrue="1" operator="greaterThan">
      <formula>0</formula>
    </cfRule>
    <cfRule type="cellIs" dxfId="66" priority="3" stopIfTrue="1" operator="greaterThan">
      <formula>0</formula>
    </cfRule>
  </conditionalFormatting>
  <conditionalFormatting sqref="I4:Y5">
    <cfRule type="cellIs" dxfId="65" priority="16" stopIfTrue="1" operator="greaterThan">
      <formula>0</formula>
    </cfRule>
    <cfRule type="cellIs" dxfId="64" priority="17" stopIfTrue="1" operator="greaterThan">
      <formula>0</formula>
    </cfRule>
    <cfRule type="cellIs" dxfId="63" priority="18" stopIfTrue="1" operator="greaterThan">
      <formula>0</formula>
    </cfRule>
  </conditionalFormatting>
  <conditionalFormatting sqref="AA4:AA5">
    <cfRule type="cellIs" dxfId="62" priority="13" stopIfTrue="1" operator="greaterThan">
      <formula>0</formula>
    </cfRule>
    <cfRule type="cellIs" dxfId="61" priority="14" stopIfTrue="1" operator="greaterThan">
      <formula>0</formula>
    </cfRule>
    <cfRule type="cellIs" dxfId="60" priority="15" stopIfTrue="1" operator="greaterThan">
      <formula>0</formula>
    </cfRule>
  </conditionalFormatting>
  <conditionalFormatting sqref="Z4:Z5">
    <cfRule type="cellIs" dxfId="59" priority="10" stopIfTrue="1" operator="greaterThan">
      <formula>0</formula>
    </cfRule>
    <cfRule type="cellIs" dxfId="58" priority="11" stopIfTrue="1" operator="greaterThan">
      <formula>0</formula>
    </cfRule>
    <cfRule type="cellIs" dxfId="57" priority="12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"/>
  <sheetViews>
    <sheetView zoomScale="84" zoomScaleNormal="84" workbookViewId="0">
      <selection activeCell="P1" sqref="P1:P1048576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1" width="12" style="21" bestFit="1" customWidth="1"/>
    <col min="12" max="12" width="13" style="21" bestFit="1" customWidth="1"/>
    <col min="13" max="13" width="12" style="21" bestFit="1" customWidth="1"/>
    <col min="14" max="14" width="13" style="21" bestFit="1" customWidth="1"/>
    <col min="15" max="18" width="12" style="21" customWidth="1"/>
    <col min="19" max="16384" width="9.7109375" style="17"/>
  </cols>
  <sheetData>
    <row r="1" spans="1:18" ht="58.5" customHeight="1" x14ac:dyDescent="0.25">
      <c r="A1" s="85" t="s">
        <v>45</v>
      </c>
      <c r="B1" s="85"/>
      <c r="C1" s="85"/>
      <c r="D1" s="85" t="s">
        <v>37</v>
      </c>
      <c r="E1" s="85"/>
      <c r="F1" s="85" t="s">
        <v>44</v>
      </c>
      <c r="G1" s="85"/>
      <c r="H1" s="85"/>
      <c r="I1" s="84" t="s">
        <v>76</v>
      </c>
      <c r="J1" s="84" t="s">
        <v>77</v>
      </c>
      <c r="K1" s="84" t="s">
        <v>78</v>
      </c>
      <c r="L1" s="84" t="s">
        <v>79</v>
      </c>
      <c r="M1" s="84" t="s">
        <v>80</v>
      </c>
      <c r="N1" s="84" t="s">
        <v>81</v>
      </c>
      <c r="O1" s="84" t="s">
        <v>82</v>
      </c>
      <c r="P1" s="84" t="s">
        <v>83</v>
      </c>
      <c r="Q1" s="84" t="s">
        <v>43</v>
      </c>
      <c r="R1" s="84" t="s">
        <v>43</v>
      </c>
    </row>
    <row r="2" spans="1:18" ht="21.75" customHeight="1" x14ac:dyDescent="0.25">
      <c r="A2" s="85" t="s">
        <v>52</v>
      </c>
      <c r="B2" s="85"/>
      <c r="C2" s="85"/>
      <c r="D2" s="85"/>
      <c r="E2" s="85"/>
      <c r="F2" s="85"/>
      <c r="G2" s="85"/>
      <c r="H2" s="85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s="18" customFormat="1" ht="45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62</v>
      </c>
      <c r="F3" s="28" t="s">
        <v>27</v>
      </c>
      <c r="G3" s="29" t="s">
        <v>0</v>
      </c>
      <c r="H3" s="25" t="s">
        <v>6</v>
      </c>
      <c r="I3" s="76">
        <v>43559</v>
      </c>
      <c r="J3" s="76">
        <v>43559</v>
      </c>
      <c r="K3" s="76">
        <v>43620</v>
      </c>
      <c r="L3" s="76">
        <v>43691</v>
      </c>
      <c r="M3" s="76">
        <v>43703</v>
      </c>
      <c r="N3" s="76">
        <v>43727</v>
      </c>
      <c r="O3" s="76">
        <v>43740</v>
      </c>
      <c r="P3" s="76">
        <v>43760</v>
      </c>
      <c r="Q3" s="30" t="s">
        <v>2</v>
      </c>
      <c r="R3" s="30" t="s">
        <v>2</v>
      </c>
    </row>
    <row r="4" spans="1:18" ht="20.100000000000001" customHeight="1" x14ac:dyDescent="0.25">
      <c r="A4" s="86" t="s">
        <v>46</v>
      </c>
      <c r="B4" s="87">
        <v>1</v>
      </c>
      <c r="C4" s="31">
        <v>1</v>
      </c>
      <c r="D4" s="24" t="s">
        <v>35</v>
      </c>
      <c r="E4" s="60">
        <v>3.6499999999999998E-2</v>
      </c>
      <c r="F4" s="55">
        <f>60000-5000</f>
        <v>55000</v>
      </c>
      <c r="G4" s="52">
        <f>F4-(SUM(I4:R4))</f>
        <v>16828.199999999997</v>
      </c>
      <c r="H4" s="32" t="str">
        <f>IF(G4&lt;0,"ATENÇÃO","OK")</f>
        <v>OK</v>
      </c>
      <c r="I4" s="77">
        <v>7500</v>
      </c>
      <c r="J4" s="77">
        <v>12271.8</v>
      </c>
      <c r="K4" s="77">
        <v>2000</v>
      </c>
      <c r="L4" s="77">
        <v>12000</v>
      </c>
      <c r="M4" s="77">
        <v>900</v>
      </c>
      <c r="N4" s="77">
        <v>2000</v>
      </c>
      <c r="O4" s="77">
        <v>1500</v>
      </c>
      <c r="P4" s="77">
        <v>0</v>
      </c>
      <c r="Q4" s="57">
        <v>0</v>
      </c>
      <c r="R4" s="57">
        <v>0</v>
      </c>
    </row>
    <row r="5" spans="1:18" ht="20.100000000000001" customHeight="1" x14ac:dyDescent="0.25">
      <c r="A5" s="86"/>
      <c r="B5" s="87"/>
      <c r="C5" s="33">
        <v>2</v>
      </c>
      <c r="D5" s="23" t="s">
        <v>36</v>
      </c>
      <c r="E5" s="60">
        <v>2.5000000000000001E-2</v>
      </c>
      <c r="F5" s="55">
        <f>12000+1200+3000</f>
        <v>16200</v>
      </c>
      <c r="G5" s="52">
        <f>F5-(SUM(I5:R5))</f>
        <v>2000</v>
      </c>
      <c r="H5" s="32" t="str">
        <f t="shared" ref="H5" si="0">IF(G5&lt;0,"ATENÇÃO","OK")</f>
        <v>OK</v>
      </c>
      <c r="I5" s="77">
        <v>2500</v>
      </c>
      <c r="J5" s="77">
        <v>5000</v>
      </c>
      <c r="K5" s="77">
        <v>1000</v>
      </c>
      <c r="L5" s="77">
        <v>2000</v>
      </c>
      <c r="M5" s="77">
        <v>1200</v>
      </c>
      <c r="N5" s="77">
        <v>1000</v>
      </c>
      <c r="O5" s="77">
        <v>0</v>
      </c>
      <c r="P5" s="77">
        <v>1500</v>
      </c>
      <c r="Q5" s="57">
        <v>0</v>
      </c>
      <c r="R5" s="57">
        <v>0</v>
      </c>
    </row>
    <row r="6" spans="1:18" x14ac:dyDescent="0.25">
      <c r="I6" s="56"/>
      <c r="J6" s="56"/>
      <c r="K6" s="56"/>
      <c r="L6" s="56"/>
      <c r="M6" s="56"/>
    </row>
  </sheetData>
  <mergeCells count="16">
    <mergeCell ref="Q1:Q2"/>
    <mergeCell ref="R1:R2"/>
    <mergeCell ref="N1:N2"/>
    <mergeCell ref="O1:O2"/>
    <mergeCell ref="J1:J2"/>
    <mergeCell ref="K1:K2"/>
    <mergeCell ref="A4:A5"/>
    <mergeCell ref="B4:B5"/>
    <mergeCell ref="P1:P2"/>
    <mergeCell ref="A2:H2"/>
    <mergeCell ref="L1:L2"/>
    <mergeCell ref="M1:M2"/>
    <mergeCell ref="A1:C1"/>
    <mergeCell ref="D1:E1"/>
    <mergeCell ref="F1:H1"/>
    <mergeCell ref="I1:I2"/>
  </mergeCells>
  <conditionalFormatting sqref="I4:R5">
    <cfRule type="cellIs" dxfId="56" priority="4" stopIfTrue="1" operator="greaterThan">
      <formula>0</formula>
    </cfRule>
    <cfRule type="cellIs" dxfId="55" priority="5" stopIfTrue="1" operator="greaterThan">
      <formula>0</formula>
    </cfRule>
    <cfRule type="cellIs" dxfId="54" priority="6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"/>
  <sheetViews>
    <sheetView zoomScale="84" zoomScaleNormal="84" workbookViewId="0">
      <selection activeCell="I1" sqref="I1:J5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85" t="s">
        <v>45</v>
      </c>
      <c r="B1" s="85"/>
      <c r="C1" s="85"/>
      <c r="D1" s="85" t="s">
        <v>37</v>
      </c>
      <c r="E1" s="85"/>
      <c r="F1" s="85" t="s">
        <v>44</v>
      </c>
      <c r="G1" s="85"/>
      <c r="H1" s="85"/>
      <c r="I1" s="84" t="s">
        <v>74</v>
      </c>
      <c r="J1" s="84" t="s">
        <v>75</v>
      </c>
      <c r="K1" s="84" t="s">
        <v>43</v>
      </c>
      <c r="L1" s="84" t="s">
        <v>43</v>
      </c>
      <c r="M1" s="84" t="s">
        <v>43</v>
      </c>
      <c r="N1" s="84" t="s">
        <v>43</v>
      </c>
      <c r="O1" s="84" t="s">
        <v>43</v>
      </c>
      <c r="P1" s="84" t="s">
        <v>43</v>
      </c>
      <c r="Q1" s="84" t="s">
        <v>43</v>
      </c>
      <c r="R1" s="84" t="s">
        <v>43</v>
      </c>
      <c r="S1" s="84" t="s">
        <v>43</v>
      </c>
      <c r="T1" s="84" t="s">
        <v>43</v>
      </c>
    </row>
    <row r="2" spans="1:20" ht="21.75" customHeight="1" x14ac:dyDescent="0.25">
      <c r="A2" s="85" t="s">
        <v>53</v>
      </c>
      <c r="B2" s="85"/>
      <c r="C2" s="85"/>
      <c r="D2" s="85"/>
      <c r="E2" s="85"/>
      <c r="F2" s="85"/>
      <c r="G2" s="85"/>
      <c r="H2" s="85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s="18" customFormat="1" ht="45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62</v>
      </c>
      <c r="F3" s="28" t="s">
        <v>27</v>
      </c>
      <c r="G3" s="29" t="s">
        <v>0</v>
      </c>
      <c r="H3" s="25" t="s">
        <v>6</v>
      </c>
      <c r="I3" s="76">
        <v>43584</v>
      </c>
      <c r="J3" s="76">
        <v>43745</v>
      </c>
      <c r="K3" s="30" t="s">
        <v>2</v>
      </c>
      <c r="L3" s="30" t="s">
        <v>2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86" t="s">
        <v>46</v>
      </c>
      <c r="B4" s="87">
        <v>1</v>
      </c>
      <c r="C4" s="31">
        <v>1</v>
      </c>
      <c r="D4" s="24" t="s">
        <v>35</v>
      </c>
      <c r="E4" s="60">
        <v>3.6499999999999998E-2</v>
      </c>
      <c r="F4" s="55">
        <f>28000-3000</f>
        <v>25000</v>
      </c>
      <c r="G4" s="52">
        <f>F4-(SUM(I4:T4))</f>
        <v>13825</v>
      </c>
      <c r="H4" s="32" t="str">
        <f>IF(G4&lt;0,"ATENÇÃO","OK")</f>
        <v>OK</v>
      </c>
      <c r="I4" s="77">
        <v>175</v>
      </c>
      <c r="J4" s="77">
        <v>11000</v>
      </c>
      <c r="K4" s="57">
        <v>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86"/>
      <c r="B5" s="87"/>
      <c r="C5" s="33">
        <v>2</v>
      </c>
      <c r="D5" s="23" t="s">
        <v>36</v>
      </c>
      <c r="E5" s="60">
        <v>2.5000000000000001E-2</v>
      </c>
      <c r="F5" s="55">
        <f>2000+3000</f>
        <v>5000</v>
      </c>
      <c r="G5" s="52">
        <f>F5-(SUM(I5:T5))</f>
        <v>-90</v>
      </c>
      <c r="H5" s="32" t="str">
        <f t="shared" ref="H5" si="0">IF(G5&lt;0,"ATENÇÃO","OK")</f>
        <v>ATENÇÃO</v>
      </c>
      <c r="I5" s="77">
        <v>90</v>
      </c>
      <c r="J5" s="77">
        <v>5000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R1:R2"/>
    <mergeCell ref="S1:S2"/>
    <mergeCell ref="T1:T2"/>
    <mergeCell ref="N1:N2"/>
    <mergeCell ref="O1:O2"/>
    <mergeCell ref="P1:P2"/>
    <mergeCell ref="Q1:Q2"/>
    <mergeCell ref="A2:H2"/>
    <mergeCell ref="A4:A5"/>
    <mergeCell ref="B4:B5"/>
    <mergeCell ref="L1:L2"/>
    <mergeCell ref="M1:M2"/>
    <mergeCell ref="A1:C1"/>
    <mergeCell ref="D1:E1"/>
    <mergeCell ref="F1:H1"/>
    <mergeCell ref="I1:I2"/>
    <mergeCell ref="J1:J2"/>
    <mergeCell ref="K1:K2"/>
  </mergeCells>
  <conditionalFormatting sqref="K4:T5">
    <cfRule type="cellIs" dxfId="53" priority="4" stopIfTrue="1" operator="greaterThan">
      <formula>0</formula>
    </cfRule>
    <cfRule type="cellIs" dxfId="52" priority="5" stopIfTrue="1" operator="greaterThan">
      <formula>0</formula>
    </cfRule>
    <cfRule type="cellIs" dxfId="51" priority="6" stopIfTrue="1" operator="greaterThan">
      <formula>0</formula>
    </cfRule>
  </conditionalFormatting>
  <conditionalFormatting sqref="I4:J5">
    <cfRule type="cellIs" dxfId="50" priority="1" stopIfTrue="1" operator="greaterThan">
      <formula>0</formula>
    </cfRule>
    <cfRule type="cellIs" dxfId="49" priority="2" stopIfTrue="1" operator="greaterThan">
      <formula>0</formula>
    </cfRule>
    <cfRule type="cellIs" dxfId="48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zoomScale="84" zoomScaleNormal="84" workbookViewId="0">
      <selection activeCell="I1" sqref="I1:T5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85" t="s">
        <v>45</v>
      </c>
      <c r="B1" s="85"/>
      <c r="C1" s="85"/>
      <c r="D1" s="85" t="s">
        <v>37</v>
      </c>
      <c r="E1" s="85"/>
      <c r="F1" s="85" t="s">
        <v>44</v>
      </c>
      <c r="G1" s="85"/>
      <c r="H1" s="85"/>
      <c r="I1" s="84" t="s">
        <v>132</v>
      </c>
      <c r="J1" s="84" t="s">
        <v>133</v>
      </c>
      <c r="K1" s="84" t="s">
        <v>134</v>
      </c>
      <c r="L1" s="84" t="s">
        <v>135</v>
      </c>
      <c r="M1" s="84" t="s">
        <v>136</v>
      </c>
      <c r="N1" s="84" t="s">
        <v>137</v>
      </c>
      <c r="O1" s="84" t="s">
        <v>138</v>
      </c>
      <c r="P1" s="84" t="s">
        <v>139</v>
      </c>
      <c r="Q1" s="84" t="s">
        <v>140</v>
      </c>
      <c r="R1" s="84" t="s">
        <v>141</v>
      </c>
      <c r="S1" s="84" t="s">
        <v>142</v>
      </c>
      <c r="T1" s="108" t="s">
        <v>143</v>
      </c>
    </row>
    <row r="2" spans="1:20" ht="21.75" customHeight="1" x14ac:dyDescent="0.25">
      <c r="A2" s="85" t="s">
        <v>54</v>
      </c>
      <c r="B2" s="85"/>
      <c r="C2" s="85"/>
      <c r="D2" s="85"/>
      <c r="E2" s="85"/>
      <c r="F2" s="85"/>
      <c r="G2" s="85"/>
      <c r="H2" s="85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109"/>
    </row>
    <row r="3" spans="1:20" s="18" customFormat="1" ht="45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62</v>
      </c>
      <c r="F3" s="28" t="s">
        <v>27</v>
      </c>
      <c r="G3" s="29" t="s">
        <v>0</v>
      </c>
      <c r="H3" s="25" t="s">
        <v>6</v>
      </c>
      <c r="I3" s="76">
        <v>43587</v>
      </c>
      <c r="J3" s="76">
        <v>43587</v>
      </c>
      <c r="K3" s="76">
        <v>43588</v>
      </c>
      <c r="L3" s="76">
        <v>43602</v>
      </c>
      <c r="M3" s="30" t="s">
        <v>144</v>
      </c>
      <c r="N3" s="76">
        <v>43647</v>
      </c>
      <c r="O3" s="76">
        <v>43658</v>
      </c>
      <c r="P3" s="76">
        <v>43676</v>
      </c>
      <c r="Q3" s="76">
        <v>43686</v>
      </c>
      <c r="R3" s="76">
        <v>43755</v>
      </c>
      <c r="S3" s="76">
        <v>43773</v>
      </c>
      <c r="T3" s="76">
        <v>43409</v>
      </c>
    </row>
    <row r="4" spans="1:20" ht="20.100000000000001" customHeight="1" x14ac:dyDescent="0.25">
      <c r="A4" s="86" t="s">
        <v>46</v>
      </c>
      <c r="B4" s="87">
        <v>1</v>
      </c>
      <c r="C4" s="31">
        <v>1</v>
      </c>
      <c r="D4" s="24" t="s">
        <v>35</v>
      </c>
      <c r="E4" s="60">
        <v>3.6499999999999998E-2</v>
      </c>
      <c r="F4" s="55">
        <v>17500</v>
      </c>
      <c r="G4" s="52">
        <f>F4-(SUM(I4:T4))</f>
        <v>6426.99</v>
      </c>
      <c r="H4" s="32" t="str">
        <f>IF(G4&lt;0,"ATENÇÃO","OK")</f>
        <v>OK</v>
      </c>
      <c r="I4" s="77">
        <v>1200</v>
      </c>
      <c r="J4" s="77">
        <v>1600</v>
      </c>
      <c r="K4" s="77">
        <v>1200</v>
      </c>
      <c r="L4" s="77">
        <v>400</v>
      </c>
      <c r="M4" s="77">
        <v>30.08</v>
      </c>
      <c r="N4" s="77">
        <v>1592.93</v>
      </c>
      <c r="O4" s="77">
        <v>650</v>
      </c>
      <c r="P4" s="77">
        <v>900</v>
      </c>
      <c r="Q4" s="77">
        <v>600</v>
      </c>
      <c r="R4" s="77">
        <v>1300</v>
      </c>
      <c r="S4" s="77">
        <v>1200</v>
      </c>
      <c r="T4" s="77">
        <v>400</v>
      </c>
    </row>
    <row r="5" spans="1:20" ht="20.100000000000001" customHeight="1" x14ac:dyDescent="0.25">
      <c r="A5" s="86"/>
      <c r="B5" s="87"/>
      <c r="C5" s="33">
        <v>2</v>
      </c>
      <c r="D5" s="23" t="s">
        <v>36</v>
      </c>
      <c r="E5" s="60">
        <v>2.5000000000000001E-2</v>
      </c>
      <c r="F5" s="55">
        <v>3800</v>
      </c>
      <c r="G5" s="52">
        <f>F5-(SUM(I5:T5))</f>
        <v>1350</v>
      </c>
      <c r="H5" s="32" t="str">
        <f t="shared" ref="H5" si="0">IF(G5&lt;0,"ATENÇÃO","OK")</f>
        <v>OK</v>
      </c>
      <c r="I5" s="77">
        <v>300</v>
      </c>
      <c r="J5" s="77">
        <v>400</v>
      </c>
      <c r="K5" s="77">
        <v>300</v>
      </c>
      <c r="L5" s="77">
        <v>0</v>
      </c>
      <c r="M5" s="77">
        <v>0</v>
      </c>
      <c r="N5" s="77">
        <v>400</v>
      </c>
      <c r="O5" s="77">
        <v>150</v>
      </c>
      <c r="P5" s="77">
        <v>0</v>
      </c>
      <c r="Q5" s="77">
        <v>0</v>
      </c>
      <c r="R5" s="77">
        <v>200</v>
      </c>
      <c r="S5" s="77">
        <v>300</v>
      </c>
      <c r="T5" s="77">
        <v>400</v>
      </c>
    </row>
    <row r="6" spans="1:20" x14ac:dyDescent="0.25">
      <c r="I6" s="56"/>
      <c r="J6" s="56"/>
      <c r="K6" s="56"/>
      <c r="L6" s="56"/>
      <c r="M6" s="56"/>
    </row>
  </sheetData>
  <mergeCells count="18">
    <mergeCell ref="S1:S2"/>
    <mergeCell ref="T1:T2"/>
    <mergeCell ref="N1:N2"/>
    <mergeCell ref="O1:O2"/>
    <mergeCell ref="P1:P2"/>
    <mergeCell ref="Q1:Q2"/>
    <mergeCell ref="J1:J2"/>
    <mergeCell ref="K1:K2"/>
    <mergeCell ref="A4:A5"/>
    <mergeCell ref="B4:B5"/>
    <mergeCell ref="R1:R2"/>
    <mergeCell ref="A2:H2"/>
    <mergeCell ref="L1:L2"/>
    <mergeCell ref="M1:M2"/>
    <mergeCell ref="A1:C1"/>
    <mergeCell ref="D1:E1"/>
    <mergeCell ref="F1:H1"/>
    <mergeCell ref="I1:I2"/>
  </mergeCells>
  <conditionalFormatting sqref="I4:T5">
    <cfRule type="cellIs" dxfId="47" priority="1" stopIfTrue="1" operator="greaterThan">
      <formula>0</formula>
    </cfRule>
    <cfRule type="cellIs" dxfId="46" priority="2" stopIfTrue="1" operator="greaterThan">
      <formula>0</formula>
    </cfRule>
    <cfRule type="cellIs" dxfId="45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zoomScale="84" zoomScaleNormal="84" workbookViewId="0">
      <selection activeCell="I1" sqref="I1:P5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85" t="s">
        <v>45</v>
      </c>
      <c r="B1" s="85"/>
      <c r="C1" s="85"/>
      <c r="D1" s="85" t="s">
        <v>37</v>
      </c>
      <c r="E1" s="85"/>
      <c r="F1" s="85" t="s">
        <v>44</v>
      </c>
      <c r="G1" s="85"/>
      <c r="H1" s="85"/>
      <c r="I1" s="84" t="s">
        <v>104</v>
      </c>
      <c r="J1" s="84" t="s">
        <v>105</v>
      </c>
      <c r="K1" s="84" t="s">
        <v>106</v>
      </c>
      <c r="L1" s="84" t="s">
        <v>107</v>
      </c>
      <c r="M1" s="84" t="s">
        <v>108</v>
      </c>
      <c r="N1" s="84" t="s">
        <v>109</v>
      </c>
      <c r="O1" s="84" t="s">
        <v>110</v>
      </c>
      <c r="P1" s="84" t="s">
        <v>111</v>
      </c>
      <c r="Q1" s="84" t="s">
        <v>43</v>
      </c>
      <c r="R1" s="84" t="s">
        <v>43</v>
      </c>
      <c r="S1" s="84" t="s">
        <v>43</v>
      </c>
      <c r="T1" s="84" t="s">
        <v>43</v>
      </c>
    </row>
    <row r="2" spans="1:20" ht="21.75" customHeight="1" x14ac:dyDescent="0.25">
      <c r="A2" s="85" t="s">
        <v>55</v>
      </c>
      <c r="B2" s="85"/>
      <c r="C2" s="85"/>
      <c r="D2" s="85"/>
      <c r="E2" s="85"/>
      <c r="F2" s="85"/>
      <c r="G2" s="85"/>
      <c r="H2" s="85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s="18" customFormat="1" ht="45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62</v>
      </c>
      <c r="F3" s="28" t="s">
        <v>27</v>
      </c>
      <c r="G3" s="29" t="s">
        <v>0</v>
      </c>
      <c r="H3" s="25" t="s">
        <v>6</v>
      </c>
      <c r="I3" s="76">
        <v>43678</v>
      </c>
      <c r="J3" s="76">
        <v>43683</v>
      </c>
      <c r="K3" s="76">
        <v>43713</v>
      </c>
      <c r="L3" s="76">
        <v>43724</v>
      </c>
      <c r="M3" s="76">
        <v>43731</v>
      </c>
      <c r="N3" s="76">
        <v>43742</v>
      </c>
      <c r="O3" s="76">
        <v>43754</v>
      </c>
      <c r="P3" s="76">
        <v>43761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86" t="s">
        <v>46</v>
      </c>
      <c r="B4" s="87">
        <v>1</v>
      </c>
      <c r="C4" s="31">
        <v>1</v>
      </c>
      <c r="D4" s="24" t="s">
        <v>35</v>
      </c>
      <c r="E4" s="60">
        <v>3.6499999999999998E-2</v>
      </c>
      <c r="F4" s="55">
        <v>10000</v>
      </c>
      <c r="G4" s="52">
        <f>F4-(SUM(I4:T4))</f>
        <v>7403.15</v>
      </c>
      <c r="H4" s="32" t="str">
        <f>IF(G4&lt;0,"ATENÇÃO","OK")</f>
        <v>OK</v>
      </c>
      <c r="I4" s="77">
        <v>186.57</v>
      </c>
      <c r="J4" s="77">
        <v>725.55</v>
      </c>
      <c r="K4" s="77">
        <v>62.19</v>
      </c>
      <c r="L4" s="77">
        <v>186.57</v>
      </c>
      <c r="M4" s="77">
        <v>870.66</v>
      </c>
      <c r="N4" s="77">
        <v>186.57</v>
      </c>
      <c r="O4" s="77">
        <v>238.81</v>
      </c>
      <c r="P4" s="77">
        <v>139.93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86"/>
      <c r="B5" s="87"/>
      <c r="C5" s="33">
        <v>2</v>
      </c>
      <c r="D5" s="23" t="s">
        <v>36</v>
      </c>
      <c r="E5" s="60">
        <v>2.5000000000000001E-2</v>
      </c>
      <c r="F5" s="55">
        <v>3000</v>
      </c>
      <c r="G5" s="52">
        <f>F5-(SUM(I5:T5))</f>
        <v>2631</v>
      </c>
      <c r="H5" s="32" t="str">
        <f t="shared" ref="H5" si="0">IF(G5&lt;0,"ATENÇÃO","OK")</f>
        <v>OK</v>
      </c>
      <c r="I5" s="77">
        <v>0</v>
      </c>
      <c r="J5" s="77">
        <v>369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S1:S2"/>
    <mergeCell ref="T1:T2"/>
    <mergeCell ref="N1:N2"/>
    <mergeCell ref="O1:O2"/>
    <mergeCell ref="P1:P2"/>
    <mergeCell ref="Q1:Q2"/>
    <mergeCell ref="J1:J2"/>
    <mergeCell ref="K1:K2"/>
    <mergeCell ref="A4:A5"/>
    <mergeCell ref="B4:B5"/>
    <mergeCell ref="R1:R2"/>
    <mergeCell ref="A2:H2"/>
    <mergeCell ref="L1:L2"/>
    <mergeCell ref="M1:M2"/>
    <mergeCell ref="A1:C1"/>
    <mergeCell ref="D1:E1"/>
    <mergeCell ref="F1:H1"/>
    <mergeCell ref="I1:I2"/>
  </mergeCells>
  <conditionalFormatting sqref="Q4:T5">
    <cfRule type="cellIs" dxfId="44" priority="4" stopIfTrue="1" operator="greaterThan">
      <formula>0</formula>
    </cfRule>
    <cfRule type="cellIs" dxfId="43" priority="5" stopIfTrue="1" operator="greaterThan">
      <formula>0</formula>
    </cfRule>
    <cfRule type="cellIs" dxfId="42" priority="6" stopIfTrue="1" operator="greaterThan">
      <formula>0</formula>
    </cfRule>
  </conditionalFormatting>
  <conditionalFormatting sqref="I4:P5">
    <cfRule type="cellIs" dxfId="41" priority="1" stopIfTrue="1" operator="greaterThan">
      <formula>0</formula>
    </cfRule>
    <cfRule type="cellIs" dxfId="40" priority="2" stopIfTrue="1" operator="greaterThan">
      <formula>0</formula>
    </cfRule>
    <cfRule type="cellIs" dxfId="39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aditivo </vt:lpstr>
      <vt:lpstr>REITORIA</vt:lpstr>
      <vt:lpstr>PROEX</vt:lpstr>
      <vt:lpstr>ESAG</vt:lpstr>
      <vt:lpstr>CEART</vt:lpstr>
      <vt:lpstr>FAED</vt:lpstr>
      <vt:lpstr>CEAD</vt:lpstr>
      <vt:lpstr>CEFID</vt:lpstr>
      <vt:lpstr>CERES</vt:lpstr>
      <vt:lpstr>CESFI</vt:lpstr>
      <vt:lpstr>CCT</vt:lpstr>
      <vt:lpstr>CEO</vt:lpstr>
      <vt:lpstr>CAV</vt:lpstr>
      <vt:lpstr>CEAVI</vt:lpstr>
      <vt:lpstr>CEPLAN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2015-07-08T18:46:53Z</cp:lastPrinted>
  <dcterms:created xsi:type="dcterms:W3CDTF">2010-06-19T20:43:11Z</dcterms:created>
  <dcterms:modified xsi:type="dcterms:W3CDTF">2019-11-08T11:16:15Z</dcterms:modified>
</cp:coreProperties>
</file>