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PE 0622.2024 SRP SGPE 5664.2024 - Coleta de Resíduos - VIG 15.05.2025\"/>
    </mc:Choice>
  </mc:AlternateContent>
  <xr:revisionPtr revIDLastSave="0" documentId="13_ncr:1_{CC14D738-DB3B-4CC1-AC04-A8CC6CD0C019}" xr6:coauthVersionLast="47" xr6:coauthVersionMax="47" xr10:uidLastSave="{00000000-0000-0000-0000-000000000000}"/>
  <bookViews>
    <workbookView xWindow="28680" yWindow="-120" windowWidth="29040" windowHeight="15720" tabRatio="390" activeTab="7" xr2:uid="{00000000-000D-0000-FFFF-FFFF00000000}"/>
  </bookViews>
  <sheets>
    <sheet name="Reitoria " sheetId="113" r:id="rId1"/>
    <sheet name="ESAG" sheetId="138" r:id="rId2"/>
    <sheet name="CEART" sheetId="139" r:id="rId3"/>
    <sheet name="CEFID" sheetId="140" r:id="rId4"/>
    <sheet name="CERES" sheetId="141" r:id="rId5"/>
    <sheet name="CESFI" sheetId="142" r:id="rId6"/>
    <sheet name="CCT" sheetId="143" r:id="rId7"/>
    <sheet name="GESTOR" sheetId="128" r:id="rId8"/>
  </sheets>
  <definedNames>
    <definedName name="_xlnm._FilterDatabase" localSheetId="0" hidden="1">'Reitoria '!$A$3:$AG$18</definedName>
    <definedName name="CEPLAN" localSheetId="7">#REF!</definedName>
    <definedName name="CEPLAN">#REF!</definedName>
    <definedName name="diasuteis" localSheetId="7">#REF!</definedName>
    <definedName name="diasuteis">#REF!</definedName>
    <definedName name="Ferias" localSheetId="7">#REF!</definedName>
    <definedName name="Ferias">#REF!</definedName>
    <definedName name="RD" localSheetId="7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43" l="1"/>
  <c r="J18" i="142"/>
  <c r="J18" i="141"/>
  <c r="N18" i="141"/>
  <c r="J18" i="140"/>
  <c r="N18" i="140"/>
  <c r="R18" i="139"/>
  <c r="S18" i="139"/>
  <c r="J18" i="139"/>
  <c r="N18" i="139"/>
  <c r="J18" i="138"/>
  <c r="N18" i="138"/>
  <c r="R18" i="138"/>
  <c r="S18" i="138"/>
  <c r="R18" i="113"/>
  <c r="S18" i="113"/>
  <c r="J18" i="113"/>
  <c r="N18" i="113"/>
  <c r="R17" i="143"/>
  <c r="R16" i="143"/>
  <c r="R15" i="143"/>
  <c r="R14" i="143"/>
  <c r="R13" i="143"/>
  <c r="R12" i="143"/>
  <c r="R11" i="143"/>
  <c r="R10" i="143"/>
  <c r="R9" i="143"/>
  <c r="R8" i="143"/>
  <c r="R7" i="143"/>
  <c r="R6" i="143"/>
  <c r="R5" i="143"/>
  <c r="R4" i="143"/>
  <c r="R18" i="143" s="1"/>
  <c r="S18" i="143" s="1"/>
  <c r="R17" i="142"/>
  <c r="R16" i="142"/>
  <c r="R15" i="142"/>
  <c r="R14" i="142"/>
  <c r="R13" i="142"/>
  <c r="R12" i="142"/>
  <c r="R11" i="142"/>
  <c r="R10" i="142"/>
  <c r="R9" i="142"/>
  <c r="R8" i="142"/>
  <c r="R7" i="142"/>
  <c r="R6" i="142"/>
  <c r="R5" i="142"/>
  <c r="R18" i="142" s="1"/>
  <c r="S18" i="142" s="1"/>
  <c r="R4" i="142"/>
  <c r="R17" i="141"/>
  <c r="R16" i="141"/>
  <c r="R15" i="141"/>
  <c r="R14" i="141"/>
  <c r="R13" i="141"/>
  <c r="R12" i="141"/>
  <c r="R11" i="141"/>
  <c r="R10" i="141"/>
  <c r="R9" i="141"/>
  <c r="R8" i="141"/>
  <c r="R7" i="141"/>
  <c r="R6" i="141"/>
  <c r="R5" i="141"/>
  <c r="R4" i="141"/>
  <c r="R18" i="141" s="1"/>
  <c r="S18" i="141" s="1"/>
  <c r="R17" i="140"/>
  <c r="R16" i="140"/>
  <c r="R15" i="140"/>
  <c r="R14" i="140"/>
  <c r="R13" i="140"/>
  <c r="R12" i="140"/>
  <c r="R11" i="140"/>
  <c r="R10" i="140"/>
  <c r="R9" i="140"/>
  <c r="R8" i="140"/>
  <c r="R7" i="140"/>
  <c r="R6" i="140"/>
  <c r="R5" i="140"/>
  <c r="R4" i="140"/>
  <c r="R18" i="140" s="1"/>
  <c r="S18" i="140" s="1"/>
  <c r="R17" i="139"/>
  <c r="R16" i="139"/>
  <c r="R15" i="139"/>
  <c r="R14" i="139"/>
  <c r="R13" i="139"/>
  <c r="R12" i="139"/>
  <c r="R11" i="139"/>
  <c r="R10" i="139"/>
  <c r="R9" i="139"/>
  <c r="R8" i="139"/>
  <c r="R7" i="139"/>
  <c r="R6" i="139"/>
  <c r="R5" i="139"/>
  <c r="R4" i="139"/>
  <c r="R17" i="138"/>
  <c r="R16" i="138"/>
  <c r="R15" i="138"/>
  <c r="R14" i="138"/>
  <c r="R13" i="138"/>
  <c r="R12" i="138"/>
  <c r="R11" i="138"/>
  <c r="R10" i="138"/>
  <c r="R9" i="138"/>
  <c r="R8" i="138"/>
  <c r="R7" i="138"/>
  <c r="R6" i="138"/>
  <c r="R5" i="138"/>
  <c r="R4" i="138"/>
  <c r="R5" i="113"/>
  <c r="R6" i="113"/>
  <c r="R7" i="113"/>
  <c r="R8" i="113"/>
  <c r="R9" i="113"/>
  <c r="R10" i="113"/>
  <c r="R11" i="113"/>
  <c r="R12" i="113"/>
  <c r="R13" i="113"/>
  <c r="R14" i="113"/>
  <c r="R15" i="113"/>
  <c r="R16" i="113"/>
  <c r="R17" i="113"/>
  <c r="R4" i="113"/>
  <c r="K5" i="128"/>
  <c r="N5" i="128" s="1"/>
  <c r="K6" i="128"/>
  <c r="N6" i="128" s="1"/>
  <c r="K7" i="128"/>
  <c r="N7" i="128" s="1"/>
  <c r="K8" i="128"/>
  <c r="N8" i="128" s="1"/>
  <c r="K9" i="128"/>
  <c r="N9" i="128" s="1"/>
  <c r="K10" i="128"/>
  <c r="N10" i="128" s="1"/>
  <c r="K11" i="128"/>
  <c r="N11" i="128" s="1"/>
  <c r="K12" i="128"/>
  <c r="N12" i="128" s="1"/>
  <c r="K13" i="128"/>
  <c r="N13" i="128" s="1"/>
  <c r="K14" i="128"/>
  <c r="N14" i="128" s="1"/>
  <c r="K15" i="128"/>
  <c r="N15" i="128" s="1"/>
  <c r="K16" i="128"/>
  <c r="N16" i="128" s="1"/>
  <c r="K17" i="128"/>
  <c r="N17" i="128" s="1"/>
  <c r="K4" i="128"/>
  <c r="N4" i="128" s="1"/>
  <c r="J5" i="128"/>
  <c r="J6" i="128"/>
  <c r="J7" i="128"/>
  <c r="J8" i="128"/>
  <c r="J9" i="128"/>
  <c r="J10" i="128"/>
  <c r="J11" i="128"/>
  <c r="J12" i="128"/>
  <c r="J13" i="128"/>
  <c r="J14" i="128"/>
  <c r="J15" i="128"/>
  <c r="J16" i="128"/>
  <c r="J17" i="128"/>
  <c r="J4" i="128"/>
  <c r="N18" i="128" l="1"/>
  <c r="J19" i="143"/>
  <c r="J19" i="142"/>
  <c r="J19" i="141"/>
  <c r="J19" i="140"/>
  <c r="J19" i="139"/>
  <c r="J19" i="138"/>
  <c r="N17" i="143"/>
  <c r="L17" i="143"/>
  <c r="K17" i="143"/>
  <c r="N16" i="143"/>
  <c r="L16" i="143"/>
  <c r="K16" i="143"/>
  <c r="N15" i="143"/>
  <c r="L15" i="143"/>
  <c r="K15" i="143"/>
  <c r="N14" i="143"/>
  <c r="L14" i="143"/>
  <c r="K14" i="143"/>
  <c r="N13" i="143"/>
  <c r="L13" i="143"/>
  <c r="K13" i="143"/>
  <c r="N12" i="143"/>
  <c r="L12" i="143"/>
  <c r="K12" i="143"/>
  <c r="N11" i="143"/>
  <c r="L11" i="143"/>
  <c r="K11" i="143"/>
  <c r="N10" i="143"/>
  <c r="L10" i="143"/>
  <c r="K10" i="143"/>
  <c r="N9" i="143"/>
  <c r="L9" i="143"/>
  <c r="K9" i="143"/>
  <c r="N8" i="143"/>
  <c r="L8" i="143"/>
  <c r="K8" i="143"/>
  <c r="N7" i="143"/>
  <c r="L7" i="143"/>
  <c r="K7" i="143"/>
  <c r="N6" i="143"/>
  <c r="L6" i="143"/>
  <c r="K6" i="143"/>
  <c r="N5" i="143"/>
  <c r="L5" i="143"/>
  <c r="K5" i="143"/>
  <c r="N4" i="143"/>
  <c r="L4" i="143"/>
  <c r="L19" i="143" s="1"/>
  <c r="K4" i="143"/>
  <c r="K19" i="143" s="1"/>
  <c r="N17" i="142"/>
  <c r="L17" i="142"/>
  <c r="K17" i="142"/>
  <c r="N16" i="142"/>
  <c r="L16" i="142"/>
  <c r="K16" i="142"/>
  <c r="N15" i="142"/>
  <c r="L15" i="142"/>
  <c r="K15" i="142"/>
  <c r="N14" i="142"/>
  <c r="L14" i="142"/>
  <c r="K14" i="142"/>
  <c r="N13" i="142"/>
  <c r="L13" i="142"/>
  <c r="K13" i="142"/>
  <c r="N12" i="142"/>
  <c r="L12" i="142"/>
  <c r="K12" i="142"/>
  <c r="N11" i="142"/>
  <c r="L11" i="142"/>
  <c r="K11" i="142"/>
  <c r="N10" i="142"/>
  <c r="L10" i="142"/>
  <c r="K10" i="142"/>
  <c r="N9" i="142"/>
  <c r="L9" i="142"/>
  <c r="K9" i="142"/>
  <c r="N8" i="142"/>
  <c r="L8" i="142"/>
  <c r="K8" i="142"/>
  <c r="N7" i="142"/>
  <c r="L7" i="142"/>
  <c r="K7" i="142"/>
  <c r="N6" i="142"/>
  <c r="L6" i="142"/>
  <c r="K6" i="142"/>
  <c r="N5" i="142"/>
  <c r="L5" i="142"/>
  <c r="K5" i="142"/>
  <c r="N4" i="142"/>
  <c r="L4" i="142"/>
  <c r="K4" i="142"/>
  <c r="N17" i="141"/>
  <c r="L17" i="141"/>
  <c r="K17" i="141"/>
  <c r="N16" i="141"/>
  <c r="L16" i="141"/>
  <c r="K16" i="141"/>
  <c r="N15" i="141"/>
  <c r="L15" i="141"/>
  <c r="K15" i="141"/>
  <c r="N14" i="141"/>
  <c r="L14" i="141"/>
  <c r="K14" i="141"/>
  <c r="N13" i="141"/>
  <c r="L13" i="141"/>
  <c r="K13" i="141"/>
  <c r="N12" i="141"/>
  <c r="L12" i="141"/>
  <c r="K12" i="141"/>
  <c r="N11" i="141"/>
  <c r="L11" i="141"/>
  <c r="K11" i="141"/>
  <c r="N10" i="141"/>
  <c r="L10" i="141"/>
  <c r="K10" i="141"/>
  <c r="N9" i="141"/>
  <c r="L9" i="141"/>
  <c r="K9" i="141"/>
  <c r="N8" i="141"/>
  <c r="L8" i="141"/>
  <c r="K8" i="141"/>
  <c r="N7" i="141"/>
  <c r="L7" i="141"/>
  <c r="K7" i="141"/>
  <c r="N6" i="141"/>
  <c r="L6" i="141"/>
  <c r="K6" i="141"/>
  <c r="N5" i="141"/>
  <c r="L5" i="141"/>
  <c r="K5" i="141"/>
  <c r="N4" i="141"/>
  <c r="L4" i="141"/>
  <c r="L19" i="141" s="1"/>
  <c r="K4" i="141"/>
  <c r="K19" i="141" s="1"/>
  <c r="N17" i="140"/>
  <c r="L17" i="140"/>
  <c r="K17" i="140"/>
  <c r="H17" i="128" s="1"/>
  <c r="N16" i="140"/>
  <c r="L16" i="140"/>
  <c r="K16" i="140"/>
  <c r="H16" i="128" s="1"/>
  <c r="N15" i="140"/>
  <c r="L15" i="140"/>
  <c r="K15" i="140"/>
  <c r="N14" i="140"/>
  <c r="L14" i="140"/>
  <c r="K14" i="140"/>
  <c r="H14" i="128" s="1"/>
  <c r="N13" i="140"/>
  <c r="L13" i="140"/>
  <c r="K13" i="140"/>
  <c r="N12" i="140"/>
  <c r="L12" i="140"/>
  <c r="K12" i="140"/>
  <c r="N11" i="140"/>
  <c r="L11" i="140"/>
  <c r="K11" i="140"/>
  <c r="N10" i="140"/>
  <c r="L10" i="140"/>
  <c r="K10" i="140"/>
  <c r="N9" i="140"/>
  <c r="L9" i="140"/>
  <c r="K9" i="140"/>
  <c r="H9" i="128" s="1"/>
  <c r="N8" i="140"/>
  <c r="L8" i="140"/>
  <c r="K8" i="140"/>
  <c r="H8" i="128" s="1"/>
  <c r="N7" i="140"/>
  <c r="L7" i="140"/>
  <c r="K7" i="140"/>
  <c r="N6" i="140"/>
  <c r="L6" i="140"/>
  <c r="K6" i="140"/>
  <c r="H6" i="128" s="1"/>
  <c r="N5" i="140"/>
  <c r="L5" i="140"/>
  <c r="L19" i="140" s="1"/>
  <c r="K5" i="140"/>
  <c r="N4" i="140"/>
  <c r="L4" i="140"/>
  <c r="K4" i="140"/>
  <c r="N17" i="139"/>
  <c r="L17" i="139"/>
  <c r="K17" i="139"/>
  <c r="N16" i="139"/>
  <c r="L16" i="139"/>
  <c r="K16" i="139"/>
  <c r="N15" i="139"/>
  <c r="L15" i="139"/>
  <c r="K15" i="139"/>
  <c r="N14" i="139"/>
  <c r="L14" i="139"/>
  <c r="K14" i="139"/>
  <c r="N13" i="139"/>
  <c r="L13" i="139"/>
  <c r="K13" i="139"/>
  <c r="N12" i="139"/>
  <c r="L12" i="139"/>
  <c r="K12" i="139"/>
  <c r="N11" i="139"/>
  <c r="L11" i="139"/>
  <c r="K11" i="139"/>
  <c r="N10" i="139"/>
  <c r="L10" i="139"/>
  <c r="K10" i="139"/>
  <c r="N9" i="139"/>
  <c r="L9" i="139"/>
  <c r="K9" i="139"/>
  <c r="N8" i="139"/>
  <c r="L8" i="139"/>
  <c r="K8" i="139"/>
  <c r="N7" i="139"/>
  <c r="L7" i="139"/>
  <c r="K7" i="139"/>
  <c r="N6" i="139"/>
  <c r="L6" i="139"/>
  <c r="K6" i="139"/>
  <c r="N5" i="139"/>
  <c r="L5" i="139"/>
  <c r="L19" i="139" s="1"/>
  <c r="K5" i="139"/>
  <c r="N4" i="139"/>
  <c r="L4" i="139"/>
  <c r="K4" i="139"/>
  <c r="K19" i="139" s="1"/>
  <c r="N17" i="138"/>
  <c r="L17" i="138"/>
  <c r="K17" i="138"/>
  <c r="N16" i="138"/>
  <c r="L16" i="138"/>
  <c r="K16" i="138"/>
  <c r="N15" i="138"/>
  <c r="L15" i="138"/>
  <c r="K15" i="138"/>
  <c r="N14" i="138"/>
  <c r="L14" i="138"/>
  <c r="K14" i="138"/>
  <c r="N13" i="138"/>
  <c r="L13" i="138"/>
  <c r="K13" i="138"/>
  <c r="N12" i="138"/>
  <c r="L12" i="138"/>
  <c r="K12" i="138"/>
  <c r="N11" i="138"/>
  <c r="L11" i="138"/>
  <c r="K11" i="138"/>
  <c r="N10" i="138"/>
  <c r="L10" i="138"/>
  <c r="K10" i="138"/>
  <c r="N9" i="138"/>
  <c r="L9" i="138"/>
  <c r="K9" i="138"/>
  <c r="N8" i="138"/>
  <c r="L8" i="138"/>
  <c r="K8" i="138"/>
  <c r="N7" i="138"/>
  <c r="L7" i="138"/>
  <c r="K7" i="138"/>
  <c r="N6" i="138"/>
  <c r="L6" i="138"/>
  <c r="K6" i="138"/>
  <c r="N5" i="138"/>
  <c r="L5" i="138"/>
  <c r="K5" i="138"/>
  <c r="N4" i="138"/>
  <c r="L4" i="138"/>
  <c r="L19" i="138" s="1"/>
  <c r="K4" i="138"/>
  <c r="K19" i="138" s="1"/>
  <c r="K19" i="113"/>
  <c r="L19" i="113"/>
  <c r="J19" i="113"/>
  <c r="N5" i="113"/>
  <c r="N6" i="113"/>
  <c r="N7" i="113"/>
  <c r="N8" i="113"/>
  <c r="N9" i="113"/>
  <c r="N10" i="113"/>
  <c r="N11" i="113"/>
  <c r="N12" i="113"/>
  <c r="N13" i="113"/>
  <c r="N14" i="113"/>
  <c r="N15" i="113"/>
  <c r="N16" i="113"/>
  <c r="N17" i="113"/>
  <c r="N4" i="113"/>
  <c r="L5" i="113"/>
  <c r="L6" i="113"/>
  <c r="L7" i="113"/>
  <c r="L8" i="113"/>
  <c r="L9" i="113"/>
  <c r="L10" i="113"/>
  <c r="L11" i="113"/>
  <c r="L12" i="113"/>
  <c r="L13" i="113"/>
  <c r="L14" i="113"/>
  <c r="L15" i="113"/>
  <c r="L16" i="113"/>
  <c r="L17" i="113"/>
  <c r="L4" i="113"/>
  <c r="K5" i="113"/>
  <c r="K6" i="113"/>
  <c r="K7" i="113"/>
  <c r="K8" i="113"/>
  <c r="K9" i="113"/>
  <c r="K10" i="113"/>
  <c r="K11" i="113"/>
  <c r="K12" i="113"/>
  <c r="K13" i="113"/>
  <c r="K14" i="113"/>
  <c r="K15" i="113"/>
  <c r="K16" i="113"/>
  <c r="K17" i="113"/>
  <c r="K4" i="113"/>
  <c r="H5" i="128" l="1"/>
  <c r="H13" i="128"/>
  <c r="L19" i="142"/>
  <c r="H10" i="128"/>
  <c r="K19" i="142"/>
  <c r="H11" i="128"/>
  <c r="H12" i="128"/>
  <c r="H7" i="128"/>
  <c r="H15" i="128"/>
  <c r="K19" i="140"/>
  <c r="H4" i="128"/>
  <c r="J17" i="143"/>
  <c r="S17" i="143" s="1"/>
  <c r="J16" i="143"/>
  <c r="S16" i="143" s="1"/>
  <c r="J15" i="143"/>
  <c r="S15" i="143" s="1"/>
  <c r="J14" i="143"/>
  <c r="J13" i="143"/>
  <c r="S13" i="143" s="1"/>
  <c r="J12" i="143"/>
  <c r="J5" i="143"/>
  <c r="S5" i="143" s="1"/>
  <c r="J6" i="143"/>
  <c r="J7" i="143"/>
  <c r="J8" i="143"/>
  <c r="J9" i="143"/>
  <c r="S9" i="143" s="1"/>
  <c r="J10" i="143"/>
  <c r="S10" i="143" s="1"/>
  <c r="J11" i="143"/>
  <c r="S11" i="143" s="1"/>
  <c r="J4" i="143"/>
  <c r="S4" i="143" s="1"/>
  <c r="AG18" i="143"/>
  <c r="AF18" i="143"/>
  <c r="AE18" i="143"/>
  <c r="AD18" i="143"/>
  <c r="AC18" i="143"/>
  <c r="AB18" i="143"/>
  <c r="AA18" i="143"/>
  <c r="Z18" i="143"/>
  <c r="Y18" i="143"/>
  <c r="X18" i="143"/>
  <c r="W18" i="143"/>
  <c r="V18" i="143"/>
  <c r="S14" i="143"/>
  <c r="S8" i="143"/>
  <c r="S7" i="143"/>
  <c r="J17" i="142"/>
  <c r="S17" i="142" s="1"/>
  <c r="J16" i="142"/>
  <c r="S16" i="142" s="1"/>
  <c r="J5" i="142"/>
  <c r="J6" i="142"/>
  <c r="S6" i="142" s="1"/>
  <c r="J7" i="142"/>
  <c r="S7" i="142" s="1"/>
  <c r="J8" i="142"/>
  <c r="S8" i="142" s="1"/>
  <c r="J9" i="142"/>
  <c r="S9" i="142" s="1"/>
  <c r="J10" i="142"/>
  <c r="J11" i="142"/>
  <c r="J12" i="142"/>
  <c r="S12" i="142" s="1"/>
  <c r="J13" i="142"/>
  <c r="S13" i="142" s="1"/>
  <c r="J14" i="142"/>
  <c r="S14" i="142" s="1"/>
  <c r="J15" i="142"/>
  <c r="S15" i="142" s="1"/>
  <c r="J4" i="142"/>
  <c r="AG18" i="142"/>
  <c r="AF18" i="142"/>
  <c r="AE18" i="142"/>
  <c r="AD18" i="142"/>
  <c r="AC18" i="142"/>
  <c r="AB18" i="142"/>
  <c r="AA18" i="142"/>
  <c r="Z18" i="142"/>
  <c r="Y18" i="142"/>
  <c r="X18" i="142"/>
  <c r="W18" i="142"/>
  <c r="V18" i="142"/>
  <c r="U18" i="142"/>
  <c r="S11" i="142"/>
  <c r="S10" i="142"/>
  <c r="S5" i="142"/>
  <c r="J12" i="141"/>
  <c r="J13" i="141"/>
  <c r="S13" i="141" s="1"/>
  <c r="J14" i="141"/>
  <c r="S14" i="141" s="1"/>
  <c r="J15" i="141"/>
  <c r="S15" i="141" s="1"/>
  <c r="J16" i="141"/>
  <c r="J17" i="141"/>
  <c r="S17" i="141" s="1"/>
  <c r="J11" i="141"/>
  <c r="J10" i="141"/>
  <c r="S10" i="141" s="1"/>
  <c r="J9" i="141"/>
  <c r="J8" i="141"/>
  <c r="S8" i="141" s="1"/>
  <c r="J7" i="141"/>
  <c r="J6" i="141"/>
  <c r="J5" i="141"/>
  <c r="J4" i="141"/>
  <c r="S4" i="141" s="1"/>
  <c r="AG18" i="141"/>
  <c r="AF18" i="141"/>
  <c r="AE18" i="141"/>
  <c r="AD18" i="141"/>
  <c r="AC18" i="141"/>
  <c r="AB18" i="141"/>
  <c r="AA18" i="141"/>
  <c r="Z18" i="141"/>
  <c r="Y18" i="141"/>
  <c r="X18" i="141"/>
  <c r="W18" i="141"/>
  <c r="V18" i="141"/>
  <c r="U18" i="141"/>
  <c r="S16" i="141"/>
  <c r="S12" i="141"/>
  <c r="S11" i="141"/>
  <c r="S9" i="141"/>
  <c r="S7" i="141"/>
  <c r="S6" i="141"/>
  <c r="S5" i="141"/>
  <c r="J13" i="140"/>
  <c r="J14" i="140"/>
  <c r="S14" i="140" s="1"/>
  <c r="J15" i="140"/>
  <c r="S15" i="140" s="1"/>
  <c r="J16" i="140"/>
  <c r="S16" i="140" s="1"/>
  <c r="J17" i="140"/>
  <c r="J12" i="140"/>
  <c r="J11" i="140"/>
  <c r="S11" i="140" s="1"/>
  <c r="J10" i="140"/>
  <c r="S10" i="140" s="1"/>
  <c r="J9" i="140"/>
  <c r="S9" i="140" s="1"/>
  <c r="J8" i="140"/>
  <c r="J7" i="140"/>
  <c r="J6" i="140"/>
  <c r="S6" i="140" s="1"/>
  <c r="J5" i="140"/>
  <c r="J4" i="140"/>
  <c r="S4" i="140" s="1"/>
  <c r="AG18" i="140"/>
  <c r="AF18" i="140"/>
  <c r="AE18" i="140"/>
  <c r="AD18" i="140"/>
  <c r="AC18" i="140"/>
  <c r="AB18" i="140"/>
  <c r="AA18" i="140"/>
  <c r="Z18" i="140"/>
  <c r="Y18" i="140"/>
  <c r="X18" i="140"/>
  <c r="W18" i="140"/>
  <c r="V18" i="140"/>
  <c r="S17" i="140"/>
  <c r="S13" i="140"/>
  <c r="S12" i="140"/>
  <c r="S8" i="140"/>
  <c r="S7" i="140"/>
  <c r="S5" i="140"/>
  <c r="J10" i="139"/>
  <c r="S10" i="139" s="1"/>
  <c r="J11" i="139"/>
  <c r="S11" i="139" s="1"/>
  <c r="J12" i="139"/>
  <c r="J13" i="139"/>
  <c r="S13" i="139" s="1"/>
  <c r="J14" i="139"/>
  <c r="J15" i="139"/>
  <c r="S15" i="139" s="1"/>
  <c r="J16" i="139"/>
  <c r="S16" i="139" s="1"/>
  <c r="J17" i="139"/>
  <c r="S17" i="139" s="1"/>
  <c r="J9" i="139"/>
  <c r="J8" i="139"/>
  <c r="S8" i="139" s="1"/>
  <c r="J7" i="139"/>
  <c r="S7" i="139" s="1"/>
  <c r="J6" i="139"/>
  <c r="S6" i="139" s="1"/>
  <c r="J5" i="139"/>
  <c r="S5" i="139" s="1"/>
  <c r="J4" i="139"/>
  <c r="S4" i="139" s="1"/>
  <c r="AG18" i="139"/>
  <c r="AF18" i="139"/>
  <c r="AE18" i="139"/>
  <c r="AD18" i="139"/>
  <c r="AC18" i="139"/>
  <c r="AB18" i="139"/>
  <c r="AA18" i="139"/>
  <c r="Z18" i="139"/>
  <c r="Y18" i="139"/>
  <c r="X18" i="139"/>
  <c r="W18" i="139"/>
  <c r="V18" i="139"/>
  <c r="U18" i="139"/>
  <c r="T18" i="139"/>
  <c r="S14" i="139"/>
  <c r="S12" i="139"/>
  <c r="S9" i="139"/>
  <c r="J7" i="138"/>
  <c r="S7" i="138" s="1"/>
  <c r="J8" i="138"/>
  <c r="J9" i="138"/>
  <c r="S9" i="138" s="1"/>
  <c r="J10" i="138"/>
  <c r="S10" i="138" s="1"/>
  <c r="J11" i="138"/>
  <c r="S11" i="138" s="1"/>
  <c r="J12" i="138"/>
  <c r="S12" i="138" s="1"/>
  <c r="J13" i="138"/>
  <c r="J14" i="138"/>
  <c r="S14" i="138" s="1"/>
  <c r="J15" i="138"/>
  <c r="S15" i="138" s="1"/>
  <c r="J16" i="138"/>
  <c r="S16" i="138" s="1"/>
  <c r="J17" i="138"/>
  <c r="J6" i="138"/>
  <c r="S6" i="138" s="1"/>
  <c r="J5" i="138"/>
  <c r="S5" i="138" s="1"/>
  <c r="J4" i="138"/>
  <c r="S4" i="138" s="1"/>
  <c r="AG18" i="138"/>
  <c r="AF18" i="138"/>
  <c r="AE18" i="138"/>
  <c r="AD18" i="138"/>
  <c r="AC18" i="138"/>
  <c r="AB18" i="138"/>
  <c r="AA18" i="138"/>
  <c r="Z18" i="138"/>
  <c r="Y18" i="138"/>
  <c r="X18" i="138"/>
  <c r="W18" i="138"/>
  <c r="V18" i="138"/>
  <c r="U18" i="138"/>
  <c r="T18" i="138"/>
  <c r="S17" i="138"/>
  <c r="S13" i="138"/>
  <c r="S8" i="138"/>
  <c r="J8" i="113"/>
  <c r="J9" i="113"/>
  <c r="J10" i="113"/>
  <c r="J11" i="113"/>
  <c r="G11" i="128" s="1"/>
  <c r="J12" i="113"/>
  <c r="J13" i="113"/>
  <c r="J14" i="113"/>
  <c r="J15" i="113"/>
  <c r="J16" i="113"/>
  <c r="J17" i="113"/>
  <c r="G17" i="128" s="1"/>
  <c r="J7" i="113"/>
  <c r="J6" i="113"/>
  <c r="J5" i="113"/>
  <c r="J4" i="113"/>
  <c r="S12" i="113"/>
  <c r="T18" i="113"/>
  <c r="AG18" i="113"/>
  <c r="AF18" i="113"/>
  <c r="I7" i="128" l="1"/>
  <c r="G16" i="128"/>
  <c r="M16" i="128" s="1"/>
  <c r="G8" i="128"/>
  <c r="G9" i="128"/>
  <c r="G4" i="128"/>
  <c r="G7" i="128"/>
  <c r="G12" i="128"/>
  <c r="G10" i="128"/>
  <c r="I9" i="128"/>
  <c r="I14" i="128"/>
  <c r="G14" i="128"/>
  <c r="M14" i="128" s="1"/>
  <c r="I15" i="128"/>
  <c r="G15" i="128"/>
  <c r="M15" i="128" s="1"/>
  <c r="I5" i="128"/>
  <c r="G5" i="128"/>
  <c r="S11" i="113"/>
  <c r="I6" i="128"/>
  <c r="G6" i="128"/>
  <c r="I13" i="128"/>
  <c r="G13" i="128"/>
  <c r="I10" i="128"/>
  <c r="S14" i="113"/>
  <c r="S13" i="113"/>
  <c r="S16" i="113"/>
  <c r="I16" i="128"/>
  <c r="S17" i="113"/>
  <c r="I17" i="128"/>
  <c r="S12" i="143"/>
  <c r="I12" i="128"/>
  <c r="S6" i="143"/>
  <c r="S4" i="142"/>
  <c r="I8" i="128"/>
  <c r="L8" i="128" s="1"/>
  <c r="L15" i="128" l="1"/>
  <c r="L13" i="128"/>
  <c r="L5" i="128"/>
  <c r="L10" i="128"/>
  <c r="L12" i="128"/>
  <c r="L14" i="128"/>
  <c r="L16" i="128"/>
  <c r="L6" i="128"/>
  <c r="L9" i="128"/>
  <c r="L7" i="128"/>
  <c r="O17" i="128"/>
  <c r="L17" i="128"/>
  <c r="S10" i="113"/>
  <c r="S15" i="113"/>
  <c r="I11" i="128"/>
  <c r="L11" i="128" s="1"/>
  <c r="O16" i="128"/>
  <c r="O14" i="128"/>
  <c r="O15" i="128"/>
  <c r="W18" i="113"/>
  <c r="U18" i="113" l="1"/>
  <c r="V18" i="113"/>
  <c r="X18" i="113"/>
  <c r="Y18" i="113"/>
  <c r="Z18" i="113"/>
  <c r="AA18" i="113"/>
  <c r="AB18" i="113"/>
  <c r="AC18" i="113"/>
  <c r="AD18" i="113"/>
  <c r="AE18" i="113"/>
  <c r="M8" i="128" l="1"/>
  <c r="M10" i="128"/>
  <c r="M11" i="128"/>
  <c r="M5" i="128"/>
  <c r="M6" i="128"/>
  <c r="I4" i="128"/>
  <c r="L4" i="128" s="1"/>
  <c r="S6" i="113"/>
  <c r="O11" i="128" l="1"/>
  <c r="M9" i="128"/>
  <c r="S7" i="113"/>
  <c r="S5" i="113"/>
  <c r="S4" i="113"/>
  <c r="S9" i="113" l="1"/>
  <c r="O9" i="128" l="1"/>
  <c r="O5" i="128"/>
  <c r="O8" i="128"/>
  <c r="O6" i="128"/>
  <c r="O10" i="128"/>
  <c r="M4" i="128"/>
  <c r="M12" i="128"/>
  <c r="M17" i="128"/>
  <c r="G21" i="128"/>
  <c r="M7" i="128" l="1"/>
  <c r="M13" i="128"/>
  <c r="G23" i="128"/>
  <c r="G22" i="128"/>
  <c r="O12" i="128" l="1"/>
  <c r="O4" i="128"/>
  <c r="O13" i="128"/>
  <c r="O7" i="128"/>
  <c r="M18" i="128"/>
  <c r="O24" i="128" s="1"/>
  <c r="O18" i="128" l="1"/>
  <c r="O25" i="128" s="1"/>
  <c r="S8" i="113" l="1"/>
  <c r="O27" i="128" l="1"/>
</calcChain>
</file>

<file path=xl/sharedStrings.xml><?xml version="1.0" encoding="utf-8"?>
<sst xmlns="http://schemas.openxmlformats.org/spreadsheetml/2006/main" count="983" uniqueCount="96">
  <si>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</si>
  <si>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</si>
  <si>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</si>
  <si>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</si>
  <si>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</si>
  <si>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</si>
  <si>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</si>
  <si>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Total da Ata com Aditivo</t>
  </si>
  <si>
    <t>Valor Utilizado</t>
  </si>
  <si>
    <t>% Aditivos</t>
  </si>
  <si>
    <t>% Utilizado</t>
  </si>
  <si>
    <t>CENTRO PARTICIPANTE: GESTOR</t>
  </si>
  <si>
    <t>Kg</t>
  </si>
  <si>
    <t>339039.28</t>
  </si>
  <si>
    <t xml:space="preserve">Item </t>
  </si>
  <si>
    <t>Empresa</t>
  </si>
  <si>
    <t>Grupo-Classe</t>
  </si>
  <si>
    <t>Código NUC</t>
  </si>
  <si>
    <t>Detalhamento</t>
  </si>
  <si>
    <t>02-25</t>
  </si>
  <si>
    <t>Coleta</t>
  </si>
  <si>
    <t>Litro</t>
  </si>
  <si>
    <t>50051 5 006</t>
  </si>
  <si>
    <t>50051 0 002</t>
  </si>
  <si>
    <t>50051 0 003</t>
  </si>
  <si>
    <t>50111 0 001</t>
  </si>
  <si>
    <t>CENTRO PARTICIPANTE: CEART</t>
  </si>
  <si>
    <t>CENTRO PARTICIPANTE: CEFID</t>
  </si>
  <si>
    <t>CENTRO PARTICIPANTE: CERES</t>
  </si>
  <si>
    <t>CENTRO PARTICIPANTE: ESAG</t>
  </si>
  <si>
    <t>OS nº  xxxx/2024 Qtde. DT</t>
  </si>
  <si>
    <t>VIGÊNCIA DA ATA: 15/05/2024 até 15/05/2025</t>
  </si>
  <si>
    <r>
      <rPr>
        <b/>
        <sz val="11"/>
        <rFont val="Calibri"/>
        <family val="2"/>
        <scheme val="minor"/>
      </rPr>
      <t>PE 0622/2024 SRP</t>
    </r>
    <r>
      <rPr>
        <sz val="11"/>
        <rFont val="Calibri"/>
        <family val="2"/>
        <scheme val="minor"/>
      </rPr>
      <t xml:space="preserve"> (SGPE DE ORIGEM: 5664/2024)</t>
    </r>
  </si>
  <si>
    <r>
      <t xml:space="preserve">VIGÊNCIA DA ATA: 15/05/2024 até </t>
    </r>
    <r>
      <rPr>
        <b/>
        <sz val="11"/>
        <rFont val="Calibri"/>
        <family val="2"/>
        <scheme val="minor"/>
      </rPr>
      <t>15/05/2025</t>
    </r>
  </si>
  <si>
    <t>Lote</t>
  </si>
  <si>
    <t>Descrição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</si>
  <si>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ESPECIALIZADA PARA A PRESTAÇÃO DE SERVIÇOS DE COLETA, TRANSPORTE E DESTINAÇÃO FINAL DE RESÍDUOS QUÍMICOS, LABORATORIAIS, HOSPITALARES, ENTULHOS E LÂMPADAS, PARA O CAMPUS I, PARA O CENTRO DE EDUCAÇÃO SUPERIOR DA REGIÃO SUL – CERES, PARA O CENTRO DE EDUCAÇÃO SUPERIOR DA FOZ DO ITAJAÍ – CESFI E PARA O CENTRO DE CIÊNCIAS TECNOLÓGICAS – CCT DA UDESC</t>
    </r>
  </si>
  <si>
    <t>OBS:</t>
  </si>
  <si>
    <t>Prazo de Pagamento: 30 dias</t>
  </si>
  <si>
    <t>Prazo de entrega: 10 dias</t>
  </si>
  <si>
    <t>Lotes 1 a 4; 10; 13; 17 - DESERTO</t>
  </si>
  <si>
    <t>GETECMA - GESTÃO E TECNOLOGIA EM MEIO AMBIENTE LTDA - CNPJ 10.353.830/0001-56</t>
  </si>
  <si>
    <t>ECOEFICIÊNCIA SOLUÇÕES AMBIENTAIS LTDA - CNPJ 05.608.332/0001-77</t>
  </si>
  <si>
    <t>CETRILIFE TRATAMENTO DE RESÍDUOS DE SERVIÇOS DE SAUDE LTDA - CNPJ 26.522.047/0001-09</t>
  </si>
  <si>
    <t>COMWAP SERVICE LTDA - CNPJ 06.077.057/0001-75</t>
  </si>
  <si>
    <t xml:space="preserve">Preço UNITÁRIO </t>
  </si>
  <si>
    <t>50052 5 002</t>
  </si>
  <si>
    <t xml:space="preserve">Unidade </t>
  </si>
  <si>
    <t>50053 5 004</t>
  </si>
  <si>
    <t>M³</t>
  </si>
  <si>
    <t>339039.27</t>
  </si>
  <si>
    <t>50051 5 002</t>
  </si>
  <si>
    <r>
      <t xml:space="preserve">Coleta, transporte e tratamento de lâmpadas fluorescentes e LED.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</si>
  <si>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Destinação final de lâmpadas fluorescentes e LED.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</si>
  <si>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Locação de caçamba com tampa, para recolher resíduos sólidos - Classe IIA - Rejeitos. Capacidade da caçamba em metros cúbicos. Incluindo coleta, transporte e destinação final. </t>
    </r>
    <r>
      <rPr>
        <b/>
        <sz val="11"/>
        <rFont val="Calibri"/>
        <family val="2"/>
      </rPr>
      <t xml:space="preserve">Será calculado o valor por caçamba ao final ao vencedor. </t>
    </r>
    <r>
      <rPr>
        <b/>
        <sz val="11"/>
        <color rgb="FFFF0000"/>
        <rFont val="Calibri"/>
        <family val="2"/>
      </rPr>
      <t>CAMPUS I - CERES</t>
    </r>
    <r>
      <rPr>
        <b/>
        <sz val="11"/>
        <rFont val="Calibri"/>
        <family val="2"/>
      </rPr>
      <t xml:space="preserve"> </t>
    </r>
  </si>
  <si>
    <r>
      <t xml:space="preserve">Coleta e transporte de produtos químicos. </t>
    </r>
    <r>
      <rPr>
        <sz val="11"/>
        <color rgb="FFFF0000"/>
        <rFont val="Calibri"/>
        <family val="2"/>
      </rPr>
      <t xml:space="preserve">CAMPUS I - CERES </t>
    </r>
  </si>
  <si>
    <r>
      <t xml:space="preserve">Destinação final de produtos químicos. </t>
    </r>
    <r>
      <rPr>
        <sz val="11"/>
        <color rgb="FFFF0000"/>
        <rFont val="Calibri"/>
        <family val="2"/>
      </rPr>
      <t>CAMPUS I - CERES</t>
    </r>
    <r>
      <rPr>
        <sz val="11"/>
        <rFont val="Calibri"/>
        <family val="2"/>
      </rPr>
      <t xml:space="preserve"> </t>
    </r>
  </si>
  <si>
    <r>
      <t xml:space="preserve">Coleta e transporte de Lixo Hospitalar (materiais biologicos, contaminantes e perfuro cortantes).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</si>
  <si>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Destinação final de Lixo Hospitalar.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</si>
  <si>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Coleta, transporte, tratamento e destino final de resíduos de fezes, urina e carcaças de camundongos (até 2 sacos de resíduos de fezes e urina e 1 saco de carcaça de camundongo por coleta). Coletas com sacos de até 30 litros.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</si>
  <si>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Coleta, transporte e tratamento de lâmpadas fluorescentes e LED. </t>
    </r>
    <r>
      <rPr>
        <b/>
        <sz val="11"/>
        <rFont val="Calibri"/>
        <family val="2"/>
      </rPr>
      <t>JOINVILLE/SC</t>
    </r>
  </si>
  <si>
    <r>
      <t xml:space="preserve">Destinação final de lâmpadas fluorescentes e LED. </t>
    </r>
    <r>
      <rPr>
        <b/>
        <sz val="11"/>
        <rFont val="Calibri"/>
        <family val="2"/>
      </rPr>
      <t>JOINVILLE/SC</t>
    </r>
  </si>
  <si>
    <r>
      <t xml:space="preserve">Coleta e transporte de produtos químicos. </t>
    </r>
    <r>
      <rPr>
        <b/>
        <sz val="11"/>
        <rFont val="Calibri"/>
        <family val="2"/>
      </rPr>
      <t>JOINVILLE/SC</t>
    </r>
  </si>
  <si>
    <r>
      <t>Destinação final de produtos químicos.</t>
    </r>
    <r>
      <rPr>
        <b/>
        <sz val="11"/>
        <rFont val="Calibri"/>
        <family val="2"/>
      </rPr>
      <t xml:space="preserve"> JOINVILLE/SC</t>
    </r>
  </si>
  <si>
    <r>
      <t xml:space="preserve">Coleta e transporte de produtos químicos. </t>
    </r>
    <r>
      <rPr>
        <b/>
        <sz val="11"/>
        <rFont val="Calibri"/>
        <family val="2"/>
      </rPr>
      <t>BALNEÁRIO CAMBORIÚ/SC</t>
    </r>
  </si>
  <si>
    <r>
      <t xml:space="preserve">Destinação final de produtos químicos. </t>
    </r>
    <r>
      <rPr>
        <b/>
        <sz val="11"/>
        <rFont val="Calibri"/>
        <family val="2"/>
      </rPr>
      <t>BALNEÁRIO CAMBORIÚ/SC</t>
    </r>
  </si>
  <si>
    <t>CENTRO PARTICIPANTE: CESFI</t>
  </si>
  <si>
    <t>CENTRO PARTICIPANTE: CCT</t>
  </si>
  <si>
    <t>Preço UNITÁRIO</t>
  </si>
  <si>
    <t>OBJETO: CONTRATAÇÃO DE EMPRESA ESPECIALIZADA PARA A PRESTAÇÃO DE SERVIÇOS DE COLETA, TRANSPORTE E DESTINAÇÃO FINAL DE RESÍDUOS QUÍMICOS, LABORATORIAIS, HOSPITALARES, ENTULHOS E LÂMPADAS, PARA O CAMPUS I, PARA O CENTRO DE EDUCAÇÃO SUPERIOR DA REGIÃO SUL – CERES, PARA O CENTRO DE EDUCAÇÃO SUPERIOR DA FOZ DO ITAJAÍ – CESFI E PARA O CENTRO DE CIÊNCIAS TECNOLÓGICAS – CCT DA UDESC</t>
  </si>
  <si>
    <t>CENTRO PARTICIPANTE: REITORIA/SEMS</t>
  </si>
  <si>
    <t>OS nº  1252/2024 Qtde. DT</t>
  </si>
  <si>
    <t xml:space="preserve">OS </t>
  </si>
  <si>
    <r>
      <t>339039.</t>
    </r>
    <r>
      <rPr>
        <strike/>
        <sz val="11"/>
        <rFont val="Calibri"/>
        <family val="2"/>
      </rPr>
      <t>27</t>
    </r>
    <r>
      <rPr>
        <sz val="11"/>
        <rFont val="Calibri"/>
        <family val="2"/>
      </rPr>
      <t xml:space="preserve"> </t>
    </r>
    <r>
      <rPr>
        <sz val="11"/>
        <color rgb="FF3333FF"/>
        <rFont val="Calibri"/>
        <family val="2"/>
      </rPr>
      <t>28</t>
    </r>
  </si>
  <si>
    <t>OS nº 3020/2024 Qtde. DT</t>
  </si>
  <si>
    <t>Qtde Utilizada Ata</t>
  </si>
  <si>
    <t>Qtde Utilizada Total</t>
  </si>
  <si>
    <t>Quantidade disponível para aditivar</t>
  </si>
  <si>
    <t>Qtde Aditivada</t>
  </si>
  <si>
    <t xml:space="preserve">Total Registrado </t>
  </si>
  <si>
    <t>Valor Total Aditivado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</si>
  <si>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</si>
  <si>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</si>
  <si>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</si>
  <si>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</si>
  <si>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</si>
  <si>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</si>
  <si>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</si>
  <si>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</si>
  <si>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 xml:space="preserve">OS nº  1301/2024 </t>
  </si>
  <si>
    <t xml:space="preserve">OS nº  1885/2024 </t>
  </si>
  <si>
    <t>OS nº  1986/2024 Qtde. DT</t>
  </si>
  <si>
    <t>OS nº  2453/2024 Qtde. DT</t>
  </si>
  <si>
    <t>OS nº  1420/2024 Qtde. DT</t>
  </si>
  <si>
    <t>OS nº  2596/2024 Qtde. DT</t>
  </si>
  <si>
    <t>Resumo Atualizado 30/01/2025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</si>
</sst>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E6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3333FF"/>
      <name val="Calibri"/>
      <family val="2"/>
    </font>
    <font>
      <strike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FFFF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44" fontId="3" fillId="5" borderId="1" xfId="1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7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3" applyFont="1" applyFill="1" applyAlignment="1">
      <alignment vertical="center" wrapText="1"/>
    </xf>
    <xf numFmtId="0" fontId="3" fillId="0" borderId="0" xfId="1" applyFont="1" applyFill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0" fontId="6" fillId="10" borderId="1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3" fillId="0" borderId="1" xfId="29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4" fontId="3" fillId="12" borderId="2" xfId="13" applyFont="1" applyFill="1" applyBorder="1" applyAlignment="1" applyProtection="1">
      <alignment horizontal="center" vertical="center" wrapText="1"/>
    </xf>
    <xf numFmtId="0" fontId="3" fillId="12" borderId="2" xfId="1" applyFont="1" applyFill="1" applyBorder="1" applyAlignment="1" applyProtection="1">
      <alignment horizontal="center" vertical="center" wrapText="1"/>
    </xf>
    <xf numFmtId="166" fontId="3" fillId="12" borderId="2" xfId="1" applyNumberFormat="1" applyFont="1" applyFill="1" applyBorder="1" applyAlignment="1">
      <alignment horizontal="center" vertical="center" wrapText="1"/>
    </xf>
    <xf numFmtId="0" fontId="3" fillId="12" borderId="2" xfId="1" applyFont="1" applyFill="1" applyBorder="1" applyAlignment="1" applyProtection="1">
      <alignment horizontal="center" vertical="center" wrapText="1"/>
      <protection locked="0"/>
    </xf>
    <xf numFmtId="0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166" fontId="3" fillId="14" borderId="1" xfId="0" applyNumberFormat="1" applyFont="1" applyFill="1" applyBorder="1" applyAlignment="1">
      <alignment horizontal="center" vertical="center" wrapText="1"/>
    </xf>
    <xf numFmtId="3" fontId="3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4" fontId="11" fillId="0" borderId="1" xfId="13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3" fillId="0" borderId="18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justify" vertical="center" wrapText="1"/>
    </xf>
    <xf numFmtId="0" fontId="6" fillId="10" borderId="1" xfId="0" applyFont="1" applyFill="1" applyBorder="1" applyAlignment="1">
      <alignment horizontal="justify" vertical="center" wrapText="1"/>
    </xf>
    <xf numFmtId="0" fontId="6" fillId="8" borderId="1" xfId="1" applyFont="1" applyFill="1" applyBorder="1" applyAlignment="1">
      <alignment horizontal="justify" vertical="center" wrapText="1"/>
    </xf>
    <xf numFmtId="0" fontId="6" fillId="10" borderId="1" xfId="1" applyFont="1" applyFill="1" applyBorder="1" applyAlignment="1">
      <alignment horizontal="justify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4" fontId="11" fillId="10" borderId="1" xfId="13" applyFont="1" applyFill="1" applyBorder="1" applyAlignment="1">
      <alignment horizontal="center" vertical="center"/>
    </xf>
    <xf numFmtId="0" fontId="3" fillId="6" borderId="8" xfId="1" applyFont="1" applyFill="1" applyBorder="1" applyAlignment="1" applyProtection="1">
      <alignment horizontal="left"/>
      <protection locked="0"/>
    </xf>
    <xf numFmtId="0" fontId="3" fillId="6" borderId="15" xfId="1" applyFont="1" applyFill="1" applyBorder="1" applyAlignment="1" applyProtection="1">
      <alignment horizontal="left"/>
      <protection locked="0"/>
    </xf>
    <xf numFmtId="168" fontId="3" fillId="6" borderId="2" xfId="1" applyNumberFormat="1" applyFont="1" applyFill="1" applyBorder="1" applyAlignment="1" applyProtection="1">
      <alignment horizontal="right"/>
      <protection locked="0"/>
    </xf>
    <xf numFmtId="0" fontId="3" fillId="6" borderId="10" xfId="1" applyFont="1" applyFill="1" applyBorder="1" applyAlignment="1" applyProtection="1">
      <alignment horizontal="left"/>
      <protection locked="0"/>
    </xf>
    <xf numFmtId="0" fontId="3" fillId="6" borderId="0" xfId="1" applyFont="1" applyFill="1" applyBorder="1" applyAlignment="1" applyProtection="1">
      <alignment horizontal="left"/>
      <protection locked="0"/>
    </xf>
    <xf numFmtId="168" fontId="3" fillId="6" borderId="3" xfId="1" applyNumberFormat="1" applyFont="1" applyFill="1" applyBorder="1" applyAlignment="1" applyProtection="1">
      <alignment horizontal="right"/>
      <protection locked="0"/>
    </xf>
    <xf numFmtId="2" fontId="3" fillId="6" borderId="3" xfId="1" applyNumberFormat="1" applyFont="1" applyFill="1" applyBorder="1" applyAlignment="1">
      <alignment horizontal="right"/>
    </xf>
    <xf numFmtId="0" fontId="3" fillId="6" borderId="12" xfId="1" applyFont="1" applyFill="1" applyBorder="1" applyAlignment="1" applyProtection="1">
      <alignment horizontal="left"/>
      <protection locked="0"/>
    </xf>
    <xf numFmtId="0" fontId="3" fillId="6" borderId="14" xfId="1" applyFont="1" applyFill="1" applyBorder="1" applyAlignment="1" applyProtection="1">
      <alignment horizontal="left"/>
      <protection locked="0"/>
    </xf>
    <xf numFmtId="9" fontId="3" fillId="6" borderId="4" xfId="12" applyFont="1" applyFill="1" applyBorder="1" applyAlignment="1" applyProtection="1">
      <alignment horizontal="right"/>
      <protection locked="0"/>
    </xf>
    <xf numFmtId="44" fontId="5" fillId="0" borderId="8" xfId="13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44" fontId="3" fillId="16" borderId="1" xfId="13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justify" vertical="center" wrapText="1"/>
    </xf>
    <xf numFmtId="44" fontId="5" fillId="0" borderId="1" xfId="1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166" fontId="9" fillId="17" borderId="1" xfId="1" applyNumberFormat="1" applyFont="1" applyFill="1" applyBorder="1" applyAlignment="1">
      <alignment horizontal="center" vertical="center" wrapText="1"/>
    </xf>
    <xf numFmtId="0" fontId="9" fillId="17" borderId="1" xfId="1" applyFont="1" applyFill="1" applyBorder="1" applyAlignment="1" applyProtection="1">
      <alignment horizontal="center" vertical="center" wrapText="1"/>
      <protection locked="0"/>
    </xf>
    <xf numFmtId="0" fontId="3" fillId="18" borderId="1" xfId="1" applyFont="1" applyFill="1" applyBorder="1" applyAlignment="1" applyProtection="1">
      <alignment horizontal="center" vertical="center" wrapText="1"/>
      <protection locked="0"/>
    </xf>
    <xf numFmtId="3" fontId="3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1" xfId="1" applyFont="1" applyFill="1" applyBorder="1" applyAlignment="1" applyProtection="1">
      <alignment horizontal="center" vertical="center" wrapText="1"/>
      <protection locked="0"/>
    </xf>
    <xf numFmtId="0" fontId="3" fillId="20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" applyNumberFormat="1" applyFont="1" applyFill="1" applyAlignment="1" applyProtection="1">
      <alignment wrapText="1"/>
      <protection locked="0"/>
    </xf>
    <xf numFmtId="166" fontId="3" fillId="21" borderId="5" xfId="0" applyNumberFormat="1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14" fontId="6" fillId="2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25" borderId="1" xfId="0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18" fillId="25" borderId="1" xfId="0" applyNumberFormat="1" applyFont="1" applyFill="1" applyBorder="1" applyAlignment="1">
      <alignment horizontal="center" vertical="center" wrapText="1"/>
    </xf>
    <xf numFmtId="3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  <xf numFmtId="0" fontId="3" fillId="6" borderId="5" xfId="1" applyFont="1" applyFill="1" applyBorder="1" applyAlignment="1" applyProtection="1">
      <alignment horizontal="left"/>
      <protection locked="0"/>
    </xf>
    <xf numFmtId="0" fontId="3" fillId="6" borderId="6" xfId="1" applyFont="1" applyFill="1" applyBorder="1" applyAlignment="1" applyProtection="1">
      <alignment horizontal="left"/>
      <protection locked="0"/>
    </xf>
    <xf numFmtId="0" fontId="3" fillId="6" borderId="7" xfId="1" applyFont="1" applyFill="1" applyBorder="1" applyAlignment="1" applyProtection="1">
      <alignment horizontal="left"/>
      <protection locked="0"/>
    </xf>
    <xf numFmtId="0" fontId="3" fillId="6" borderId="10" xfId="1" applyFont="1" applyFill="1" applyBorder="1" applyAlignment="1">
      <alignment vertical="center" wrapText="1"/>
    </xf>
    <xf numFmtId="0" fontId="3" fillId="6" borderId="0" xfId="1" applyFont="1" applyFill="1" applyBorder="1" applyAlignment="1">
      <alignment vertical="center" wrapText="1"/>
    </xf>
    <xf numFmtId="0" fontId="3" fillId="6" borderId="11" xfId="1" applyFont="1" applyFill="1" applyBorder="1" applyAlignment="1">
      <alignment vertical="center" wrapText="1"/>
    </xf>
    <xf numFmtId="0" fontId="3" fillId="6" borderId="12" xfId="1" applyFont="1" applyFill="1" applyBorder="1" applyAlignment="1">
      <alignment vertical="center" wrapText="1"/>
    </xf>
    <xf numFmtId="0" fontId="3" fillId="6" borderId="14" xfId="1" applyFont="1" applyFill="1" applyBorder="1" applyAlignment="1">
      <alignment vertical="center" wrapText="1"/>
    </xf>
    <xf numFmtId="0" fontId="3" fillId="6" borderId="13" xfId="1" applyFont="1" applyFill="1" applyBorder="1" applyAlignment="1">
      <alignment vertical="center" wrapText="1"/>
    </xf>
    <xf numFmtId="0" fontId="3" fillId="9" borderId="5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0" fontId="3" fillId="9" borderId="5" xfId="0" applyNumberFormat="1" applyFont="1" applyFill="1" applyBorder="1" applyAlignment="1">
      <alignment horizontal="left" vertical="center" wrapText="1"/>
    </xf>
    <xf numFmtId="0" fontId="3" fillId="9" borderId="6" xfId="0" applyNumberFormat="1" applyFont="1" applyFill="1" applyBorder="1" applyAlignment="1">
      <alignment horizontal="left" vertical="center" wrapText="1"/>
    </xf>
    <xf numFmtId="0" fontId="3" fillId="9" borderId="7" xfId="0" applyNumberFormat="1" applyFont="1" applyFill="1" applyBorder="1" applyAlignment="1">
      <alignment horizontal="left" vertical="center" wrapText="1"/>
    </xf>
    <xf numFmtId="0" fontId="3" fillId="6" borderId="8" xfId="1" applyFont="1" applyFill="1" applyBorder="1" applyAlignment="1">
      <alignment vertical="center" wrapText="1"/>
    </xf>
    <xf numFmtId="0" fontId="3" fillId="6" borderId="15" xfId="1" applyFont="1" applyFill="1" applyBorder="1" applyAlignment="1">
      <alignment vertical="center" wrapText="1"/>
    </xf>
    <xf numFmtId="0" fontId="3" fillId="6" borderId="9" xfId="1" applyFont="1" applyFill="1" applyBorder="1" applyAlignment="1">
      <alignment vertical="center" wrapText="1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3000000}"/>
    <cellStyle name="Moeda 3 3" xfId="23" xr:uid="{00000000-0005-0000-0000-000003000000}"/>
    <cellStyle name="Moeda 4" xfId="19" xr:uid="{00000000-0005-0000-0000-00003B000000}"/>
    <cellStyle name="Moeda 4 2" xfId="32" xr:uid="{00000000-0005-0000-0000-00003B000000}"/>
    <cellStyle name="Moeda 5" xfId="20" xr:uid="{00000000-0005-0000-0000-000041000000}"/>
    <cellStyle name="Moeda 5 2" xfId="33" xr:uid="{00000000-0005-0000-0000-000041000000}"/>
    <cellStyle name="Moeda 5 3" xfId="35" xr:uid="{00000000-0005-0000-0000-000006000000}"/>
    <cellStyle name="Moeda 6" xfId="26" xr:uid="{00000000-0005-0000-0000-000042000000}"/>
    <cellStyle name="Moeda 7" xfId="34" xr:uid="{00000000-0005-0000-0000-00004F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9000000}"/>
    <cellStyle name="Separador de milhares 2 2 2 3" xfId="25" xr:uid="{00000000-0005-0000-0000-000009000000}"/>
    <cellStyle name="Separador de milhares 2 2 3" xfId="15" xr:uid="{00000000-0005-0000-0000-000008000000}"/>
    <cellStyle name="Separador de milhares 2 2 3 2" xfId="28" xr:uid="{00000000-0005-0000-0000-000008000000}"/>
    <cellStyle name="Separador de milhares 2 2 4" xfId="22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0B000000}"/>
    <cellStyle name="Separador de milhares 2 3 2 3" xfId="24" xr:uid="{00000000-0005-0000-0000-00000B000000}"/>
    <cellStyle name="Separador de milhares 2 3 3" xfId="14" xr:uid="{00000000-0005-0000-0000-00000A000000}"/>
    <cellStyle name="Separador de milhares 2 3 3 2" xfId="27" xr:uid="{00000000-0005-0000-0000-00000A000000}"/>
    <cellStyle name="Separador de milhares 2 3 4" xfId="21" xr:uid="{00000000-0005-0000-0000-00000A000000}"/>
    <cellStyle name="Separador de milhares 3" xfId="3" xr:uid="{00000000-0005-0000-0000-00000C000000}"/>
    <cellStyle name="Título 5" xfId="4" xr:uid="{00000000-0005-0000-0000-00000D000000}"/>
  </cellStyles>
  <dxfs count="2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CCFFFF"/>
      <color rgb="FF996633"/>
      <color rgb="FFFFFF99"/>
      <color rgb="FFE60000"/>
      <color rgb="FFFF5050"/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"/>
  <sheetViews>
    <sheetView topLeftCell="A10" zoomScale="80" zoomScaleNormal="80" workbookViewId="0">
      <selection activeCell="M32" sqref="M32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43.28515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0" width="14.5703125" style="3" bestFit="1" customWidth="1"/>
    <col min="11" max="17" width="12.85546875" style="3" customWidth="1"/>
    <col min="18" max="18" width="13.28515625" style="13" customWidth="1"/>
    <col min="19" max="19" width="12.5703125" style="4" customWidth="1"/>
    <col min="20" max="20" width="15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87" t="s">
        <v>71</v>
      </c>
      <c r="U1" s="88" t="s">
        <v>74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70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7"/>
      <c r="U2" s="88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71" t="s">
        <v>81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72" t="s">
        <v>0</v>
      </c>
      <c r="S3" s="73" t="s">
        <v>2</v>
      </c>
      <c r="T3" s="68">
        <v>45461</v>
      </c>
      <c r="U3" s="69">
        <v>45617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1</f>
        <v>1</v>
      </c>
      <c r="K4" s="74">
        <f>IF(SUM(T4:AK4)&gt;J4,J4,SUM(T4:AK4))</f>
        <v>0</v>
      </c>
      <c r="L4" s="75">
        <f>SUM(T4:AK4)</f>
        <v>0</v>
      </c>
      <c r="M4" s="77"/>
      <c r="N4" s="76">
        <f>ROUND(IF(J4*0.25-0.5&lt;0,0,J4*0.25-0.5),0)-O4-Q4</f>
        <v>0</v>
      </c>
      <c r="O4" s="77"/>
      <c r="P4" s="77"/>
      <c r="Q4" s="77"/>
      <c r="R4" s="33">
        <f>J4-(SUM(T4:AE4))+M4</f>
        <v>1</v>
      </c>
      <c r="S4" s="34" t="str">
        <f t="shared" ref="S4:S8" si="0">IF(R4&lt;0,"ATENÇÃO","OK")</f>
        <v>OK</v>
      </c>
      <c r="T4" s="26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1000</f>
        <v>1000</v>
      </c>
      <c r="K5" s="74">
        <f t="shared" ref="K5:K17" si="1">IF(SUM(T5:AK5)&gt;J5,J5,SUM(T5:AK5))</f>
        <v>0</v>
      </c>
      <c r="L5" s="75">
        <f t="shared" ref="L5:L17" si="2">SUM(T5:AK5)</f>
        <v>0</v>
      </c>
      <c r="M5" s="77"/>
      <c r="N5" s="76">
        <f t="shared" ref="N5:N18" si="3">ROUND(IF(J5*0.25-0.5&lt;0,0,J5*0.25-0.5),0)-O5-Q5</f>
        <v>250</v>
      </c>
      <c r="O5" s="77"/>
      <c r="P5" s="77"/>
      <c r="Q5" s="77"/>
      <c r="R5" s="33">
        <f t="shared" ref="R5:R17" si="4">J5-(SUM(T5:AE5))+M5</f>
        <v>1000</v>
      </c>
      <c r="S5" s="34" t="str">
        <f t="shared" si="0"/>
        <v>OK</v>
      </c>
      <c r="T5" s="26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72</v>
      </c>
      <c r="H6" s="21" t="s">
        <v>73</v>
      </c>
      <c r="I6" s="50">
        <v>137</v>
      </c>
      <c r="J6" s="32">
        <f>1500</f>
        <v>1500</v>
      </c>
      <c r="K6" s="74">
        <f t="shared" si="1"/>
        <v>420</v>
      </c>
      <c r="L6" s="75">
        <f t="shared" si="2"/>
        <v>420</v>
      </c>
      <c r="M6" s="77"/>
      <c r="N6" s="76">
        <f t="shared" si="3"/>
        <v>375</v>
      </c>
      <c r="O6" s="77"/>
      <c r="P6" s="77"/>
      <c r="Q6" s="77"/>
      <c r="R6" s="33">
        <f t="shared" si="4"/>
        <v>1080</v>
      </c>
      <c r="S6" s="34" t="str">
        <f t="shared" si="0"/>
        <v>OK</v>
      </c>
      <c r="T6" s="26">
        <v>300</v>
      </c>
      <c r="U6" s="26">
        <v>120</v>
      </c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4">
        <f t="shared" si="1"/>
        <v>0</v>
      </c>
      <c r="L7" s="75">
        <f t="shared" si="2"/>
        <v>0</v>
      </c>
      <c r="M7" s="77"/>
      <c r="N7" s="76">
        <f t="shared" si="3"/>
        <v>0</v>
      </c>
      <c r="O7" s="77"/>
      <c r="P7" s="77"/>
      <c r="Q7" s="77"/>
      <c r="R7" s="33">
        <f t="shared" si="4"/>
        <v>0</v>
      </c>
      <c r="S7" s="34" t="str">
        <f t="shared" si="0"/>
        <v>OK</v>
      </c>
      <c r="T7" s="26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4">
        <f t="shared" si="1"/>
        <v>0</v>
      </c>
      <c r="L8" s="75">
        <f t="shared" si="2"/>
        <v>0</v>
      </c>
      <c r="M8" s="77"/>
      <c r="N8" s="76">
        <f t="shared" si="3"/>
        <v>0</v>
      </c>
      <c r="O8" s="77"/>
      <c r="P8" s="77"/>
      <c r="Q8" s="77"/>
      <c r="R8" s="33">
        <f t="shared" si="4"/>
        <v>0</v>
      </c>
      <c r="S8" s="34" t="str">
        <f t="shared" si="0"/>
        <v>OK</v>
      </c>
      <c r="T8" s="26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4">
        <f t="shared" si="1"/>
        <v>0</v>
      </c>
      <c r="L9" s="75">
        <f t="shared" si="2"/>
        <v>0</v>
      </c>
      <c r="M9" s="77"/>
      <c r="N9" s="76">
        <f t="shared" si="3"/>
        <v>0</v>
      </c>
      <c r="O9" s="77"/>
      <c r="P9" s="77"/>
      <c r="Q9" s="77"/>
      <c r="R9" s="33">
        <f t="shared" si="4"/>
        <v>0</v>
      </c>
      <c r="S9" s="34" t="str">
        <f t="shared" ref="S9:S18" si="5">IF(R9&lt;0,"ATENÇÃO","OK")</f>
        <v>OK</v>
      </c>
      <c r="T9" s="26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4">
        <f t="shared" si="1"/>
        <v>0</v>
      </c>
      <c r="L10" s="75">
        <f t="shared" si="2"/>
        <v>0</v>
      </c>
      <c r="M10" s="77"/>
      <c r="N10" s="76">
        <f t="shared" si="3"/>
        <v>0</v>
      </c>
      <c r="O10" s="77"/>
      <c r="P10" s="77"/>
      <c r="Q10" s="77"/>
      <c r="R10" s="33">
        <f t="shared" si="4"/>
        <v>0</v>
      </c>
      <c r="S10" s="34" t="str">
        <f t="shared" si="5"/>
        <v>OK</v>
      </c>
      <c r="T10" s="26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4">
        <f t="shared" si="1"/>
        <v>0</v>
      </c>
      <c r="L11" s="75">
        <f t="shared" si="2"/>
        <v>0</v>
      </c>
      <c r="M11" s="77"/>
      <c r="N11" s="76">
        <f t="shared" si="3"/>
        <v>0</v>
      </c>
      <c r="O11" s="77"/>
      <c r="P11" s="77"/>
      <c r="Q11" s="77"/>
      <c r="R11" s="33">
        <f t="shared" si="4"/>
        <v>0</v>
      </c>
      <c r="S11" s="34" t="str">
        <f t="shared" si="5"/>
        <v>OK</v>
      </c>
      <c r="T11" s="26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4">
        <f t="shared" si="1"/>
        <v>0</v>
      </c>
      <c r="L12" s="75">
        <f t="shared" si="2"/>
        <v>0</v>
      </c>
      <c r="M12" s="77"/>
      <c r="N12" s="76">
        <f t="shared" si="3"/>
        <v>0</v>
      </c>
      <c r="O12" s="77"/>
      <c r="P12" s="77"/>
      <c r="Q12" s="77"/>
      <c r="R12" s="33">
        <f t="shared" si="4"/>
        <v>0</v>
      </c>
      <c r="S12" s="34" t="str">
        <f t="shared" si="5"/>
        <v>OK</v>
      </c>
      <c r="T12" s="26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4">
        <f t="shared" si="1"/>
        <v>0</v>
      </c>
      <c r="L13" s="75">
        <f t="shared" si="2"/>
        <v>0</v>
      </c>
      <c r="M13" s="77"/>
      <c r="N13" s="76">
        <f t="shared" si="3"/>
        <v>0</v>
      </c>
      <c r="O13" s="77"/>
      <c r="P13" s="77"/>
      <c r="Q13" s="77"/>
      <c r="R13" s="33">
        <f t="shared" si="4"/>
        <v>0</v>
      </c>
      <c r="S13" s="34" t="str">
        <f t="shared" si="5"/>
        <v>OK</v>
      </c>
      <c r="T13" s="26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4">
        <f t="shared" si="1"/>
        <v>0</v>
      </c>
      <c r="L14" s="75">
        <f t="shared" si="2"/>
        <v>0</v>
      </c>
      <c r="M14" s="77"/>
      <c r="N14" s="76">
        <f t="shared" si="3"/>
        <v>0</v>
      </c>
      <c r="O14" s="77"/>
      <c r="P14" s="77"/>
      <c r="Q14" s="77"/>
      <c r="R14" s="33">
        <f t="shared" si="4"/>
        <v>0</v>
      </c>
      <c r="S14" s="34" t="str">
        <f t="shared" si="5"/>
        <v>OK</v>
      </c>
      <c r="T14" s="26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4">
        <f t="shared" si="1"/>
        <v>0</v>
      </c>
      <c r="L15" s="75">
        <f t="shared" si="2"/>
        <v>0</v>
      </c>
      <c r="M15" s="77"/>
      <c r="N15" s="76">
        <f t="shared" si="3"/>
        <v>0</v>
      </c>
      <c r="O15" s="77"/>
      <c r="P15" s="77"/>
      <c r="Q15" s="77"/>
      <c r="R15" s="33">
        <f t="shared" si="4"/>
        <v>0</v>
      </c>
      <c r="S15" s="34" t="str">
        <f t="shared" si="5"/>
        <v>OK</v>
      </c>
      <c r="T15" s="26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4">
        <f t="shared" si="1"/>
        <v>0</v>
      </c>
      <c r="L16" s="75">
        <f t="shared" si="2"/>
        <v>0</v>
      </c>
      <c r="M16" s="77"/>
      <c r="N16" s="76">
        <f t="shared" si="3"/>
        <v>0</v>
      </c>
      <c r="O16" s="77"/>
      <c r="P16" s="77"/>
      <c r="Q16" s="77"/>
      <c r="R16" s="33">
        <f t="shared" si="4"/>
        <v>0</v>
      </c>
      <c r="S16" s="34" t="str">
        <f t="shared" si="5"/>
        <v>OK</v>
      </c>
      <c r="T16" s="26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4">
        <f t="shared" si="1"/>
        <v>0</v>
      </c>
      <c r="L17" s="75">
        <f t="shared" si="2"/>
        <v>0</v>
      </c>
      <c r="M17" s="77"/>
      <c r="N17" s="76">
        <f t="shared" si="3"/>
        <v>0</v>
      </c>
      <c r="O17" s="77"/>
      <c r="P17" s="77"/>
      <c r="Q17" s="77"/>
      <c r="R17" s="33">
        <f t="shared" si="4"/>
        <v>0</v>
      </c>
      <c r="S17" s="34" t="str">
        <f t="shared" si="5"/>
        <v>OK</v>
      </c>
      <c r="T17" s="26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2501</v>
      </c>
      <c r="N18" s="3">
        <f t="shared" si="3"/>
        <v>625</v>
      </c>
      <c r="R18" s="13">
        <f>SUM(R4:R17)</f>
        <v>2081</v>
      </c>
      <c r="S18" s="4" t="str">
        <f t="shared" si="5"/>
        <v>OK</v>
      </c>
      <c r="T18" s="20">
        <f t="shared" ref="T18:AG18" si="6">SUMPRODUCT($I$4:$I$17,T4:T17)</f>
        <v>41100</v>
      </c>
      <c r="U18" s="20">
        <f t="shared" si="6"/>
        <v>16440</v>
      </c>
      <c r="V18" s="20">
        <f t="shared" si="6"/>
        <v>0</v>
      </c>
      <c r="W18" s="20">
        <f t="shared" si="6"/>
        <v>0</v>
      </c>
      <c r="X18" s="20">
        <f t="shared" si="6"/>
        <v>0</v>
      </c>
      <c r="Y18" s="20">
        <f t="shared" si="6"/>
        <v>0</v>
      </c>
      <c r="Z18" s="20">
        <f t="shared" si="6"/>
        <v>0</v>
      </c>
      <c r="AA18" s="20">
        <f t="shared" si="6"/>
        <v>0</v>
      </c>
      <c r="AB18" s="20">
        <f t="shared" si="6"/>
        <v>0</v>
      </c>
      <c r="AC18" s="20">
        <f t="shared" si="6"/>
        <v>0</v>
      </c>
      <c r="AD18" s="20">
        <f t="shared" si="6"/>
        <v>0</v>
      </c>
      <c r="AE18" s="20">
        <f t="shared" si="6"/>
        <v>0</v>
      </c>
      <c r="AF18" s="20">
        <f t="shared" si="6"/>
        <v>0</v>
      </c>
      <c r="AG18" s="20">
        <f t="shared" si="6"/>
        <v>0</v>
      </c>
    </row>
    <row r="19" spans="1:33" ht="15.75" thickBot="1" x14ac:dyDescent="0.3">
      <c r="D19" s="1"/>
      <c r="J19" s="78">
        <f>SUMPRODUCT($I$4:$I$17,J4:J17)</f>
        <v>208770</v>
      </c>
      <c r="K19" s="78">
        <f>SUMPRODUCT($I$4:$I$17,K4:K17)</f>
        <v>57540</v>
      </c>
      <c r="L19" s="78">
        <f>SUMPRODUCT($I$4:$I$17,L4:L17)</f>
        <v>57540</v>
      </c>
    </row>
    <row r="20" spans="1:33" x14ac:dyDescent="0.25">
      <c r="D20" s="37" t="s">
        <v>37</v>
      </c>
    </row>
    <row r="21" spans="1:33" x14ac:dyDescent="0.25">
      <c r="D21" s="38" t="s">
        <v>40</v>
      </c>
    </row>
    <row r="22" spans="1:33" x14ac:dyDescent="0.25">
      <c r="D22" s="39" t="s">
        <v>39</v>
      </c>
    </row>
    <row r="23" spans="1:33" ht="15.75" thickBot="1" x14ac:dyDescent="0.3">
      <c r="D23" s="40" t="s">
        <v>38</v>
      </c>
    </row>
  </sheetData>
  <autoFilter ref="A3:AG18" xr:uid="{00000000-0001-0000-0100-000000000000}"/>
  <mergeCells count="30">
    <mergeCell ref="A14:A15"/>
    <mergeCell ref="A16:A17"/>
    <mergeCell ref="C4:C5"/>
    <mergeCell ref="C7:C8"/>
    <mergeCell ref="C9:C10"/>
    <mergeCell ref="C14:C15"/>
    <mergeCell ref="C16:C17"/>
    <mergeCell ref="A4:A5"/>
    <mergeCell ref="A12:A13"/>
    <mergeCell ref="AF1:AF2"/>
    <mergeCell ref="AG1:AG2"/>
    <mergeCell ref="A7:A8"/>
    <mergeCell ref="A9:A10"/>
    <mergeCell ref="AE1:AE2"/>
    <mergeCell ref="AC1:AC2"/>
    <mergeCell ref="AD1:AD2"/>
    <mergeCell ref="D1:I1"/>
    <mergeCell ref="J1:S1"/>
    <mergeCell ref="A2:S2"/>
    <mergeCell ref="A1:C1"/>
    <mergeCell ref="AB1:AB2"/>
    <mergeCell ref="W1:W2"/>
    <mergeCell ref="T1:T2"/>
    <mergeCell ref="Y1:Y2"/>
    <mergeCell ref="Z1:Z2"/>
    <mergeCell ref="AA1:AA2"/>
    <mergeCell ref="U1:U2"/>
    <mergeCell ref="V1:V2"/>
    <mergeCell ref="C12:C13"/>
    <mergeCell ref="X1:X2"/>
  </mergeCells>
  <phoneticPr fontId="10" type="noConversion"/>
  <conditionalFormatting sqref="T4:AG17">
    <cfRule type="cellIs" dxfId="28" priority="2" operator="greaterThan">
      <formula>0</formula>
    </cfRule>
    <cfRule type="cellIs" dxfId="27" priority="84" stopIfTrue="1" operator="greaterThan">
      <formula>0</formula>
    </cfRule>
    <cfRule type="cellIs" dxfId="26" priority="85" stopIfTrue="1" operator="greaterThan">
      <formula>0</formula>
    </cfRule>
    <cfRule type="cellIs" dxfId="25" priority="86" stopIfTrue="1" operator="greaterThan">
      <formula>0</formula>
    </cfRule>
  </conditionalFormatting>
  <conditionalFormatting sqref="S3">
    <cfRule type="cellIs" dxfId="24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CA0B-8DC8-42BA-AFA1-A1967816B99C}">
  <dimension ref="A1:AG23"/>
  <sheetViews>
    <sheetView topLeftCell="A7" zoomScale="80" zoomScaleNormal="80" workbookViewId="0">
      <selection activeCell="K23" sqref="K23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43.28515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29" t="s">
        <v>0</v>
      </c>
      <c r="S3" s="30" t="s">
        <v>2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2</f>
        <v>2</v>
      </c>
      <c r="K4" s="74">
        <f>IF(SUM(T4:AK4)&gt;J4,J4,SUM(T4:AK4))</f>
        <v>0</v>
      </c>
      <c r="L4" s="75">
        <f>SUM(T4:AK4)</f>
        <v>0</v>
      </c>
      <c r="M4" s="77"/>
      <c r="N4" s="76">
        <f>ROUND(IF(J4*0.25-0.5&lt;0,0,J4*0.25-0.5),0)-O4-Q4</f>
        <v>0</v>
      </c>
      <c r="O4" s="77"/>
      <c r="P4" s="77"/>
      <c r="Q4" s="77"/>
      <c r="R4" s="33">
        <f>J4-(SUM(T4:AE4))+M4</f>
        <v>2</v>
      </c>
      <c r="S4" s="34" t="str">
        <f t="shared" ref="S4:S18" si="0">IF(R4&lt;0,"ATENÇÃO","OK")</f>
        <v>OK</v>
      </c>
      <c r="T4" s="26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400</f>
        <v>400</v>
      </c>
      <c r="K5" s="74">
        <f t="shared" ref="K5:K17" si="1">IF(SUM(T5:AK5)&gt;J5,J5,SUM(T5:AK5))</f>
        <v>0</v>
      </c>
      <c r="L5" s="75">
        <f t="shared" ref="L5:L17" si="2">SUM(T5:AK5)</f>
        <v>0</v>
      </c>
      <c r="M5" s="77"/>
      <c r="N5" s="76">
        <f t="shared" ref="N5:N18" si="3">ROUND(IF(J5*0.25-0.5&lt;0,0,J5*0.25-0.5),0)-O5-Q5</f>
        <v>100</v>
      </c>
      <c r="O5" s="77"/>
      <c r="P5" s="77"/>
      <c r="Q5" s="77"/>
      <c r="R5" s="33">
        <f t="shared" ref="R5:R17" si="4">J5-(SUM(T5:AE5))+M5</f>
        <v>400</v>
      </c>
      <c r="S5" s="34" t="str">
        <f t="shared" si="0"/>
        <v>OK</v>
      </c>
      <c r="T5" s="26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4">
        <f t="shared" si="1"/>
        <v>0</v>
      </c>
      <c r="L6" s="75">
        <f t="shared" si="2"/>
        <v>0</v>
      </c>
      <c r="M6" s="77"/>
      <c r="N6" s="76">
        <f t="shared" si="3"/>
        <v>0</v>
      </c>
      <c r="O6" s="77"/>
      <c r="P6" s="77"/>
      <c r="Q6" s="77"/>
      <c r="R6" s="33">
        <f t="shared" si="4"/>
        <v>0</v>
      </c>
      <c r="S6" s="34" t="str">
        <f t="shared" si="0"/>
        <v>OK</v>
      </c>
      <c r="T6" s="26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4">
        <f t="shared" si="1"/>
        <v>0</v>
      </c>
      <c r="L7" s="75">
        <f t="shared" si="2"/>
        <v>0</v>
      </c>
      <c r="M7" s="77"/>
      <c r="N7" s="76">
        <f t="shared" si="3"/>
        <v>0</v>
      </c>
      <c r="O7" s="77"/>
      <c r="P7" s="77"/>
      <c r="Q7" s="77"/>
      <c r="R7" s="33">
        <f t="shared" si="4"/>
        <v>0</v>
      </c>
      <c r="S7" s="34" t="str">
        <f t="shared" si="0"/>
        <v>OK</v>
      </c>
      <c r="T7" s="26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4">
        <f t="shared" si="1"/>
        <v>0</v>
      </c>
      <c r="L8" s="75">
        <f t="shared" si="2"/>
        <v>0</v>
      </c>
      <c r="M8" s="77"/>
      <c r="N8" s="76">
        <f t="shared" si="3"/>
        <v>0</v>
      </c>
      <c r="O8" s="77"/>
      <c r="P8" s="77"/>
      <c r="Q8" s="77"/>
      <c r="R8" s="33">
        <f t="shared" si="4"/>
        <v>0</v>
      </c>
      <c r="S8" s="34" t="str">
        <f t="shared" si="0"/>
        <v>OK</v>
      </c>
      <c r="T8" s="26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4">
        <f t="shared" si="1"/>
        <v>0</v>
      </c>
      <c r="L9" s="75">
        <f t="shared" si="2"/>
        <v>0</v>
      </c>
      <c r="M9" s="77"/>
      <c r="N9" s="76">
        <f t="shared" si="3"/>
        <v>0</v>
      </c>
      <c r="O9" s="77"/>
      <c r="P9" s="77"/>
      <c r="Q9" s="77"/>
      <c r="R9" s="33">
        <f t="shared" si="4"/>
        <v>0</v>
      </c>
      <c r="S9" s="34" t="str">
        <f t="shared" si="0"/>
        <v>OK</v>
      </c>
      <c r="T9" s="26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4">
        <f t="shared" si="1"/>
        <v>0</v>
      </c>
      <c r="L10" s="75">
        <f t="shared" si="2"/>
        <v>0</v>
      </c>
      <c r="M10" s="77"/>
      <c r="N10" s="76">
        <f t="shared" si="3"/>
        <v>0</v>
      </c>
      <c r="O10" s="77"/>
      <c r="P10" s="77"/>
      <c r="Q10" s="77"/>
      <c r="R10" s="33">
        <f t="shared" si="4"/>
        <v>0</v>
      </c>
      <c r="S10" s="34" t="str">
        <f t="shared" si="0"/>
        <v>OK</v>
      </c>
      <c r="T10" s="26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4">
        <f t="shared" si="1"/>
        <v>0</v>
      </c>
      <c r="L11" s="75">
        <f t="shared" si="2"/>
        <v>0</v>
      </c>
      <c r="M11" s="77"/>
      <c r="N11" s="76">
        <f t="shared" si="3"/>
        <v>0</v>
      </c>
      <c r="O11" s="77"/>
      <c r="P11" s="77"/>
      <c r="Q11" s="77"/>
      <c r="R11" s="33">
        <f t="shared" si="4"/>
        <v>0</v>
      </c>
      <c r="S11" s="34" t="str">
        <f t="shared" si="0"/>
        <v>OK</v>
      </c>
      <c r="T11" s="26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4">
        <f t="shared" si="1"/>
        <v>0</v>
      </c>
      <c r="L12" s="75">
        <f t="shared" si="2"/>
        <v>0</v>
      </c>
      <c r="M12" s="77"/>
      <c r="N12" s="76">
        <f t="shared" si="3"/>
        <v>0</v>
      </c>
      <c r="O12" s="77"/>
      <c r="P12" s="77"/>
      <c r="Q12" s="77"/>
      <c r="R12" s="33">
        <f t="shared" si="4"/>
        <v>0</v>
      </c>
      <c r="S12" s="34" t="str">
        <f t="shared" si="0"/>
        <v>OK</v>
      </c>
      <c r="T12" s="26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4">
        <f t="shared" si="1"/>
        <v>0</v>
      </c>
      <c r="L13" s="75">
        <f t="shared" si="2"/>
        <v>0</v>
      </c>
      <c r="M13" s="77"/>
      <c r="N13" s="76">
        <f t="shared" si="3"/>
        <v>0</v>
      </c>
      <c r="O13" s="77"/>
      <c r="P13" s="77"/>
      <c r="Q13" s="77"/>
      <c r="R13" s="33">
        <f t="shared" si="4"/>
        <v>0</v>
      </c>
      <c r="S13" s="34" t="str">
        <f t="shared" si="0"/>
        <v>OK</v>
      </c>
      <c r="T13" s="26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4">
        <f t="shared" si="1"/>
        <v>0</v>
      </c>
      <c r="L14" s="75">
        <f t="shared" si="2"/>
        <v>0</v>
      </c>
      <c r="M14" s="77"/>
      <c r="N14" s="76">
        <f t="shared" si="3"/>
        <v>0</v>
      </c>
      <c r="O14" s="77"/>
      <c r="P14" s="77"/>
      <c r="Q14" s="77"/>
      <c r="R14" s="33">
        <f t="shared" si="4"/>
        <v>0</v>
      </c>
      <c r="S14" s="34" t="str">
        <f t="shared" si="0"/>
        <v>OK</v>
      </c>
      <c r="T14" s="26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4">
        <f t="shared" si="1"/>
        <v>0</v>
      </c>
      <c r="L15" s="75">
        <f t="shared" si="2"/>
        <v>0</v>
      </c>
      <c r="M15" s="77"/>
      <c r="N15" s="76">
        <f t="shared" si="3"/>
        <v>0</v>
      </c>
      <c r="O15" s="77"/>
      <c r="P15" s="77"/>
      <c r="Q15" s="77"/>
      <c r="R15" s="33">
        <f t="shared" si="4"/>
        <v>0</v>
      </c>
      <c r="S15" s="34" t="str">
        <f t="shared" si="0"/>
        <v>OK</v>
      </c>
      <c r="T15" s="26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4">
        <f t="shared" si="1"/>
        <v>0</v>
      </c>
      <c r="L16" s="75">
        <f t="shared" si="2"/>
        <v>0</v>
      </c>
      <c r="M16" s="77"/>
      <c r="N16" s="76">
        <f t="shared" si="3"/>
        <v>0</v>
      </c>
      <c r="O16" s="77"/>
      <c r="P16" s="77"/>
      <c r="Q16" s="77"/>
      <c r="R16" s="33">
        <f t="shared" si="4"/>
        <v>0</v>
      </c>
      <c r="S16" s="34" t="str">
        <f t="shared" si="0"/>
        <v>OK</v>
      </c>
      <c r="T16" s="26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4">
        <f t="shared" si="1"/>
        <v>0</v>
      </c>
      <c r="L17" s="75">
        <f t="shared" si="2"/>
        <v>0</v>
      </c>
      <c r="M17" s="77"/>
      <c r="N17" s="76">
        <f t="shared" si="3"/>
        <v>0</v>
      </c>
      <c r="O17" s="77"/>
      <c r="P17" s="77"/>
      <c r="Q17" s="77"/>
      <c r="R17" s="33">
        <f t="shared" si="4"/>
        <v>0</v>
      </c>
      <c r="S17" s="34" t="str">
        <f t="shared" si="0"/>
        <v>OK</v>
      </c>
      <c r="T17" s="26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402</v>
      </c>
      <c r="N18" s="3">
        <f t="shared" si="3"/>
        <v>100</v>
      </c>
      <c r="R18" s="13">
        <f>SUM(R4:R17)</f>
        <v>402</v>
      </c>
      <c r="S18" s="4" t="str">
        <f t="shared" si="0"/>
        <v>OK</v>
      </c>
      <c r="T18" s="20">
        <f t="shared" ref="T18:AG18" si="5">SUMPRODUCT($I$4:$I$17,T4:T17)</f>
        <v>0</v>
      </c>
      <c r="U18" s="20">
        <f t="shared" si="5"/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78">
        <f>SUMPRODUCT($I$4:$I$17,J4:J17)</f>
        <v>2220</v>
      </c>
      <c r="K19" s="78">
        <f>SUMPRODUCT($I$4:$I$17,K4:K17)</f>
        <v>0</v>
      </c>
      <c r="L19" s="78">
        <f>SUMPRODUCT($I$4:$I$17,L4:L17)</f>
        <v>0</v>
      </c>
    </row>
    <row r="20" spans="1:33" x14ac:dyDescent="0.25">
      <c r="D20" s="37" t="s">
        <v>37</v>
      </c>
    </row>
    <row r="21" spans="1:33" x14ac:dyDescent="0.25">
      <c r="D21" s="38" t="s">
        <v>40</v>
      </c>
    </row>
    <row r="22" spans="1:33" x14ac:dyDescent="0.25">
      <c r="D22" s="39" t="s">
        <v>39</v>
      </c>
    </row>
    <row r="23" spans="1:33" ht="15.75" thickBot="1" x14ac:dyDescent="0.3">
      <c r="D23" s="40" t="s">
        <v>38</v>
      </c>
    </row>
  </sheetData>
  <mergeCells count="30">
    <mergeCell ref="A12:A13"/>
    <mergeCell ref="C12:C13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AC1:AC2"/>
    <mergeCell ref="AD1:AD2"/>
    <mergeCell ref="AE1:AE2"/>
    <mergeCell ref="AF1:AF2"/>
    <mergeCell ref="AG1:AG2"/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</mergeCells>
  <conditionalFormatting sqref="T4:AG17">
    <cfRule type="cellIs" dxfId="23" priority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  <cfRule type="cellIs" dxfId="20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DA79-617F-4002-99DB-590B6DD5DD77}">
  <dimension ref="A1:AG23"/>
  <sheetViews>
    <sheetView topLeftCell="A7" zoomScale="80" zoomScaleNormal="80" workbookViewId="0">
      <selection activeCell="H35" sqref="H35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43.28515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29" t="s">
        <v>0</v>
      </c>
      <c r="S3" s="30" t="s">
        <v>2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3</f>
        <v>3</v>
      </c>
      <c r="K4" s="74">
        <f>IF(SUM(T4:AK4)&gt;J4,J4,SUM(T4:AK4))</f>
        <v>0</v>
      </c>
      <c r="L4" s="75">
        <f>SUM(T4:AK4)</f>
        <v>0</v>
      </c>
      <c r="M4" s="77"/>
      <c r="N4" s="76">
        <f>ROUND(IF(J4*0.25-0.5&lt;0,0,J4*0.25-0.5),0)-O4-Q4</f>
        <v>0</v>
      </c>
      <c r="O4" s="77"/>
      <c r="P4" s="77"/>
      <c r="Q4" s="77"/>
      <c r="R4" s="33">
        <f>J4-(SUM(T4:AE4))+M4</f>
        <v>3</v>
      </c>
      <c r="S4" s="34" t="str">
        <f t="shared" ref="S4:S18" si="0">IF(R4&lt;0,"ATENÇÃO","OK")</f>
        <v>OK</v>
      </c>
      <c r="T4" s="26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1500</f>
        <v>1500</v>
      </c>
      <c r="K5" s="74">
        <f t="shared" ref="K5:K17" si="1">IF(SUM(T5:AK5)&gt;J5,J5,SUM(T5:AK5))</f>
        <v>0</v>
      </c>
      <c r="L5" s="75">
        <f t="shared" ref="L5:L17" si="2">SUM(T5:AK5)</f>
        <v>0</v>
      </c>
      <c r="M5" s="77"/>
      <c r="N5" s="76">
        <f t="shared" ref="N5:N18" si="3">ROUND(IF(J5*0.25-0.5&lt;0,0,J5*0.25-0.5),0)-O5-Q5</f>
        <v>375</v>
      </c>
      <c r="O5" s="77"/>
      <c r="P5" s="77"/>
      <c r="Q5" s="77"/>
      <c r="R5" s="33">
        <f t="shared" ref="R5:R17" si="4">J5-(SUM(T5:AE5))+M5</f>
        <v>1500</v>
      </c>
      <c r="S5" s="34" t="str">
        <f t="shared" si="0"/>
        <v>OK</v>
      </c>
      <c r="T5" s="26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4">
        <f t="shared" si="1"/>
        <v>0</v>
      </c>
      <c r="L6" s="75">
        <f t="shared" si="2"/>
        <v>0</v>
      </c>
      <c r="M6" s="77"/>
      <c r="N6" s="76">
        <f t="shared" si="3"/>
        <v>0</v>
      </c>
      <c r="O6" s="77"/>
      <c r="P6" s="77"/>
      <c r="Q6" s="77"/>
      <c r="R6" s="33">
        <f t="shared" si="4"/>
        <v>0</v>
      </c>
      <c r="S6" s="34" t="str">
        <f t="shared" si="0"/>
        <v>OK</v>
      </c>
      <c r="T6" s="26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4</f>
        <v>4</v>
      </c>
      <c r="K7" s="74">
        <f t="shared" si="1"/>
        <v>0</v>
      </c>
      <c r="L7" s="75">
        <f t="shared" si="2"/>
        <v>0</v>
      </c>
      <c r="M7" s="77"/>
      <c r="N7" s="76">
        <f t="shared" si="3"/>
        <v>1</v>
      </c>
      <c r="O7" s="77"/>
      <c r="P7" s="77"/>
      <c r="Q7" s="77"/>
      <c r="R7" s="33">
        <f t="shared" si="4"/>
        <v>4</v>
      </c>
      <c r="S7" s="34" t="str">
        <f t="shared" si="0"/>
        <v>OK</v>
      </c>
      <c r="T7" s="26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250</f>
        <v>250</v>
      </c>
      <c r="K8" s="74">
        <f t="shared" si="1"/>
        <v>0</v>
      </c>
      <c r="L8" s="75">
        <f t="shared" si="2"/>
        <v>0</v>
      </c>
      <c r="M8" s="77"/>
      <c r="N8" s="76">
        <f t="shared" si="3"/>
        <v>62</v>
      </c>
      <c r="O8" s="77"/>
      <c r="P8" s="77"/>
      <c r="Q8" s="77"/>
      <c r="R8" s="33">
        <f t="shared" si="4"/>
        <v>250</v>
      </c>
      <c r="S8" s="34" t="str">
        <f t="shared" si="0"/>
        <v>OK</v>
      </c>
      <c r="T8" s="26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4">
        <f t="shared" si="1"/>
        <v>0</v>
      </c>
      <c r="L9" s="75">
        <f t="shared" si="2"/>
        <v>0</v>
      </c>
      <c r="M9" s="77"/>
      <c r="N9" s="76">
        <f t="shared" si="3"/>
        <v>0</v>
      </c>
      <c r="O9" s="77"/>
      <c r="P9" s="77"/>
      <c r="Q9" s="77"/>
      <c r="R9" s="33">
        <f t="shared" si="4"/>
        <v>0</v>
      </c>
      <c r="S9" s="34" t="str">
        <f t="shared" si="0"/>
        <v>OK</v>
      </c>
      <c r="T9" s="26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4">
        <f t="shared" si="1"/>
        <v>0</v>
      </c>
      <c r="L10" s="75">
        <f t="shared" si="2"/>
        <v>0</v>
      </c>
      <c r="M10" s="77"/>
      <c r="N10" s="76">
        <f t="shared" si="3"/>
        <v>0</v>
      </c>
      <c r="O10" s="77"/>
      <c r="P10" s="77"/>
      <c r="Q10" s="77"/>
      <c r="R10" s="33">
        <f t="shared" si="4"/>
        <v>0</v>
      </c>
      <c r="S10" s="34" t="str">
        <f t="shared" si="0"/>
        <v>OK</v>
      </c>
      <c r="T10" s="26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4">
        <f t="shared" si="1"/>
        <v>0</v>
      </c>
      <c r="L11" s="75">
        <f t="shared" si="2"/>
        <v>0</v>
      </c>
      <c r="M11" s="77"/>
      <c r="N11" s="76">
        <f t="shared" si="3"/>
        <v>0</v>
      </c>
      <c r="O11" s="77"/>
      <c r="P11" s="77"/>
      <c r="Q11" s="77"/>
      <c r="R11" s="33">
        <f t="shared" si="4"/>
        <v>0</v>
      </c>
      <c r="S11" s="34" t="str">
        <f t="shared" si="0"/>
        <v>OK</v>
      </c>
      <c r="T11" s="26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4">
        <f t="shared" si="1"/>
        <v>0</v>
      </c>
      <c r="L12" s="75">
        <f t="shared" si="2"/>
        <v>0</v>
      </c>
      <c r="M12" s="77"/>
      <c r="N12" s="76">
        <f t="shared" si="3"/>
        <v>0</v>
      </c>
      <c r="O12" s="77"/>
      <c r="P12" s="77"/>
      <c r="Q12" s="77"/>
      <c r="R12" s="33">
        <f t="shared" si="4"/>
        <v>0</v>
      </c>
      <c r="S12" s="34" t="str">
        <f t="shared" si="0"/>
        <v>OK</v>
      </c>
      <c r="T12" s="26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4">
        <f t="shared" si="1"/>
        <v>0</v>
      </c>
      <c r="L13" s="75">
        <f t="shared" si="2"/>
        <v>0</v>
      </c>
      <c r="M13" s="77"/>
      <c r="N13" s="76">
        <f t="shared" si="3"/>
        <v>0</v>
      </c>
      <c r="O13" s="77"/>
      <c r="P13" s="77"/>
      <c r="Q13" s="77"/>
      <c r="R13" s="33">
        <f t="shared" si="4"/>
        <v>0</v>
      </c>
      <c r="S13" s="34" t="str">
        <f t="shared" si="0"/>
        <v>OK</v>
      </c>
      <c r="T13" s="26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4">
        <f t="shared" si="1"/>
        <v>0</v>
      </c>
      <c r="L14" s="75">
        <f t="shared" si="2"/>
        <v>0</v>
      </c>
      <c r="M14" s="77"/>
      <c r="N14" s="76">
        <f t="shared" si="3"/>
        <v>0</v>
      </c>
      <c r="O14" s="77"/>
      <c r="P14" s="77"/>
      <c r="Q14" s="77"/>
      <c r="R14" s="33">
        <f t="shared" si="4"/>
        <v>0</v>
      </c>
      <c r="S14" s="34" t="str">
        <f t="shared" si="0"/>
        <v>OK</v>
      </c>
      <c r="T14" s="26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4">
        <f t="shared" si="1"/>
        <v>0</v>
      </c>
      <c r="L15" s="75">
        <f t="shared" si="2"/>
        <v>0</v>
      </c>
      <c r="M15" s="77"/>
      <c r="N15" s="76">
        <f t="shared" si="3"/>
        <v>0</v>
      </c>
      <c r="O15" s="77"/>
      <c r="P15" s="77"/>
      <c r="Q15" s="77"/>
      <c r="R15" s="33">
        <f t="shared" si="4"/>
        <v>0</v>
      </c>
      <c r="S15" s="34" t="str">
        <f t="shared" si="0"/>
        <v>OK</v>
      </c>
      <c r="T15" s="26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4">
        <f t="shared" si="1"/>
        <v>0</v>
      </c>
      <c r="L16" s="75">
        <f t="shared" si="2"/>
        <v>0</v>
      </c>
      <c r="M16" s="77"/>
      <c r="N16" s="76">
        <f t="shared" si="3"/>
        <v>0</v>
      </c>
      <c r="O16" s="77"/>
      <c r="P16" s="77"/>
      <c r="Q16" s="77"/>
      <c r="R16" s="33">
        <f t="shared" si="4"/>
        <v>0</v>
      </c>
      <c r="S16" s="34" t="str">
        <f t="shared" si="0"/>
        <v>OK</v>
      </c>
      <c r="T16" s="26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4">
        <f t="shared" si="1"/>
        <v>0</v>
      </c>
      <c r="L17" s="75">
        <f t="shared" si="2"/>
        <v>0</v>
      </c>
      <c r="M17" s="77"/>
      <c r="N17" s="76">
        <f t="shared" si="3"/>
        <v>0</v>
      </c>
      <c r="O17" s="77"/>
      <c r="P17" s="77"/>
      <c r="Q17" s="77"/>
      <c r="R17" s="33">
        <f t="shared" si="4"/>
        <v>0</v>
      </c>
      <c r="S17" s="34" t="str">
        <f t="shared" si="0"/>
        <v>OK</v>
      </c>
      <c r="T17" s="26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1757</v>
      </c>
      <c r="N18" s="3">
        <f t="shared" si="3"/>
        <v>439</v>
      </c>
      <c r="R18" s="13">
        <f>SUM(R4:R17)</f>
        <v>1757</v>
      </c>
      <c r="S18" s="4" t="str">
        <f t="shared" si="0"/>
        <v>OK</v>
      </c>
      <c r="T18" s="20">
        <f t="shared" ref="T18:AG18" si="5">SUMPRODUCT($I$4:$I$17,T4:T17)</f>
        <v>0</v>
      </c>
      <c r="U18" s="20">
        <f t="shared" si="5"/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78">
        <f>SUMPRODUCT($I$4:$I$17,J4:J17)</f>
        <v>9832.5</v>
      </c>
      <c r="K19" s="78">
        <f>SUMPRODUCT($I$4:$I$17,K4:K17)</f>
        <v>0</v>
      </c>
      <c r="L19" s="78">
        <f>SUMPRODUCT($I$4:$I$17,L4:L17)</f>
        <v>0</v>
      </c>
    </row>
    <row r="20" spans="1:33" x14ac:dyDescent="0.25">
      <c r="D20" s="37" t="s">
        <v>37</v>
      </c>
    </row>
    <row r="21" spans="1:33" x14ac:dyDescent="0.25">
      <c r="D21" s="38" t="s">
        <v>40</v>
      </c>
    </row>
    <row r="22" spans="1:33" x14ac:dyDescent="0.25">
      <c r="D22" s="39" t="s">
        <v>39</v>
      </c>
    </row>
    <row r="23" spans="1:33" ht="15.75" thickBot="1" x14ac:dyDescent="0.3">
      <c r="D23" s="40" t="s">
        <v>38</v>
      </c>
    </row>
  </sheetData>
  <mergeCells count="30">
    <mergeCell ref="A12:A13"/>
    <mergeCell ref="C12:C13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AC1:AC2"/>
    <mergeCell ref="AD1:AD2"/>
    <mergeCell ref="AE1:AE2"/>
    <mergeCell ref="AF1:AF2"/>
    <mergeCell ref="AG1:AG2"/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</mergeCells>
  <conditionalFormatting sqref="T4:AG17">
    <cfRule type="cellIs" dxfId="19" priority="1" operator="greaterThan">
      <formula>0</formula>
    </cfRule>
    <cfRule type="cellIs" dxfId="18" priority="2" stopIfTrue="1" operator="greaterThan">
      <formula>0</formula>
    </cfRule>
    <cfRule type="cellIs" dxfId="17" priority="3" stopIfTrue="1" operator="greaterThan">
      <formula>0</formula>
    </cfRule>
    <cfRule type="cellIs" dxfId="16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9B88-3784-4559-8FEA-5F488D36483A}">
  <dimension ref="A1:AG23"/>
  <sheetViews>
    <sheetView topLeftCell="A4" zoomScale="80" zoomScaleNormal="80" workbookViewId="0">
      <selection activeCell="N28" sqref="N28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33.140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98" t="s">
        <v>89</v>
      </c>
      <c r="U1" s="98" t="s">
        <v>90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9"/>
      <c r="U2" s="99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29" t="s">
        <v>0</v>
      </c>
      <c r="S3" s="30" t="s">
        <v>2</v>
      </c>
      <c r="T3" s="81">
        <v>45463</v>
      </c>
      <c r="U3" s="81">
        <v>45530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2</f>
        <v>2</v>
      </c>
      <c r="K4" s="74">
        <f>IF(SUM(T4:AK4)&gt;J4,J4,SUM(T4:AK4))</f>
        <v>0</v>
      </c>
      <c r="L4" s="75">
        <f>SUM(T4:AK4)</f>
        <v>0</v>
      </c>
      <c r="M4" s="77"/>
      <c r="N4" s="76">
        <f>ROUND(IF(J4*0.25-0.5&lt;0,0,J4*0.25-0.5),0)-O4-Q4</f>
        <v>0</v>
      </c>
      <c r="O4" s="77"/>
      <c r="P4" s="77"/>
      <c r="Q4" s="77"/>
      <c r="R4" s="33">
        <f>J4-(SUM(T4:AE4))+M4</f>
        <v>2</v>
      </c>
      <c r="S4" s="34" t="str">
        <f t="shared" ref="S4:S18" si="0">IF(R4&lt;0,"ATENÇÃO","OK")</f>
        <v>OK</v>
      </c>
      <c r="T4" s="82"/>
      <c r="U4" s="82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2000</f>
        <v>2000</v>
      </c>
      <c r="K5" s="74">
        <f t="shared" ref="K5:K17" si="1">IF(SUM(T5:AK5)&gt;J5,J5,SUM(T5:AK5))</f>
        <v>0</v>
      </c>
      <c r="L5" s="75">
        <f t="shared" ref="L5:L17" si="2">SUM(T5:AK5)</f>
        <v>0</v>
      </c>
      <c r="M5" s="77"/>
      <c r="N5" s="76">
        <f t="shared" ref="N5:N18" si="3">ROUND(IF(J5*0.25-0.5&lt;0,0,J5*0.25-0.5),0)-O5-Q5</f>
        <v>500</v>
      </c>
      <c r="O5" s="77"/>
      <c r="P5" s="77"/>
      <c r="Q5" s="77"/>
      <c r="R5" s="33">
        <f t="shared" ref="R5:R17" si="4">J5-(SUM(T5:AE5))+M5</f>
        <v>2000</v>
      </c>
      <c r="S5" s="34" t="str">
        <f t="shared" si="0"/>
        <v>OK</v>
      </c>
      <c r="T5" s="82"/>
      <c r="U5" s="82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20</f>
        <v>20</v>
      </c>
      <c r="K6" s="74">
        <f t="shared" si="1"/>
        <v>0</v>
      </c>
      <c r="L6" s="75">
        <f t="shared" si="2"/>
        <v>0</v>
      </c>
      <c r="M6" s="77"/>
      <c r="N6" s="76">
        <f t="shared" si="3"/>
        <v>5</v>
      </c>
      <c r="O6" s="77"/>
      <c r="P6" s="77"/>
      <c r="Q6" s="77"/>
      <c r="R6" s="33">
        <f t="shared" si="4"/>
        <v>20</v>
      </c>
      <c r="S6" s="34" t="str">
        <f t="shared" si="0"/>
        <v>OK</v>
      </c>
      <c r="T6" s="82"/>
      <c r="U6" s="82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4">
        <f t="shared" si="1"/>
        <v>0</v>
      </c>
      <c r="L7" s="75">
        <f t="shared" si="2"/>
        <v>0</v>
      </c>
      <c r="M7" s="77"/>
      <c r="N7" s="76">
        <f t="shared" si="3"/>
        <v>0</v>
      </c>
      <c r="O7" s="77"/>
      <c r="P7" s="77"/>
      <c r="Q7" s="77"/>
      <c r="R7" s="33">
        <f t="shared" si="4"/>
        <v>0</v>
      </c>
      <c r="S7" s="34" t="str">
        <f t="shared" si="0"/>
        <v>OK</v>
      </c>
      <c r="T7" s="82"/>
      <c r="U7" s="82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4">
        <f t="shared" si="1"/>
        <v>0</v>
      </c>
      <c r="L8" s="75">
        <f t="shared" si="2"/>
        <v>0</v>
      </c>
      <c r="M8" s="77"/>
      <c r="N8" s="76">
        <f t="shared" si="3"/>
        <v>0</v>
      </c>
      <c r="O8" s="77"/>
      <c r="P8" s="77"/>
      <c r="Q8" s="77"/>
      <c r="R8" s="33">
        <f t="shared" si="4"/>
        <v>0</v>
      </c>
      <c r="S8" s="34" t="str">
        <f t="shared" si="0"/>
        <v>OK</v>
      </c>
      <c r="T8" s="82"/>
      <c r="U8" s="82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3</f>
        <v>3</v>
      </c>
      <c r="K9" s="74">
        <f t="shared" si="1"/>
        <v>1</v>
      </c>
      <c r="L9" s="75">
        <f t="shared" si="2"/>
        <v>1</v>
      </c>
      <c r="M9" s="77"/>
      <c r="N9" s="76">
        <f t="shared" si="3"/>
        <v>0</v>
      </c>
      <c r="O9" s="77"/>
      <c r="P9" s="77"/>
      <c r="Q9" s="77"/>
      <c r="R9" s="33">
        <f t="shared" si="4"/>
        <v>2</v>
      </c>
      <c r="S9" s="34" t="str">
        <f t="shared" si="0"/>
        <v>OK</v>
      </c>
      <c r="T9" s="83">
        <v>1</v>
      </c>
      <c r="U9" s="82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1500</f>
        <v>1500</v>
      </c>
      <c r="K10" s="74">
        <f t="shared" si="1"/>
        <v>599</v>
      </c>
      <c r="L10" s="75">
        <f t="shared" si="2"/>
        <v>599</v>
      </c>
      <c r="M10" s="77"/>
      <c r="N10" s="76">
        <f t="shared" si="3"/>
        <v>375</v>
      </c>
      <c r="O10" s="77"/>
      <c r="P10" s="77"/>
      <c r="Q10" s="77"/>
      <c r="R10" s="33">
        <f t="shared" si="4"/>
        <v>901</v>
      </c>
      <c r="S10" s="34" t="str">
        <f t="shared" si="0"/>
        <v>OK</v>
      </c>
      <c r="T10" s="83">
        <v>599</v>
      </c>
      <c r="U10" s="82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5</f>
        <v>5</v>
      </c>
      <c r="K11" s="74">
        <f t="shared" si="1"/>
        <v>1</v>
      </c>
      <c r="L11" s="75">
        <f t="shared" si="2"/>
        <v>1</v>
      </c>
      <c r="M11" s="77"/>
      <c r="N11" s="76">
        <f t="shared" si="3"/>
        <v>1</v>
      </c>
      <c r="O11" s="77"/>
      <c r="P11" s="77"/>
      <c r="Q11" s="77"/>
      <c r="R11" s="33">
        <f t="shared" si="4"/>
        <v>4</v>
      </c>
      <c r="S11" s="34" t="str">
        <f t="shared" si="0"/>
        <v>OK</v>
      </c>
      <c r="T11" s="82"/>
      <c r="U11" s="83">
        <v>1</v>
      </c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4">
        <f t="shared" si="1"/>
        <v>0</v>
      </c>
      <c r="L12" s="75">
        <f t="shared" si="2"/>
        <v>0</v>
      </c>
      <c r="M12" s="77"/>
      <c r="N12" s="76">
        <f t="shared" si="3"/>
        <v>0</v>
      </c>
      <c r="O12" s="77"/>
      <c r="P12" s="77"/>
      <c r="Q12" s="77"/>
      <c r="R12" s="33">
        <f t="shared" si="4"/>
        <v>0</v>
      </c>
      <c r="S12" s="34" t="str">
        <f t="shared" si="0"/>
        <v>OK</v>
      </c>
      <c r="T12" s="82"/>
      <c r="U12" s="82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4">
        <f t="shared" si="1"/>
        <v>0</v>
      </c>
      <c r="L13" s="75">
        <f t="shared" si="2"/>
        <v>0</v>
      </c>
      <c r="M13" s="77"/>
      <c r="N13" s="76">
        <f t="shared" si="3"/>
        <v>0</v>
      </c>
      <c r="O13" s="77"/>
      <c r="P13" s="77"/>
      <c r="Q13" s="77"/>
      <c r="R13" s="33">
        <f t="shared" si="4"/>
        <v>0</v>
      </c>
      <c r="S13" s="34" t="str">
        <f t="shared" si="0"/>
        <v>OK</v>
      </c>
      <c r="T13" s="82"/>
      <c r="U13" s="82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4">
        <f t="shared" si="1"/>
        <v>0</v>
      </c>
      <c r="L14" s="75">
        <f t="shared" si="2"/>
        <v>0</v>
      </c>
      <c r="M14" s="77"/>
      <c r="N14" s="76">
        <f t="shared" si="3"/>
        <v>0</v>
      </c>
      <c r="O14" s="77"/>
      <c r="P14" s="77"/>
      <c r="Q14" s="77"/>
      <c r="R14" s="33">
        <f t="shared" si="4"/>
        <v>0</v>
      </c>
      <c r="S14" s="34" t="str">
        <f t="shared" si="0"/>
        <v>OK</v>
      </c>
      <c r="T14" s="82"/>
      <c r="U14" s="82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4">
        <f t="shared" si="1"/>
        <v>0</v>
      </c>
      <c r="L15" s="75">
        <f t="shared" si="2"/>
        <v>0</v>
      </c>
      <c r="M15" s="77"/>
      <c r="N15" s="76">
        <f t="shared" si="3"/>
        <v>0</v>
      </c>
      <c r="O15" s="77"/>
      <c r="P15" s="77"/>
      <c r="Q15" s="77"/>
      <c r="R15" s="33">
        <f t="shared" si="4"/>
        <v>0</v>
      </c>
      <c r="S15" s="34" t="str">
        <f t="shared" si="0"/>
        <v>OK</v>
      </c>
      <c r="T15" s="82"/>
      <c r="U15" s="82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4">
        <f t="shared" si="1"/>
        <v>0</v>
      </c>
      <c r="L16" s="75">
        <f t="shared" si="2"/>
        <v>0</v>
      </c>
      <c r="M16" s="77"/>
      <c r="N16" s="76">
        <f t="shared" si="3"/>
        <v>0</v>
      </c>
      <c r="O16" s="77"/>
      <c r="P16" s="77"/>
      <c r="Q16" s="77"/>
      <c r="R16" s="33">
        <f t="shared" si="4"/>
        <v>0</v>
      </c>
      <c r="S16" s="34" t="str">
        <f t="shared" si="0"/>
        <v>OK</v>
      </c>
      <c r="T16" s="82"/>
      <c r="U16" s="82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customHeight="1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4">
        <f t="shared" si="1"/>
        <v>0</v>
      </c>
      <c r="L17" s="75">
        <f t="shared" si="2"/>
        <v>0</v>
      </c>
      <c r="M17" s="77"/>
      <c r="N17" s="76">
        <f t="shared" si="3"/>
        <v>0</v>
      </c>
      <c r="O17" s="77"/>
      <c r="P17" s="77"/>
      <c r="Q17" s="77"/>
      <c r="R17" s="33">
        <f t="shared" si="4"/>
        <v>0</v>
      </c>
      <c r="S17" s="34" t="str">
        <f t="shared" si="0"/>
        <v>OK</v>
      </c>
      <c r="T17" s="82"/>
      <c r="U17" s="82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3530</v>
      </c>
      <c r="N18" s="3">
        <f t="shared" si="3"/>
        <v>882</v>
      </c>
      <c r="R18" s="13">
        <f>SUM(R4:R17)</f>
        <v>2929</v>
      </c>
      <c r="S18" s="4" t="str">
        <f t="shared" si="0"/>
        <v>OK</v>
      </c>
      <c r="T18" s="84">
        <v>2057.5500000000002</v>
      </c>
      <c r="U18" s="84">
        <v>693</v>
      </c>
      <c r="V18" s="20">
        <f t="shared" ref="V18:AG18" si="5">SUMPRODUCT($I$4:$I$17,V4:V17)</f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78">
        <f>SUMPRODUCT($I$4:$I$17,J4:J17)</f>
        <v>18190</v>
      </c>
      <c r="K19" s="78">
        <f>SUMPRODUCT($I$4:$I$17,K4:K17)</f>
        <v>2750.55</v>
      </c>
      <c r="L19" s="78">
        <f>SUMPRODUCT($I$4:$I$17,L4:L17)</f>
        <v>2750.55</v>
      </c>
      <c r="T19" s="85"/>
      <c r="U19" s="85"/>
    </row>
    <row r="20" spans="1:33" x14ac:dyDescent="0.25">
      <c r="D20" s="37" t="s">
        <v>37</v>
      </c>
      <c r="T20" s="85"/>
      <c r="U20" s="85"/>
    </row>
    <row r="21" spans="1:33" x14ac:dyDescent="0.25">
      <c r="D21" s="38" t="s">
        <v>40</v>
      </c>
      <c r="T21" s="85"/>
      <c r="U21" s="85"/>
    </row>
    <row r="22" spans="1:33" x14ac:dyDescent="0.25">
      <c r="D22" s="39" t="s">
        <v>39</v>
      </c>
      <c r="T22" s="85"/>
      <c r="U22" s="85"/>
    </row>
    <row r="23" spans="1:33" ht="15.75" thickBot="1" x14ac:dyDescent="0.3">
      <c r="D23" s="40" t="s">
        <v>38</v>
      </c>
      <c r="T23" s="85"/>
      <c r="U23" s="85"/>
    </row>
  </sheetData>
  <mergeCells count="30">
    <mergeCell ref="A12:A13"/>
    <mergeCell ref="C12:C13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AC1:AC2"/>
    <mergeCell ref="AD1:AD2"/>
    <mergeCell ref="AE1:AE2"/>
    <mergeCell ref="AF1:AF2"/>
    <mergeCell ref="AG1:AG2"/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</mergeCells>
  <conditionalFormatting sqref="V4:AG17">
    <cfRule type="cellIs" dxfId="15" priority="1" operator="greater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D917-F88D-4B63-87AC-28AC06762074}">
  <dimension ref="A1:AG23"/>
  <sheetViews>
    <sheetView topLeftCell="A7" zoomScale="80" zoomScaleNormal="80" workbookViewId="0">
      <selection activeCell="N25" sqref="N25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19.28515625" style="12" customWidth="1"/>
    <col min="4" max="4" width="27.57031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98" t="s">
        <v>91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9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29" t="s">
        <v>0</v>
      </c>
      <c r="S3" s="30" t="s">
        <v>2</v>
      </c>
      <c r="T3" s="81">
        <v>45541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4</f>
        <v>4</v>
      </c>
      <c r="K4" s="74">
        <f>IF(SUM(T4:AK4)&gt;J4,J4,SUM(T4:AK4))</f>
        <v>1</v>
      </c>
      <c r="L4" s="75">
        <f>SUM(T4:AK4)</f>
        <v>1</v>
      </c>
      <c r="M4" s="77"/>
      <c r="N4" s="76">
        <f>ROUND(IF(J4*0.25-0.5&lt;0,0,J4*0.25-0.5),0)-O4-Q4</f>
        <v>1</v>
      </c>
      <c r="O4" s="77"/>
      <c r="P4" s="77"/>
      <c r="Q4" s="77"/>
      <c r="R4" s="33">
        <f>J4-(SUM(T4:AE4))+M4</f>
        <v>3</v>
      </c>
      <c r="S4" s="34" t="str">
        <f t="shared" ref="S4:S18" si="0">IF(R4&lt;0,"ATENÇÃO","OK")</f>
        <v>OK</v>
      </c>
      <c r="T4" s="83">
        <v>1</v>
      </c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4000</f>
        <v>4000</v>
      </c>
      <c r="K5" s="74">
        <f t="shared" ref="K5:K17" si="1">IF(SUM(T5:AK5)&gt;J5,J5,SUM(T5:AK5))</f>
        <v>1013</v>
      </c>
      <c r="L5" s="75">
        <f t="shared" ref="L5:L17" si="2">SUM(T5:AK5)</f>
        <v>1013</v>
      </c>
      <c r="M5" s="77"/>
      <c r="N5" s="76">
        <f t="shared" ref="N5:N18" si="3">ROUND(IF(J5*0.25-0.5&lt;0,0,J5*0.25-0.5),0)-O5-Q5</f>
        <v>1000</v>
      </c>
      <c r="O5" s="77"/>
      <c r="P5" s="77"/>
      <c r="Q5" s="77"/>
      <c r="R5" s="33">
        <f t="shared" ref="R5:R17" si="4">J5-(SUM(T5:AE5))+M5</f>
        <v>2987</v>
      </c>
      <c r="S5" s="34" t="str">
        <f t="shared" si="0"/>
        <v>OK</v>
      </c>
      <c r="T5" s="86">
        <v>1013</v>
      </c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4">
        <f t="shared" si="1"/>
        <v>0</v>
      </c>
      <c r="L6" s="75">
        <f t="shared" si="2"/>
        <v>0</v>
      </c>
      <c r="M6" s="77"/>
      <c r="N6" s="76">
        <f t="shared" si="3"/>
        <v>0</v>
      </c>
      <c r="O6" s="77"/>
      <c r="P6" s="77"/>
      <c r="Q6" s="77"/>
      <c r="R6" s="33">
        <f t="shared" si="4"/>
        <v>0</v>
      </c>
      <c r="S6" s="34" t="str">
        <f t="shared" si="0"/>
        <v>OK</v>
      </c>
      <c r="T6" s="82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customHeight="1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12</f>
        <v>12</v>
      </c>
      <c r="K7" s="74">
        <f t="shared" si="1"/>
        <v>0</v>
      </c>
      <c r="L7" s="75">
        <f t="shared" si="2"/>
        <v>0</v>
      </c>
      <c r="M7" s="77"/>
      <c r="N7" s="76">
        <f t="shared" si="3"/>
        <v>3</v>
      </c>
      <c r="O7" s="77"/>
      <c r="P7" s="77"/>
      <c r="Q7" s="77"/>
      <c r="R7" s="33">
        <f t="shared" si="4"/>
        <v>12</v>
      </c>
      <c r="S7" s="34" t="str">
        <f t="shared" si="0"/>
        <v>OK</v>
      </c>
      <c r="T7" s="82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250</f>
        <v>250</v>
      </c>
      <c r="K8" s="74">
        <f t="shared" si="1"/>
        <v>0</v>
      </c>
      <c r="L8" s="75">
        <f t="shared" si="2"/>
        <v>0</v>
      </c>
      <c r="M8" s="77"/>
      <c r="N8" s="76">
        <f t="shared" si="3"/>
        <v>62</v>
      </c>
      <c r="O8" s="77"/>
      <c r="P8" s="77"/>
      <c r="Q8" s="77"/>
      <c r="R8" s="33">
        <f t="shared" si="4"/>
        <v>250</v>
      </c>
      <c r="S8" s="34" t="str">
        <f t="shared" si="0"/>
        <v>OK</v>
      </c>
      <c r="T8" s="82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15</f>
        <v>15</v>
      </c>
      <c r="K9" s="74">
        <f t="shared" si="1"/>
        <v>0</v>
      </c>
      <c r="L9" s="75">
        <f t="shared" si="2"/>
        <v>0</v>
      </c>
      <c r="M9" s="77"/>
      <c r="N9" s="76">
        <f t="shared" si="3"/>
        <v>3</v>
      </c>
      <c r="O9" s="77"/>
      <c r="P9" s="77"/>
      <c r="Q9" s="77"/>
      <c r="R9" s="33">
        <f t="shared" si="4"/>
        <v>15</v>
      </c>
      <c r="S9" s="34" t="str">
        <f t="shared" si="0"/>
        <v>OK</v>
      </c>
      <c r="T9" s="82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1000</f>
        <v>1000</v>
      </c>
      <c r="K10" s="74">
        <f t="shared" si="1"/>
        <v>0</v>
      </c>
      <c r="L10" s="75">
        <f t="shared" si="2"/>
        <v>0</v>
      </c>
      <c r="M10" s="77"/>
      <c r="N10" s="76">
        <f t="shared" si="3"/>
        <v>250</v>
      </c>
      <c r="O10" s="77"/>
      <c r="P10" s="77"/>
      <c r="Q10" s="77"/>
      <c r="R10" s="33">
        <f t="shared" si="4"/>
        <v>1000</v>
      </c>
      <c r="S10" s="34" t="str">
        <f t="shared" si="0"/>
        <v>OK</v>
      </c>
      <c r="T10" s="82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4">
        <f t="shared" si="1"/>
        <v>0</v>
      </c>
      <c r="L11" s="75">
        <f t="shared" si="2"/>
        <v>0</v>
      </c>
      <c r="M11" s="77"/>
      <c r="N11" s="76">
        <f t="shared" si="3"/>
        <v>0</v>
      </c>
      <c r="O11" s="77"/>
      <c r="P11" s="77"/>
      <c r="Q11" s="77"/>
      <c r="R11" s="33">
        <f t="shared" si="4"/>
        <v>0</v>
      </c>
      <c r="S11" s="34" t="str">
        <f t="shared" si="0"/>
        <v>OK</v>
      </c>
      <c r="T11" s="82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4">
        <f t="shared" si="1"/>
        <v>0</v>
      </c>
      <c r="L12" s="75">
        <f t="shared" si="2"/>
        <v>0</v>
      </c>
      <c r="M12" s="77"/>
      <c r="N12" s="76">
        <f t="shared" si="3"/>
        <v>0</v>
      </c>
      <c r="O12" s="77"/>
      <c r="P12" s="77"/>
      <c r="Q12" s="77"/>
      <c r="R12" s="33">
        <f t="shared" si="4"/>
        <v>0</v>
      </c>
      <c r="S12" s="34" t="str">
        <f t="shared" si="0"/>
        <v>OK</v>
      </c>
      <c r="T12" s="82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customHeight="1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4">
        <f t="shared" si="1"/>
        <v>0</v>
      </c>
      <c r="L13" s="75">
        <f t="shared" si="2"/>
        <v>0</v>
      </c>
      <c r="M13" s="77"/>
      <c r="N13" s="76">
        <f t="shared" si="3"/>
        <v>0</v>
      </c>
      <c r="O13" s="77"/>
      <c r="P13" s="77"/>
      <c r="Q13" s="77"/>
      <c r="R13" s="33">
        <f t="shared" si="4"/>
        <v>0</v>
      </c>
      <c r="S13" s="34" t="str">
        <f t="shared" si="0"/>
        <v>OK</v>
      </c>
      <c r="T13" s="82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customHeight="1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4">
        <f t="shared" si="1"/>
        <v>0</v>
      </c>
      <c r="L14" s="75">
        <f t="shared" si="2"/>
        <v>0</v>
      </c>
      <c r="M14" s="77"/>
      <c r="N14" s="76">
        <f t="shared" si="3"/>
        <v>0</v>
      </c>
      <c r="O14" s="77"/>
      <c r="P14" s="77"/>
      <c r="Q14" s="77"/>
      <c r="R14" s="33">
        <f t="shared" si="4"/>
        <v>0</v>
      </c>
      <c r="S14" s="34" t="str">
        <f t="shared" si="0"/>
        <v>OK</v>
      </c>
      <c r="T14" s="82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4">
        <f t="shared" si="1"/>
        <v>0</v>
      </c>
      <c r="L15" s="75">
        <f t="shared" si="2"/>
        <v>0</v>
      </c>
      <c r="M15" s="77"/>
      <c r="N15" s="76">
        <f t="shared" si="3"/>
        <v>0</v>
      </c>
      <c r="O15" s="77"/>
      <c r="P15" s="77"/>
      <c r="Q15" s="77"/>
      <c r="R15" s="33">
        <f t="shared" si="4"/>
        <v>0</v>
      </c>
      <c r="S15" s="34" t="str">
        <f t="shared" si="0"/>
        <v>OK</v>
      </c>
      <c r="T15" s="82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4">
        <f t="shared" si="1"/>
        <v>0</v>
      </c>
      <c r="L16" s="75">
        <f t="shared" si="2"/>
        <v>0</v>
      </c>
      <c r="M16" s="77"/>
      <c r="N16" s="76">
        <f t="shared" si="3"/>
        <v>0</v>
      </c>
      <c r="O16" s="77"/>
      <c r="P16" s="77"/>
      <c r="Q16" s="77"/>
      <c r="R16" s="33">
        <f t="shared" si="4"/>
        <v>0</v>
      </c>
      <c r="S16" s="34" t="str">
        <f t="shared" si="0"/>
        <v>OK</v>
      </c>
      <c r="T16" s="82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customHeight="1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4">
        <f t="shared" si="1"/>
        <v>0</v>
      </c>
      <c r="L17" s="75">
        <f t="shared" si="2"/>
        <v>0</v>
      </c>
      <c r="M17" s="77"/>
      <c r="N17" s="76">
        <f t="shared" si="3"/>
        <v>0</v>
      </c>
      <c r="O17" s="77"/>
      <c r="P17" s="77"/>
      <c r="Q17" s="77"/>
      <c r="R17" s="33">
        <f t="shared" si="4"/>
        <v>0</v>
      </c>
      <c r="S17" s="34" t="str">
        <f t="shared" si="0"/>
        <v>OK</v>
      </c>
      <c r="T17" s="82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5281</v>
      </c>
      <c r="N18" s="3">
        <f t="shared" si="3"/>
        <v>1320</v>
      </c>
      <c r="R18" s="13">
        <f>SUM(R4:R17)</f>
        <v>4267</v>
      </c>
      <c r="S18" s="4" t="str">
        <f t="shared" si="0"/>
        <v>OK</v>
      </c>
      <c r="T18" s="84">
        <v>3305.1</v>
      </c>
      <c r="U18" s="20">
        <f t="shared" ref="U18:AG18" si="5">SUMPRODUCT($I$4:$I$17,U4:U17)</f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78">
        <f>SUMPRODUCT($I$4:$I$17,J4:J17)</f>
        <v>33172.5</v>
      </c>
      <c r="K19" s="78">
        <f>SUMPRODUCT($I$4:$I$17,K4:K17)</f>
        <v>3305.1000000000004</v>
      </c>
      <c r="L19" s="78">
        <f>SUMPRODUCT($I$4:$I$17,L4:L17)</f>
        <v>3305.1000000000004</v>
      </c>
      <c r="T19" s="85"/>
    </row>
    <row r="20" spans="1:33" x14ac:dyDescent="0.25">
      <c r="D20" s="37" t="s">
        <v>37</v>
      </c>
      <c r="T20" s="85"/>
    </row>
    <row r="21" spans="1:33" ht="15" customHeight="1" x14ac:dyDescent="0.25">
      <c r="D21" s="38" t="s">
        <v>40</v>
      </c>
      <c r="T21" s="85"/>
    </row>
    <row r="22" spans="1:33" x14ac:dyDescent="0.25">
      <c r="D22" s="39" t="s">
        <v>39</v>
      </c>
      <c r="T22" s="85"/>
    </row>
    <row r="23" spans="1:33" ht="15.75" thickBot="1" x14ac:dyDescent="0.3">
      <c r="D23" s="40" t="s">
        <v>38</v>
      </c>
      <c r="T23" s="85"/>
    </row>
  </sheetData>
  <mergeCells count="30">
    <mergeCell ref="A12:A13"/>
    <mergeCell ref="C12:C13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AC1:AC2"/>
    <mergeCell ref="AD1:AD2"/>
    <mergeCell ref="AE1:AE2"/>
    <mergeCell ref="AF1:AF2"/>
    <mergeCell ref="AG1:AG2"/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</mergeCells>
  <conditionalFormatting sqref="U4:AG17">
    <cfRule type="cellIs" dxfId="11" priority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  <cfRule type="cellIs" dxfId="8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432D-DC11-4256-885E-12F6F77E39DB}">
  <dimension ref="A1:AG23"/>
  <sheetViews>
    <sheetView topLeftCell="A7" zoomScale="80" zoomScaleNormal="80" workbookViewId="0">
      <selection activeCell="T7" sqref="T1:T23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32.425781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98" t="s">
        <v>92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66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9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29" t="s">
        <v>0</v>
      </c>
      <c r="S3" s="30" t="s">
        <v>2</v>
      </c>
      <c r="T3" s="81">
        <v>45586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0</f>
        <v>0</v>
      </c>
      <c r="K4" s="74">
        <f>IF(SUM(T4:AK4)&gt;J4,J4,SUM(T4:AK4))</f>
        <v>0</v>
      </c>
      <c r="L4" s="75">
        <f>SUM(T4:AK4)</f>
        <v>0</v>
      </c>
      <c r="M4" s="77"/>
      <c r="N4" s="76">
        <f>ROUND(IF(J4*0.25-0.5&lt;0,0,J4*0.25-0.5),0)-O4-Q4</f>
        <v>0</v>
      </c>
      <c r="O4" s="77"/>
      <c r="P4" s="77"/>
      <c r="Q4" s="77"/>
      <c r="R4" s="33">
        <f>J4-(SUM(T4:AE4))+M4</f>
        <v>0</v>
      </c>
      <c r="S4" s="34" t="str">
        <f t="shared" ref="S4:S18" si="0">IF(R4&lt;0,"ATENÇÃO","OK")</f>
        <v>OK</v>
      </c>
      <c r="T4" s="82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0</f>
        <v>0</v>
      </c>
      <c r="K5" s="74">
        <f t="shared" ref="K5:K17" si="1">IF(SUM(T5:AK5)&gt;J5,J5,SUM(T5:AK5))</f>
        <v>0</v>
      </c>
      <c r="L5" s="75">
        <f t="shared" ref="L5:L17" si="2">SUM(T5:AK5)</f>
        <v>0</v>
      </c>
      <c r="M5" s="77"/>
      <c r="N5" s="76">
        <f t="shared" ref="N5:N17" si="3">ROUND(IF(J5*0.25-0.5&lt;0,0,J5*0.25-0.5),0)-O5-Q5</f>
        <v>0</v>
      </c>
      <c r="O5" s="77"/>
      <c r="P5" s="77"/>
      <c r="Q5" s="77"/>
      <c r="R5" s="33">
        <f t="shared" ref="R5:R17" si="4">J5-(SUM(T5:AE5))+M5</f>
        <v>0</v>
      </c>
      <c r="S5" s="34" t="str">
        <f t="shared" si="0"/>
        <v>OK</v>
      </c>
      <c r="T5" s="82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4">
        <f t="shared" si="1"/>
        <v>0</v>
      </c>
      <c r="L6" s="75">
        <f t="shared" si="2"/>
        <v>0</v>
      </c>
      <c r="M6" s="77"/>
      <c r="N6" s="76">
        <f t="shared" si="3"/>
        <v>0</v>
      </c>
      <c r="O6" s="77"/>
      <c r="P6" s="77"/>
      <c r="Q6" s="77"/>
      <c r="R6" s="33">
        <f t="shared" si="4"/>
        <v>0</v>
      </c>
      <c r="S6" s="34" t="str">
        <f t="shared" si="0"/>
        <v>OK</v>
      </c>
      <c r="T6" s="82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4">
        <f t="shared" si="1"/>
        <v>0</v>
      </c>
      <c r="L7" s="75">
        <f t="shared" si="2"/>
        <v>0</v>
      </c>
      <c r="M7" s="77"/>
      <c r="N7" s="76">
        <f t="shared" si="3"/>
        <v>0</v>
      </c>
      <c r="O7" s="77"/>
      <c r="P7" s="77"/>
      <c r="Q7" s="77"/>
      <c r="R7" s="33">
        <f t="shared" si="4"/>
        <v>0</v>
      </c>
      <c r="S7" s="34" t="str">
        <f t="shared" si="0"/>
        <v>OK</v>
      </c>
      <c r="T7" s="82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4">
        <f t="shared" si="1"/>
        <v>0</v>
      </c>
      <c r="L8" s="75">
        <f t="shared" si="2"/>
        <v>0</v>
      </c>
      <c r="M8" s="77"/>
      <c r="N8" s="76">
        <f t="shared" si="3"/>
        <v>0</v>
      </c>
      <c r="O8" s="77"/>
      <c r="P8" s="77"/>
      <c r="Q8" s="77"/>
      <c r="R8" s="33">
        <f t="shared" si="4"/>
        <v>0</v>
      </c>
      <c r="S8" s="34" t="str">
        <f t="shared" si="0"/>
        <v>OK</v>
      </c>
      <c r="T8" s="82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4">
        <f t="shared" si="1"/>
        <v>0</v>
      </c>
      <c r="L9" s="75">
        <f t="shared" si="2"/>
        <v>0</v>
      </c>
      <c r="M9" s="77"/>
      <c r="N9" s="76">
        <f t="shared" si="3"/>
        <v>0</v>
      </c>
      <c r="O9" s="77"/>
      <c r="P9" s="77"/>
      <c r="Q9" s="77"/>
      <c r="R9" s="33">
        <f t="shared" si="4"/>
        <v>0</v>
      </c>
      <c r="S9" s="34" t="str">
        <f t="shared" si="0"/>
        <v>OK</v>
      </c>
      <c r="T9" s="82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4">
        <f t="shared" si="1"/>
        <v>0</v>
      </c>
      <c r="L10" s="75">
        <f t="shared" si="2"/>
        <v>0</v>
      </c>
      <c r="M10" s="77"/>
      <c r="N10" s="76">
        <f t="shared" si="3"/>
        <v>0</v>
      </c>
      <c r="O10" s="77"/>
      <c r="P10" s="77"/>
      <c r="Q10" s="77"/>
      <c r="R10" s="33">
        <f t="shared" si="4"/>
        <v>0</v>
      </c>
      <c r="S10" s="34" t="str">
        <f t="shared" si="0"/>
        <v>OK</v>
      </c>
      <c r="T10" s="82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4">
        <f t="shared" si="1"/>
        <v>0</v>
      </c>
      <c r="L11" s="75">
        <f t="shared" si="2"/>
        <v>0</v>
      </c>
      <c r="M11" s="77"/>
      <c r="N11" s="76">
        <f t="shared" si="3"/>
        <v>0</v>
      </c>
      <c r="O11" s="77"/>
      <c r="P11" s="77"/>
      <c r="Q11" s="77"/>
      <c r="R11" s="33">
        <f t="shared" si="4"/>
        <v>0</v>
      </c>
      <c r="S11" s="34" t="str">
        <f t="shared" si="0"/>
        <v>OK</v>
      </c>
      <c r="T11" s="82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4">
        <f t="shared" si="1"/>
        <v>0</v>
      </c>
      <c r="L12" s="75">
        <f t="shared" si="2"/>
        <v>0</v>
      </c>
      <c r="M12" s="77"/>
      <c r="N12" s="76">
        <f t="shared" si="3"/>
        <v>0</v>
      </c>
      <c r="O12" s="77"/>
      <c r="P12" s="77"/>
      <c r="Q12" s="77"/>
      <c r="R12" s="33">
        <f t="shared" si="4"/>
        <v>0</v>
      </c>
      <c r="S12" s="34" t="str">
        <f t="shared" si="0"/>
        <v>OK</v>
      </c>
      <c r="T12" s="82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4">
        <f t="shared" si="1"/>
        <v>0</v>
      </c>
      <c r="L13" s="75">
        <f t="shared" si="2"/>
        <v>0</v>
      </c>
      <c r="M13" s="77"/>
      <c r="N13" s="76">
        <f t="shared" si="3"/>
        <v>0</v>
      </c>
      <c r="O13" s="77"/>
      <c r="P13" s="77"/>
      <c r="Q13" s="77"/>
      <c r="R13" s="33">
        <f t="shared" si="4"/>
        <v>0</v>
      </c>
      <c r="S13" s="34" t="str">
        <f t="shared" si="0"/>
        <v>OK</v>
      </c>
      <c r="T13" s="82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4">
        <f t="shared" si="1"/>
        <v>0</v>
      </c>
      <c r="L14" s="75">
        <f t="shared" si="2"/>
        <v>0</v>
      </c>
      <c r="M14" s="77"/>
      <c r="N14" s="76">
        <f t="shared" si="3"/>
        <v>0</v>
      </c>
      <c r="O14" s="77"/>
      <c r="P14" s="77"/>
      <c r="Q14" s="77"/>
      <c r="R14" s="33">
        <f t="shared" si="4"/>
        <v>0</v>
      </c>
      <c r="S14" s="34" t="str">
        <f t="shared" si="0"/>
        <v>OK</v>
      </c>
      <c r="T14" s="82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4">
        <f t="shared" si="1"/>
        <v>0</v>
      </c>
      <c r="L15" s="75">
        <f t="shared" si="2"/>
        <v>0</v>
      </c>
      <c r="M15" s="77"/>
      <c r="N15" s="76">
        <f t="shared" si="3"/>
        <v>0</v>
      </c>
      <c r="O15" s="77"/>
      <c r="P15" s="77"/>
      <c r="Q15" s="77"/>
      <c r="R15" s="33">
        <f t="shared" si="4"/>
        <v>0</v>
      </c>
      <c r="S15" s="34" t="str">
        <f t="shared" si="0"/>
        <v>OK</v>
      </c>
      <c r="T15" s="82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2</f>
        <v>2</v>
      </c>
      <c r="K16" s="74">
        <f t="shared" si="1"/>
        <v>1</v>
      </c>
      <c r="L16" s="75">
        <f t="shared" si="2"/>
        <v>1</v>
      </c>
      <c r="M16" s="77"/>
      <c r="N16" s="76">
        <f t="shared" si="3"/>
        <v>0</v>
      </c>
      <c r="O16" s="77"/>
      <c r="P16" s="77"/>
      <c r="Q16" s="77"/>
      <c r="R16" s="33">
        <f t="shared" si="4"/>
        <v>1</v>
      </c>
      <c r="S16" s="34" t="str">
        <f t="shared" si="0"/>
        <v>OK</v>
      </c>
      <c r="T16" s="83">
        <v>1</v>
      </c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45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400</f>
        <v>400</v>
      </c>
      <c r="K17" s="74">
        <f t="shared" si="1"/>
        <v>50</v>
      </c>
      <c r="L17" s="75">
        <f t="shared" si="2"/>
        <v>50</v>
      </c>
      <c r="M17" s="77"/>
      <c r="N17" s="76">
        <f t="shared" si="3"/>
        <v>100</v>
      </c>
      <c r="O17" s="77"/>
      <c r="P17" s="77"/>
      <c r="Q17" s="77"/>
      <c r="R17" s="33">
        <f t="shared" si="4"/>
        <v>350</v>
      </c>
      <c r="S17" s="34" t="str">
        <f t="shared" si="0"/>
        <v>OK</v>
      </c>
      <c r="T17" s="83">
        <v>50</v>
      </c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402</v>
      </c>
      <c r="R18" s="13">
        <f>SUM(R4:R17)</f>
        <v>351</v>
      </c>
      <c r="S18" s="4" t="str">
        <f t="shared" si="0"/>
        <v>OK</v>
      </c>
      <c r="T18" s="84">
        <v>1135</v>
      </c>
      <c r="U18" s="20">
        <f t="shared" ref="U18:AG18" si="5">SUMPRODUCT($I$4:$I$17,U4:U17)</f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78">
        <f>SUMPRODUCT($I$4:$I$17,J4:J17)</f>
        <v>4340</v>
      </c>
      <c r="K19" s="78">
        <f>SUMPRODUCT($I$4:$I$17,K4:K17)</f>
        <v>1135</v>
      </c>
      <c r="L19" s="78">
        <f>SUMPRODUCT($I$4:$I$17,L4:L17)</f>
        <v>1135</v>
      </c>
      <c r="T19" s="85"/>
    </row>
    <row r="20" spans="1:33" x14ac:dyDescent="0.25">
      <c r="D20" s="37" t="s">
        <v>37</v>
      </c>
      <c r="T20" s="85"/>
    </row>
    <row r="21" spans="1:33" x14ac:dyDescent="0.25">
      <c r="D21" s="38" t="s">
        <v>40</v>
      </c>
      <c r="T21" s="85"/>
    </row>
    <row r="22" spans="1:33" x14ac:dyDescent="0.25">
      <c r="D22" s="39" t="s">
        <v>39</v>
      </c>
      <c r="T22" s="85"/>
    </row>
    <row r="23" spans="1:33" ht="15.75" thickBot="1" x14ac:dyDescent="0.3">
      <c r="D23" s="40" t="s">
        <v>38</v>
      </c>
      <c r="T23" s="85"/>
    </row>
  </sheetData>
  <mergeCells count="30">
    <mergeCell ref="A12:A13"/>
    <mergeCell ref="C12:C13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AC1:AC2"/>
    <mergeCell ref="AD1:AD2"/>
    <mergeCell ref="AE1:AE2"/>
    <mergeCell ref="AF1:AF2"/>
    <mergeCell ref="AG1:AG2"/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</mergeCells>
  <conditionalFormatting sqref="U4:AG17">
    <cfRule type="cellIs" dxfId="7" priority="1" operator="greaterThan">
      <formula>0</formula>
    </cfRule>
    <cfRule type="cellIs" dxfId="6" priority="2" stopIfTrue="1" operator="greaterThan">
      <formula>0</formula>
    </cfRule>
    <cfRule type="cellIs" dxfId="5" priority="3" stopIfTrue="1" operator="greaterThan">
      <formula>0</formula>
    </cfRule>
    <cfRule type="cellIs" dxfId="4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B2CF-815C-4108-8EF6-83FD5A1B113A}">
  <dimension ref="A1:AG23"/>
  <sheetViews>
    <sheetView topLeftCell="A10" zoomScale="80" zoomScaleNormal="80" workbookViewId="0">
      <selection activeCell="O21" sqref="O21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23.425781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95" t="s">
        <v>32</v>
      </c>
      <c r="B1" s="95"/>
      <c r="C1" s="95"/>
      <c r="D1" s="95" t="s">
        <v>36</v>
      </c>
      <c r="E1" s="95"/>
      <c r="F1" s="95"/>
      <c r="G1" s="95"/>
      <c r="H1" s="95"/>
      <c r="I1" s="95"/>
      <c r="J1" s="95" t="s">
        <v>33</v>
      </c>
      <c r="K1" s="95"/>
      <c r="L1" s="95"/>
      <c r="M1" s="95"/>
      <c r="N1" s="95"/>
      <c r="O1" s="95"/>
      <c r="P1" s="95"/>
      <c r="Q1" s="95"/>
      <c r="R1" s="95"/>
      <c r="S1" s="95"/>
      <c r="T1" s="98" t="s">
        <v>93</v>
      </c>
      <c r="U1" s="98" t="s">
        <v>94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  <c r="AC1" s="87" t="s">
        <v>30</v>
      </c>
      <c r="AD1" s="87" t="s">
        <v>30</v>
      </c>
      <c r="AE1" s="87" t="s">
        <v>30</v>
      </c>
      <c r="AF1" s="87" t="s">
        <v>30</v>
      </c>
      <c r="AG1" s="87" t="s">
        <v>30</v>
      </c>
    </row>
    <row r="2" spans="1:33" ht="26.45" customHeight="1" x14ac:dyDescent="0.25">
      <c r="A2" s="95" t="s">
        <v>67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9"/>
      <c r="U2" s="99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1" t="s">
        <v>82</v>
      </c>
      <c r="L3" s="71" t="s">
        <v>83</v>
      </c>
      <c r="M3" s="71" t="s">
        <v>84</v>
      </c>
      <c r="N3" s="71" t="s">
        <v>85</v>
      </c>
      <c r="O3" s="71" t="s">
        <v>86</v>
      </c>
      <c r="P3" s="71" t="s">
        <v>87</v>
      </c>
      <c r="Q3" s="71" t="s">
        <v>88</v>
      </c>
      <c r="R3" s="29" t="s">
        <v>0</v>
      </c>
      <c r="S3" s="30" t="s">
        <v>2</v>
      </c>
      <c r="T3" s="81">
        <v>45475</v>
      </c>
      <c r="U3" s="81">
        <v>45590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1">
        <v>5</v>
      </c>
      <c r="B4" s="41">
        <v>5</v>
      </c>
      <c r="C4" s="96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0</f>
        <v>0</v>
      </c>
      <c r="K4" s="74">
        <f>IF(SUM(T4:AK4)&gt;J4,J4,SUM(T4:AK4))</f>
        <v>0</v>
      </c>
      <c r="L4" s="75">
        <f>SUM(T4:AK4)</f>
        <v>0</v>
      </c>
      <c r="M4" s="77"/>
      <c r="N4" s="76">
        <f>ROUND(IF(J4*0.25-0.5&lt;0,0,J4*0.25-0.5),0)-O4-Q4</f>
        <v>0</v>
      </c>
      <c r="O4" s="77"/>
      <c r="P4" s="77"/>
      <c r="Q4" s="77"/>
      <c r="R4" s="33">
        <f>J4-(SUM(T4:AE4))+M4</f>
        <v>0</v>
      </c>
      <c r="S4" s="34" t="str">
        <f t="shared" ref="S4:S18" si="0">IF(R4&lt;0,"ATENÇÃO","OK")</f>
        <v>OK</v>
      </c>
      <c r="T4" s="82"/>
      <c r="U4" s="82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2"/>
      <c r="B5" s="41">
        <v>6</v>
      </c>
      <c r="C5" s="97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0</f>
        <v>0</v>
      </c>
      <c r="K5" s="74">
        <f t="shared" ref="K5:K17" si="1">IF(SUM(T5:AK5)&gt;J5,J5,SUM(T5:AK5))</f>
        <v>0</v>
      </c>
      <c r="L5" s="75">
        <f t="shared" ref="L5:L17" si="2">SUM(T5:AK5)</f>
        <v>0</v>
      </c>
      <c r="M5" s="77"/>
      <c r="N5" s="76">
        <f t="shared" ref="N5:N17" si="3">ROUND(IF(J5*0.25-0.5&lt;0,0,J5*0.25-0.5),0)-O5-Q5</f>
        <v>0</v>
      </c>
      <c r="O5" s="77"/>
      <c r="P5" s="77"/>
      <c r="Q5" s="77"/>
      <c r="R5" s="33">
        <f t="shared" ref="R5:R17" si="4">J5-(SUM(T5:AE5))+M5</f>
        <v>0</v>
      </c>
      <c r="S5" s="34" t="str">
        <f t="shared" si="0"/>
        <v>OK</v>
      </c>
      <c r="T5" s="82"/>
      <c r="U5" s="82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4">
        <f t="shared" si="1"/>
        <v>0</v>
      </c>
      <c r="L6" s="75">
        <f t="shared" si="2"/>
        <v>0</v>
      </c>
      <c r="M6" s="77"/>
      <c r="N6" s="76">
        <f t="shared" si="3"/>
        <v>0</v>
      </c>
      <c r="O6" s="77"/>
      <c r="P6" s="77"/>
      <c r="Q6" s="77"/>
      <c r="R6" s="33">
        <f t="shared" si="4"/>
        <v>0</v>
      </c>
      <c r="S6" s="34" t="str">
        <f t="shared" si="0"/>
        <v>OK</v>
      </c>
      <c r="T6" s="82"/>
      <c r="U6" s="82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customHeight="1" x14ac:dyDescent="0.25">
      <c r="A7" s="91">
        <v>7</v>
      </c>
      <c r="B7" s="41">
        <v>8</v>
      </c>
      <c r="C7" s="96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4">
        <f t="shared" si="1"/>
        <v>0</v>
      </c>
      <c r="L7" s="75">
        <f t="shared" si="2"/>
        <v>0</v>
      </c>
      <c r="M7" s="77"/>
      <c r="N7" s="76">
        <f t="shared" si="3"/>
        <v>0</v>
      </c>
      <c r="O7" s="77"/>
      <c r="P7" s="77"/>
      <c r="Q7" s="77"/>
      <c r="R7" s="33">
        <f t="shared" si="4"/>
        <v>0</v>
      </c>
      <c r="S7" s="34" t="str">
        <f t="shared" si="0"/>
        <v>OK</v>
      </c>
      <c r="T7" s="82"/>
      <c r="U7" s="82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customHeight="1" x14ac:dyDescent="0.25">
      <c r="A8" s="92"/>
      <c r="B8" s="41">
        <v>9</v>
      </c>
      <c r="C8" s="97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4">
        <f t="shared" si="1"/>
        <v>0</v>
      </c>
      <c r="L8" s="75">
        <f t="shared" si="2"/>
        <v>0</v>
      </c>
      <c r="M8" s="77"/>
      <c r="N8" s="76">
        <f t="shared" si="3"/>
        <v>0</v>
      </c>
      <c r="O8" s="77"/>
      <c r="P8" s="77"/>
      <c r="Q8" s="77"/>
      <c r="R8" s="33">
        <f t="shared" si="4"/>
        <v>0</v>
      </c>
      <c r="S8" s="34" t="str">
        <f t="shared" si="0"/>
        <v>OK</v>
      </c>
      <c r="T8" s="82"/>
      <c r="U8" s="82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3">
        <v>8</v>
      </c>
      <c r="B9" s="48">
        <v>10</v>
      </c>
      <c r="C9" s="89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4">
        <f t="shared" si="1"/>
        <v>0</v>
      </c>
      <c r="L9" s="75">
        <f t="shared" si="2"/>
        <v>0</v>
      </c>
      <c r="M9" s="77"/>
      <c r="N9" s="76">
        <f t="shared" si="3"/>
        <v>0</v>
      </c>
      <c r="O9" s="77"/>
      <c r="P9" s="77"/>
      <c r="Q9" s="77"/>
      <c r="R9" s="33">
        <f t="shared" si="4"/>
        <v>0</v>
      </c>
      <c r="S9" s="34" t="str">
        <f t="shared" si="0"/>
        <v>OK</v>
      </c>
      <c r="T9" s="82"/>
      <c r="U9" s="82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customHeight="1" x14ac:dyDescent="0.25">
      <c r="A10" s="94"/>
      <c r="B10" s="48">
        <v>11</v>
      </c>
      <c r="C10" s="90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4">
        <f t="shared" si="1"/>
        <v>0</v>
      </c>
      <c r="L10" s="75">
        <f t="shared" si="2"/>
        <v>0</v>
      </c>
      <c r="M10" s="77"/>
      <c r="N10" s="76">
        <f t="shared" si="3"/>
        <v>0</v>
      </c>
      <c r="O10" s="77"/>
      <c r="P10" s="77"/>
      <c r="Q10" s="77"/>
      <c r="R10" s="33">
        <f t="shared" si="4"/>
        <v>0</v>
      </c>
      <c r="S10" s="34" t="str">
        <f t="shared" si="0"/>
        <v>OK</v>
      </c>
      <c r="T10" s="82"/>
      <c r="U10" s="82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4">
        <f t="shared" si="1"/>
        <v>0</v>
      </c>
      <c r="L11" s="75">
        <f t="shared" si="2"/>
        <v>0</v>
      </c>
      <c r="M11" s="77"/>
      <c r="N11" s="76">
        <f t="shared" si="3"/>
        <v>0</v>
      </c>
      <c r="O11" s="77"/>
      <c r="P11" s="77"/>
      <c r="Q11" s="77"/>
      <c r="R11" s="33">
        <f t="shared" si="4"/>
        <v>0</v>
      </c>
      <c r="S11" s="34" t="str">
        <f t="shared" si="0"/>
        <v>OK</v>
      </c>
      <c r="T11" s="82"/>
      <c r="U11" s="82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3">
        <v>14</v>
      </c>
      <c r="B12" s="48">
        <v>17</v>
      </c>
      <c r="C12" s="89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4</f>
        <v>4</v>
      </c>
      <c r="K12" s="74">
        <f t="shared" si="1"/>
        <v>0</v>
      </c>
      <c r="L12" s="75">
        <f t="shared" si="2"/>
        <v>0</v>
      </c>
      <c r="M12" s="77"/>
      <c r="N12" s="76">
        <f t="shared" si="3"/>
        <v>1</v>
      </c>
      <c r="O12" s="77"/>
      <c r="P12" s="77"/>
      <c r="Q12" s="77"/>
      <c r="R12" s="33">
        <f t="shared" si="4"/>
        <v>4</v>
      </c>
      <c r="S12" s="34" t="str">
        <f t="shared" si="0"/>
        <v>OK</v>
      </c>
      <c r="T12" s="82"/>
      <c r="U12" s="82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customHeight="1" x14ac:dyDescent="0.25">
      <c r="A13" s="94"/>
      <c r="B13" s="48">
        <v>18</v>
      </c>
      <c r="C13" s="90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2000</f>
        <v>2000</v>
      </c>
      <c r="K13" s="74">
        <f t="shared" si="1"/>
        <v>0</v>
      </c>
      <c r="L13" s="75">
        <f t="shared" si="2"/>
        <v>0</v>
      </c>
      <c r="M13" s="77"/>
      <c r="N13" s="76">
        <f t="shared" si="3"/>
        <v>500</v>
      </c>
      <c r="O13" s="77"/>
      <c r="P13" s="77"/>
      <c r="Q13" s="77"/>
      <c r="R13" s="33">
        <f t="shared" si="4"/>
        <v>2000</v>
      </c>
      <c r="S13" s="34" t="str">
        <f t="shared" si="0"/>
        <v>OK</v>
      </c>
      <c r="T13" s="82"/>
      <c r="U13" s="82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customHeight="1" x14ac:dyDescent="0.25">
      <c r="A14" s="91">
        <v>15</v>
      </c>
      <c r="B14" s="41">
        <v>19</v>
      </c>
      <c r="C14" s="96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5</f>
        <v>5</v>
      </c>
      <c r="K14" s="74">
        <f t="shared" si="1"/>
        <v>2</v>
      </c>
      <c r="L14" s="75">
        <f t="shared" si="2"/>
        <v>2</v>
      </c>
      <c r="M14" s="77"/>
      <c r="N14" s="76">
        <f t="shared" si="3"/>
        <v>1</v>
      </c>
      <c r="O14" s="77"/>
      <c r="P14" s="77"/>
      <c r="Q14" s="77"/>
      <c r="R14" s="33">
        <f t="shared" si="4"/>
        <v>3</v>
      </c>
      <c r="S14" s="34" t="str">
        <f t="shared" si="0"/>
        <v>OK</v>
      </c>
      <c r="T14" s="83">
        <v>1</v>
      </c>
      <c r="U14" s="83">
        <v>1</v>
      </c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customHeight="1" x14ac:dyDescent="0.25">
      <c r="A15" s="92"/>
      <c r="B15" s="41">
        <v>20</v>
      </c>
      <c r="C15" s="97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2000</f>
        <v>2000</v>
      </c>
      <c r="K15" s="74">
        <f t="shared" si="1"/>
        <v>1050</v>
      </c>
      <c r="L15" s="75">
        <f t="shared" si="2"/>
        <v>1050</v>
      </c>
      <c r="M15" s="77"/>
      <c r="N15" s="76">
        <f t="shared" si="3"/>
        <v>500</v>
      </c>
      <c r="O15" s="77"/>
      <c r="P15" s="77"/>
      <c r="Q15" s="77"/>
      <c r="R15" s="33">
        <f t="shared" si="4"/>
        <v>950</v>
      </c>
      <c r="S15" s="34" t="str">
        <f t="shared" si="0"/>
        <v>OK</v>
      </c>
      <c r="T15" s="83">
        <v>700</v>
      </c>
      <c r="U15" s="83">
        <v>350</v>
      </c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3">
        <v>16</v>
      </c>
      <c r="B16" s="48">
        <v>21</v>
      </c>
      <c r="C16" s="89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4">
        <f t="shared" si="1"/>
        <v>0</v>
      </c>
      <c r="L16" s="75">
        <f t="shared" si="2"/>
        <v>0</v>
      </c>
      <c r="M16" s="77"/>
      <c r="N16" s="76">
        <f t="shared" si="3"/>
        <v>0</v>
      </c>
      <c r="O16" s="77"/>
      <c r="P16" s="77"/>
      <c r="Q16" s="77"/>
      <c r="R16" s="33">
        <f t="shared" si="4"/>
        <v>0</v>
      </c>
      <c r="S16" s="34" t="str">
        <f t="shared" si="0"/>
        <v>OK</v>
      </c>
      <c r="T16" s="82"/>
      <c r="U16" s="82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customHeight="1" x14ac:dyDescent="0.25">
      <c r="A17" s="94"/>
      <c r="B17" s="48">
        <v>22</v>
      </c>
      <c r="C17" s="90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4">
        <f t="shared" si="1"/>
        <v>0</v>
      </c>
      <c r="L17" s="75">
        <f t="shared" si="2"/>
        <v>0</v>
      </c>
      <c r="M17" s="77"/>
      <c r="N17" s="76">
        <f t="shared" si="3"/>
        <v>0</v>
      </c>
      <c r="O17" s="77"/>
      <c r="P17" s="77"/>
      <c r="Q17" s="77"/>
      <c r="R17" s="33">
        <f t="shared" si="4"/>
        <v>0</v>
      </c>
      <c r="S17" s="34" t="str">
        <f t="shared" si="0"/>
        <v>OK</v>
      </c>
      <c r="T17" s="82"/>
      <c r="U17" s="82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3">
        <f>SUM(J4:J17)</f>
        <v>4009</v>
      </c>
      <c r="R18" s="13">
        <f>SUM(R4:R17)</f>
        <v>2957</v>
      </c>
      <c r="S18" s="4" t="str">
        <f t="shared" si="0"/>
        <v>OK</v>
      </c>
      <c r="T18" s="84">
        <v>6361</v>
      </c>
      <c r="U18" s="84">
        <v>3431.5</v>
      </c>
      <c r="V18" s="20">
        <f t="shared" ref="V18:AG18" si="5">SUMPRODUCT($I$4:$I$17,V4:V17)</f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78">
        <f>SUMPRODUCT($I$4:$I$17,J4:J17)</f>
        <v>26750</v>
      </c>
      <c r="K19" s="78">
        <f>SUMPRODUCT($I$4:$I$17,K4:K17)</f>
        <v>9792.5</v>
      </c>
      <c r="L19" s="78">
        <f>SUMPRODUCT($I$4:$I$17,L4:L17)</f>
        <v>9792.5</v>
      </c>
      <c r="T19" s="85"/>
      <c r="U19" s="85"/>
    </row>
    <row r="20" spans="1:33" x14ac:dyDescent="0.25">
      <c r="D20" s="37" t="s">
        <v>37</v>
      </c>
      <c r="T20" s="85"/>
      <c r="U20" s="85"/>
    </row>
    <row r="21" spans="1:33" ht="15" customHeight="1" x14ac:dyDescent="0.25">
      <c r="D21" s="38" t="s">
        <v>40</v>
      </c>
      <c r="T21" s="85"/>
      <c r="U21" s="85"/>
    </row>
    <row r="22" spans="1:33" x14ac:dyDescent="0.25">
      <c r="D22" s="39" t="s">
        <v>39</v>
      </c>
      <c r="T22" s="85"/>
      <c r="U22" s="85"/>
    </row>
    <row r="23" spans="1:33" ht="15.75" customHeight="1" thickBot="1" x14ac:dyDescent="0.3">
      <c r="D23" s="40" t="s">
        <v>38</v>
      </c>
      <c r="T23" s="85"/>
      <c r="U23" s="85"/>
    </row>
  </sheetData>
  <mergeCells count="30">
    <mergeCell ref="A12:A13"/>
    <mergeCell ref="C12:C13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AC1:AC2"/>
    <mergeCell ref="AD1:AD2"/>
    <mergeCell ref="AE1:AE2"/>
    <mergeCell ref="AF1:AF2"/>
    <mergeCell ref="AG1:AG2"/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</mergeCells>
  <conditionalFormatting sqref="V4:AG17">
    <cfRule type="cellIs" dxfId="3" priority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O28"/>
  <sheetViews>
    <sheetView tabSelected="1" topLeftCell="A10" zoomScale="90" zoomScaleNormal="90" workbookViewId="0">
      <selection activeCell="G29" sqref="G29"/>
    </sheetView>
  </sheetViews>
  <sheetFormatPr defaultColWidth="9.7109375" defaultRowHeight="15" x14ac:dyDescent="0.25"/>
  <cols>
    <col min="1" max="1" width="5.140625" style="17" customWidth="1"/>
    <col min="2" max="2" width="6" style="17" customWidth="1"/>
    <col min="3" max="3" width="27.140625" style="12" customWidth="1"/>
    <col min="4" max="4" width="62.85546875" style="17" customWidth="1"/>
    <col min="5" max="5" width="12.42578125" style="17" customWidth="1"/>
    <col min="6" max="6" width="12.7109375" style="16" bestFit="1" customWidth="1"/>
    <col min="7" max="8" width="11.42578125" style="3" customWidth="1"/>
    <col min="9" max="9" width="10.85546875" style="13" customWidth="1"/>
    <col min="10" max="10" width="12.28515625" style="13" customWidth="1"/>
    <col min="11" max="11" width="10.85546875" style="13" customWidth="1"/>
    <col min="12" max="12" width="11.7109375" style="4" customWidth="1"/>
    <col min="13" max="13" width="19.7109375" style="1" bestFit="1" customWidth="1"/>
    <col min="14" max="14" width="19.7109375" style="1" customWidth="1"/>
    <col min="15" max="15" width="18.140625" style="1" bestFit="1" customWidth="1"/>
    <col min="16" max="16384" width="9.7109375" style="1"/>
  </cols>
  <sheetData>
    <row r="1" spans="1:15" ht="46.5" customHeight="1" x14ac:dyDescent="0.25">
      <c r="A1" s="112" t="s">
        <v>32</v>
      </c>
      <c r="B1" s="112"/>
      <c r="C1" s="112"/>
      <c r="D1" s="113" t="s">
        <v>69</v>
      </c>
      <c r="E1" s="114"/>
      <c r="F1" s="115"/>
      <c r="G1" s="109" t="s">
        <v>31</v>
      </c>
      <c r="H1" s="110"/>
      <c r="I1" s="110"/>
      <c r="J1" s="110"/>
      <c r="K1" s="110"/>
      <c r="L1" s="110"/>
      <c r="M1" s="110"/>
      <c r="N1" s="110"/>
      <c r="O1" s="111"/>
    </row>
    <row r="2" spans="1:15" ht="20.45" customHeight="1" x14ac:dyDescent="0.25">
      <c r="A2" s="112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2" customFormat="1" ht="58.5" customHeight="1" x14ac:dyDescent="0.2">
      <c r="A3" s="62" t="s">
        <v>34</v>
      </c>
      <c r="B3" s="62" t="s">
        <v>14</v>
      </c>
      <c r="C3" s="62" t="s">
        <v>15</v>
      </c>
      <c r="D3" s="62" t="s">
        <v>35</v>
      </c>
      <c r="E3" s="62" t="s">
        <v>3</v>
      </c>
      <c r="F3" s="63" t="s">
        <v>68</v>
      </c>
      <c r="G3" s="70" t="s">
        <v>5</v>
      </c>
      <c r="H3" s="70" t="s">
        <v>75</v>
      </c>
      <c r="I3" s="10" t="s">
        <v>76</v>
      </c>
      <c r="J3" s="10" t="s">
        <v>77</v>
      </c>
      <c r="K3" s="10" t="s">
        <v>78</v>
      </c>
      <c r="L3" s="9" t="s">
        <v>4</v>
      </c>
      <c r="M3" s="14" t="s">
        <v>79</v>
      </c>
      <c r="N3" s="14" t="s">
        <v>80</v>
      </c>
      <c r="O3" s="14" t="s">
        <v>6</v>
      </c>
    </row>
    <row r="4" spans="1:15" ht="25.9" customHeight="1" x14ac:dyDescent="0.25">
      <c r="A4" s="96">
        <v>5</v>
      </c>
      <c r="B4" s="35">
        <v>5</v>
      </c>
      <c r="C4" s="96" t="s">
        <v>41</v>
      </c>
      <c r="D4" s="64" t="s">
        <v>52</v>
      </c>
      <c r="E4" s="23" t="s">
        <v>20</v>
      </c>
      <c r="F4" s="61">
        <v>570</v>
      </c>
      <c r="G4" s="6">
        <f>'Reitoria '!J4+ESAG!J4+CEART!J4+CEFID!J4+CERES!J4+CESFI!J4+CCT!J4</f>
        <v>12</v>
      </c>
      <c r="H4" s="80">
        <f>'Reitoria '!K4+ESAG!K4+CEART!K4+CEFID!K4+CERES!K4+CESFI!K4+CCT!K4</f>
        <v>1</v>
      </c>
      <c r="I4" s="11">
        <f>'Reitoria '!J4-'Reitoria '!R4+ESAG!J4-ESAG!R4+CEART!J4-CEART!R4+CEFID!J4-CEFID!R4+CERES!J4-CERES!R4+CESFI!J4-CESFI!R4+CCT!J4-CCT!R4</f>
        <v>1</v>
      </c>
      <c r="J4" s="79">
        <f>'Reitoria '!N4+ESAG!N4+CEART!N4+CEFID!N4+CERES!N4+CESFI!N4+CCT!N4</f>
        <v>1</v>
      </c>
      <c r="K4" s="79">
        <f>'Reitoria '!O4+'Reitoria '!P4+ESAG!O4+ESAG!P4+CEART!O4+CEART!P4+CEFID!O4+CEFID!P4+CERES!O4+CESFI!O4+CESFI!P4+CCT!O4+CCT!P4</f>
        <v>0</v>
      </c>
      <c r="L4" s="15">
        <f>G4-I4+K4</f>
        <v>11</v>
      </c>
      <c r="M4" s="7">
        <f t="shared" ref="M4:M17" si="0">F4*G4</f>
        <v>6840</v>
      </c>
      <c r="N4" s="7">
        <f>K4*F4</f>
        <v>0</v>
      </c>
      <c r="O4" s="7">
        <f t="shared" ref="O4:O17" si="1">F4*I4</f>
        <v>570</v>
      </c>
    </row>
    <row r="5" spans="1:15" ht="29.25" customHeight="1" x14ac:dyDescent="0.25">
      <c r="A5" s="97"/>
      <c r="B5" s="35">
        <v>6</v>
      </c>
      <c r="C5" s="97"/>
      <c r="D5" s="64" t="s">
        <v>53</v>
      </c>
      <c r="E5" s="23" t="s">
        <v>47</v>
      </c>
      <c r="F5" s="61">
        <v>2.7</v>
      </c>
      <c r="G5" s="6">
        <f>'Reitoria '!J5+ESAG!J5+CEART!J5+CEFID!J5+CERES!J5+CESFI!J5+CCT!J5</f>
        <v>8900</v>
      </c>
      <c r="H5" s="80">
        <f>'Reitoria '!K5+ESAG!K5+CEART!K5+CEFID!K5+CERES!K5+CESFI!K5+CCT!K5</f>
        <v>1013</v>
      </c>
      <c r="I5" s="11">
        <f>'Reitoria '!J5-'Reitoria '!R5+ESAG!J5-ESAG!R5+CEART!J5-CEART!R5+CEFID!J5-CEFID!R5+CERES!J5-CERES!R5+CESFI!J5-CESFI!R5+CCT!J5-CCT!R5</f>
        <v>1013</v>
      </c>
      <c r="J5" s="79">
        <f>'Reitoria '!N5+ESAG!N5+CEART!N5+CEFID!N5+CERES!N5+CESFI!N5+CCT!N5</f>
        <v>2225</v>
      </c>
      <c r="K5" s="79">
        <f>'Reitoria '!O5+'Reitoria '!P5+ESAG!O5+ESAG!P5+CEART!O5+CEART!P5+CEFID!O5+CEFID!P5+CERES!O5+CESFI!O5+CESFI!P5+CCT!O5+CCT!P5</f>
        <v>0</v>
      </c>
      <c r="L5" s="15">
        <f t="shared" ref="L5:L17" si="2">G5-I5+K5</f>
        <v>7887</v>
      </c>
      <c r="M5" s="7">
        <f t="shared" si="0"/>
        <v>24030</v>
      </c>
      <c r="N5" s="7">
        <f t="shared" ref="N5:N17" si="3">K5*F5</f>
        <v>0</v>
      </c>
      <c r="O5" s="7">
        <f t="shared" si="1"/>
        <v>2735.1000000000004</v>
      </c>
    </row>
    <row r="6" spans="1:15" ht="58.5" customHeight="1" x14ac:dyDescent="0.25">
      <c r="A6" s="35">
        <v>6</v>
      </c>
      <c r="B6" s="35">
        <v>7</v>
      </c>
      <c r="C6" s="35" t="s">
        <v>42</v>
      </c>
      <c r="D6" s="64" t="s">
        <v>54</v>
      </c>
      <c r="E6" s="23" t="s">
        <v>49</v>
      </c>
      <c r="F6" s="61">
        <v>137</v>
      </c>
      <c r="G6" s="6">
        <f>'Reitoria '!J6+ESAG!J6+CEART!J6+CEFID!J6+CERES!J6+CESFI!J6+CCT!J6</f>
        <v>1520</v>
      </c>
      <c r="H6" s="80">
        <f>'Reitoria '!K6+ESAG!K6+CEART!K6+CEFID!K6+CERES!K6+CESFI!K6+CCT!K6</f>
        <v>420</v>
      </c>
      <c r="I6" s="11">
        <f>'Reitoria '!J6-'Reitoria '!R6+ESAG!J6-ESAG!R6+CEART!J6-CEART!R6+CEFID!J6-CEFID!R6+CERES!J6-CERES!R6+CESFI!J6-CESFI!R6+CCT!J6-CCT!R6</f>
        <v>420</v>
      </c>
      <c r="J6" s="79">
        <f>'Reitoria '!N6+ESAG!N6+CEART!N6+CEFID!N6+CERES!N6+CESFI!N6+CCT!N6</f>
        <v>380</v>
      </c>
      <c r="K6" s="79">
        <f>'Reitoria '!O6+'Reitoria '!P6+ESAG!O6+ESAG!P6+CEART!O6+CEART!P6+CEFID!O6+CEFID!P6+CERES!O6+CESFI!O6+CESFI!P6+CCT!O6+CCT!P6</f>
        <v>0</v>
      </c>
      <c r="L6" s="15">
        <f t="shared" si="2"/>
        <v>1100</v>
      </c>
      <c r="M6" s="7">
        <f t="shared" si="0"/>
        <v>208240</v>
      </c>
      <c r="N6" s="7">
        <f t="shared" si="3"/>
        <v>0</v>
      </c>
      <c r="O6" s="7">
        <f t="shared" si="1"/>
        <v>57540</v>
      </c>
    </row>
    <row r="7" spans="1:15" ht="29.25" customHeight="1" x14ac:dyDescent="0.25">
      <c r="A7" s="96">
        <v>7</v>
      </c>
      <c r="B7" s="35">
        <v>8</v>
      </c>
      <c r="C7" s="96" t="s">
        <v>41</v>
      </c>
      <c r="D7" s="64" t="s">
        <v>55</v>
      </c>
      <c r="E7" s="23" t="s">
        <v>20</v>
      </c>
      <c r="F7" s="61">
        <v>590</v>
      </c>
      <c r="G7" s="6">
        <f>'Reitoria '!J7+ESAG!J7+CEART!J7+CEFID!J7+CERES!J7+CESFI!J7+CCT!J7</f>
        <v>16</v>
      </c>
      <c r="H7" s="80">
        <f>'Reitoria '!K7+ESAG!K7+CEART!K7+CEFID!K7+CERES!K7+CESFI!K7+CCT!K7</f>
        <v>0</v>
      </c>
      <c r="I7" s="11">
        <f>'Reitoria '!J7-'Reitoria '!R7+ESAG!J7-ESAG!R7+CEART!J7-CEART!R7+CEFID!J7-CEFID!R7+CERES!J7-CERES!R7+CESFI!J7-CESFI!R7+CCT!J7-CCT!R7</f>
        <v>0</v>
      </c>
      <c r="J7" s="79">
        <f>'Reitoria '!N7+ESAG!N7+CEART!N7+CEFID!N7+CERES!N7+CESFI!N7+CCT!N7</f>
        <v>4</v>
      </c>
      <c r="K7" s="79">
        <f>'Reitoria '!O7+'Reitoria '!P7+ESAG!O7+ESAG!P7+CEART!O7+CEART!P7+CEFID!O7+CEFID!P7+CERES!O7+CESFI!O7+CESFI!P7+CCT!O7+CCT!P7</f>
        <v>0</v>
      </c>
      <c r="L7" s="15">
        <f t="shared" si="2"/>
        <v>16</v>
      </c>
      <c r="M7" s="7">
        <f t="shared" si="0"/>
        <v>9440</v>
      </c>
      <c r="N7" s="7">
        <f t="shared" si="3"/>
        <v>0</v>
      </c>
      <c r="O7" s="7">
        <f t="shared" si="1"/>
        <v>0</v>
      </c>
    </row>
    <row r="8" spans="1:15" ht="30.6" customHeight="1" x14ac:dyDescent="0.25">
      <c r="A8" s="97"/>
      <c r="B8" s="35">
        <v>9</v>
      </c>
      <c r="C8" s="97"/>
      <c r="D8" s="65" t="s">
        <v>56</v>
      </c>
      <c r="E8" s="23" t="s">
        <v>12</v>
      </c>
      <c r="F8" s="61">
        <v>6.85</v>
      </c>
      <c r="G8" s="6">
        <f>'Reitoria '!J8+ESAG!J8+CEART!J8+CEFID!J8+CERES!J8+CESFI!J8+CCT!J8</f>
        <v>500</v>
      </c>
      <c r="H8" s="80">
        <f>'Reitoria '!K8+ESAG!K8+CEART!K8+CEFID!K8+CERES!K8+CESFI!K8+CCT!K8</f>
        <v>0</v>
      </c>
      <c r="I8" s="11">
        <f>'Reitoria '!J8-'Reitoria '!R8+ESAG!J8-ESAG!R8+CEART!J8-CEART!R8+CEFID!J8-CEFID!R8+CERES!J8-CERES!R8+CESFI!J8-CESFI!R8+CCT!J8-CCT!R8</f>
        <v>0</v>
      </c>
      <c r="J8" s="79">
        <f>'Reitoria '!N8+ESAG!N8+CEART!N8+CEFID!N8+CERES!N8+CESFI!N8+CCT!N8</f>
        <v>124</v>
      </c>
      <c r="K8" s="79">
        <f>'Reitoria '!O8+'Reitoria '!P8+ESAG!O8+ESAG!P8+CEART!O8+CEART!P8+CEFID!O8+CEFID!P8+CERES!O8+CESFI!O8+CESFI!P8+CCT!O8+CCT!P8</f>
        <v>0</v>
      </c>
      <c r="L8" s="15">
        <f t="shared" si="2"/>
        <v>500</v>
      </c>
      <c r="M8" s="7">
        <f t="shared" si="0"/>
        <v>3425</v>
      </c>
      <c r="N8" s="7">
        <f t="shared" si="3"/>
        <v>0</v>
      </c>
      <c r="O8" s="7">
        <f t="shared" si="1"/>
        <v>0</v>
      </c>
    </row>
    <row r="9" spans="1:15" ht="32.65" customHeight="1" x14ac:dyDescent="0.25">
      <c r="A9" s="96">
        <v>8</v>
      </c>
      <c r="B9" s="35">
        <v>10</v>
      </c>
      <c r="C9" s="96" t="s">
        <v>41</v>
      </c>
      <c r="D9" s="64" t="s">
        <v>57</v>
      </c>
      <c r="E9" s="23" t="s">
        <v>20</v>
      </c>
      <c r="F9" s="61">
        <v>590</v>
      </c>
      <c r="G9" s="6">
        <f>'Reitoria '!J9+ESAG!J9+CEART!J9+CEFID!J9+CERES!J9+CESFI!J9+CCT!J9</f>
        <v>18</v>
      </c>
      <c r="H9" s="80">
        <f>'Reitoria '!K9+ESAG!K9+CEART!K9+CEFID!K9+CERES!K9+CESFI!K9+CCT!K9</f>
        <v>1</v>
      </c>
      <c r="I9" s="11">
        <f>'Reitoria '!J9-'Reitoria '!R9+ESAG!J9-ESAG!R9+CEART!J9-CEART!R9+CEFID!J9-CEFID!R9+CERES!J9-CERES!R9+CESFI!J9-CESFI!R9+CCT!J9-CCT!R9</f>
        <v>1</v>
      </c>
      <c r="J9" s="79">
        <f>'Reitoria '!N9+ESAG!N9+CEART!N9+CEFID!N9+CERES!N9+CESFI!N9+CCT!N9</f>
        <v>3</v>
      </c>
      <c r="K9" s="79">
        <f>'Reitoria '!O9+'Reitoria '!P9+ESAG!O9+ESAG!P9+CEART!O9+CEART!P9+CEFID!O9+CEFID!P9+CERES!O9+CESFI!O9+CESFI!P9+CCT!O9+CCT!P9</f>
        <v>0</v>
      </c>
      <c r="L9" s="15">
        <f t="shared" si="2"/>
        <v>17</v>
      </c>
      <c r="M9" s="7">
        <f t="shared" si="0"/>
        <v>10620</v>
      </c>
      <c r="N9" s="7">
        <f t="shared" si="3"/>
        <v>0</v>
      </c>
      <c r="O9" s="7">
        <f t="shared" si="1"/>
        <v>590</v>
      </c>
    </row>
    <row r="10" spans="1:15" ht="27.2" customHeight="1" x14ac:dyDescent="0.25">
      <c r="A10" s="97"/>
      <c r="B10" s="35">
        <v>11</v>
      </c>
      <c r="C10" s="97"/>
      <c r="D10" s="65" t="s">
        <v>58</v>
      </c>
      <c r="E10" s="23" t="s">
        <v>21</v>
      </c>
      <c r="F10" s="61">
        <v>2.4500000000000002</v>
      </c>
      <c r="G10" s="6">
        <f>'Reitoria '!J10+ESAG!J10+CEART!J10+CEFID!J10+CERES!J10+CESFI!J10+CCT!J10</f>
        <v>2500</v>
      </c>
      <c r="H10" s="80">
        <f>'Reitoria '!K10+ESAG!K10+CEART!K10+CEFID!K10+CERES!K10+CESFI!K10+CCT!K10</f>
        <v>599</v>
      </c>
      <c r="I10" s="11">
        <f>'Reitoria '!J10-'Reitoria '!R10+ESAG!J10-ESAG!R10+CEART!J10-CEART!R10+CEFID!J10-CEFID!R10+CERES!J10-CERES!R10+CESFI!J10-CESFI!R10+CCT!J10-CCT!R10</f>
        <v>599</v>
      </c>
      <c r="J10" s="79">
        <f>'Reitoria '!N10+ESAG!N10+CEART!N10+CEFID!N10+CERES!N10+CESFI!N10+CCT!N10</f>
        <v>625</v>
      </c>
      <c r="K10" s="79">
        <f>'Reitoria '!O10+'Reitoria '!P10+ESAG!O10+ESAG!P10+CEART!O10+CEART!P10+CEFID!O10+CEFID!P10+CERES!O10+CESFI!O10+CESFI!P10+CCT!O10+CCT!P10</f>
        <v>0</v>
      </c>
      <c r="L10" s="15">
        <f t="shared" si="2"/>
        <v>1901</v>
      </c>
      <c r="M10" s="7">
        <f t="shared" si="0"/>
        <v>6125</v>
      </c>
      <c r="N10" s="7">
        <f t="shared" si="3"/>
        <v>0</v>
      </c>
      <c r="O10" s="7">
        <f t="shared" si="1"/>
        <v>1467.5500000000002</v>
      </c>
    </row>
    <row r="11" spans="1:15" ht="64.5" customHeight="1" x14ac:dyDescent="0.25">
      <c r="A11" s="67">
        <v>9</v>
      </c>
      <c r="B11" s="35">
        <v>12</v>
      </c>
      <c r="C11" s="35" t="s">
        <v>41</v>
      </c>
      <c r="D11" s="65" t="s">
        <v>59</v>
      </c>
      <c r="E11" s="23" t="s">
        <v>20</v>
      </c>
      <c r="F11" s="61">
        <v>693</v>
      </c>
      <c r="G11" s="6">
        <f>'Reitoria '!J11+ESAG!J11+CEART!J11+CEFID!J11+CERES!J11+CESFI!J11+CCT!J11</f>
        <v>5</v>
      </c>
      <c r="H11" s="80">
        <f>'Reitoria '!K11+ESAG!K11+CEART!K11+CEFID!K11+CERES!K11+CESFI!K11+CCT!K11</f>
        <v>1</v>
      </c>
      <c r="I11" s="11">
        <f>'Reitoria '!J11-'Reitoria '!R11+ESAG!J11-ESAG!R11+CEART!J11-CEART!R11+CEFID!J11-CEFID!R11+CERES!J11-CERES!R11+CESFI!J11-CESFI!R11+CCT!J11-CCT!R11</f>
        <v>1</v>
      </c>
      <c r="J11" s="79">
        <f>'Reitoria '!N11+ESAG!N11+CEART!N11+CEFID!N11+CERES!N11+CESFI!N11+CCT!N11</f>
        <v>1</v>
      </c>
      <c r="K11" s="79">
        <f>'Reitoria '!O11+'Reitoria '!P11+ESAG!O11+ESAG!P11+CEART!O11+CEART!P11+CEFID!O11+CEFID!P11+CERES!O11+CESFI!O11+CESFI!P11+CCT!O11+CCT!P11</f>
        <v>0</v>
      </c>
      <c r="L11" s="15">
        <f t="shared" si="2"/>
        <v>4</v>
      </c>
      <c r="M11" s="7">
        <f t="shared" si="0"/>
        <v>3465</v>
      </c>
      <c r="N11" s="7">
        <f t="shared" si="3"/>
        <v>0</v>
      </c>
      <c r="O11" s="7">
        <f t="shared" si="1"/>
        <v>693</v>
      </c>
    </row>
    <row r="12" spans="1:15" ht="32.65" customHeight="1" x14ac:dyDescent="0.25">
      <c r="A12" s="96">
        <v>14</v>
      </c>
      <c r="B12" s="35">
        <v>17</v>
      </c>
      <c r="C12" s="96" t="s">
        <v>43</v>
      </c>
      <c r="D12" s="64" t="s">
        <v>60</v>
      </c>
      <c r="E12" s="23" t="s">
        <v>20</v>
      </c>
      <c r="F12" s="61">
        <v>550</v>
      </c>
      <c r="G12" s="6">
        <f>'Reitoria '!J12+ESAG!J12+CEART!J12+CEFID!J12+CERES!J12+CESFI!J12+CCT!J12</f>
        <v>4</v>
      </c>
      <c r="H12" s="80">
        <f>'Reitoria '!K12+ESAG!K12+CEART!K12+CEFID!K12+CERES!K12+CESFI!K12+CCT!K12</f>
        <v>0</v>
      </c>
      <c r="I12" s="11">
        <f>'Reitoria '!J12-'Reitoria '!R12+ESAG!J12-ESAG!R12+CEART!J12-CEART!R12+CEFID!J12-CEFID!R12+CERES!J12-CERES!R12+CESFI!J12-CESFI!R12+CCT!J12-CCT!R12</f>
        <v>0</v>
      </c>
      <c r="J12" s="79">
        <f>'Reitoria '!N12+ESAG!N12+CEART!N12+CEFID!N12+CERES!N12+CESFI!N12+CCT!N12</f>
        <v>1</v>
      </c>
      <c r="K12" s="79">
        <f>'Reitoria '!O12+'Reitoria '!P12+ESAG!O12+ESAG!P12+CEART!O12+CEART!P12+CEFID!O12+CEFID!P12+CERES!O12+CESFI!O12+CESFI!P12+CCT!O12+CCT!P12</f>
        <v>0</v>
      </c>
      <c r="L12" s="15">
        <f t="shared" si="2"/>
        <v>4</v>
      </c>
      <c r="M12" s="7">
        <f t="shared" si="0"/>
        <v>2200</v>
      </c>
      <c r="N12" s="7">
        <f t="shared" si="3"/>
        <v>0</v>
      </c>
      <c r="O12" s="7">
        <f t="shared" si="1"/>
        <v>0</v>
      </c>
    </row>
    <row r="13" spans="1:15" ht="25.9" customHeight="1" x14ac:dyDescent="0.25">
      <c r="A13" s="97"/>
      <c r="B13" s="35">
        <v>18</v>
      </c>
      <c r="C13" s="97"/>
      <c r="D13" s="64" t="s">
        <v>61</v>
      </c>
      <c r="E13" s="23" t="s">
        <v>47</v>
      </c>
      <c r="F13" s="61">
        <v>2.65</v>
      </c>
      <c r="G13" s="6">
        <f>'Reitoria '!J13+ESAG!J13+CEART!J13+CEFID!J13+CERES!J13+CESFI!J13+CCT!J13</f>
        <v>2000</v>
      </c>
      <c r="H13" s="80">
        <f>'Reitoria '!K13+ESAG!K13+CEART!K13+CEFID!K13+CERES!K13+CESFI!K13+CCT!K13</f>
        <v>0</v>
      </c>
      <c r="I13" s="11">
        <f>'Reitoria '!J13-'Reitoria '!R13+ESAG!J13-ESAG!R13+CEART!J13-CEART!R13+CEFID!J13-CEFID!R13+CERES!J13-CERES!R13+CESFI!J13-CESFI!R13+CCT!J13-CCT!R13</f>
        <v>0</v>
      </c>
      <c r="J13" s="79">
        <f>'Reitoria '!N13+ESAG!N13+CEART!N13+CEFID!N13+CERES!N13+CESFI!N13+CCT!N13</f>
        <v>500</v>
      </c>
      <c r="K13" s="79">
        <f>'Reitoria '!O13+'Reitoria '!P13+ESAG!O13+ESAG!P13+CEART!O13+CEART!P13+CEFID!O13+CEFID!P13+CERES!O13+CESFI!O13+CESFI!P13+CCT!O13+CCT!P13</f>
        <v>0</v>
      </c>
      <c r="L13" s="15">
        <f t="shared" si="2"/>
        <v>2000</v>
      </c>
      <c r="M13" s="7">
        <f t="shared" si="0"/>
        <v>5300</v>
      </c>
      <c r="N13" s="7">
        <f t="shared" si="3"/>
        <v>0</v>
      </c>
      <c r="O13" s="7">
        <f t="shared" si="1"/>
        <v>0</v>
      </c>
    </row>
    <row r="14" spans="1:15" ht="16.350000000000001" customHeight="1" x14ac:dyDescent="0.25">
      <c r="A14" s="96">
        <v>15</v>
      </c>
      <c r="B14" s="35">
        <v>19</v>
      </c>
      <c r="C14" s="96" t="s">
        <v>44</v>
      </c>
      <c r="D14" s="64" t="s">
        <v>62</v>
      </c>
      <c r="E14" s="23" t="s">
        <v>20</v>
      </c>
      <c r="F14" s="61">
        <v>502</v>
      </c>
      <c r="G14" s="6">
        <f>'Reitoria '!J14+ESAG!J14+CEART!J14+CEFID!J14+CERES!J14+CESFI!J14+CCT!J14</f>
        <v>5</v>
      </c>
      <c r="H14" s="80">
        <f>'Reitoria '!K14+ESAG!K14+CEART!K14+CEFID!K14+CERES!K14+CESFI!K14+CCT!K14</f>
        <v>2</v>
      </c>
      <c r="I14" s="11">
        <f>'Reitoria '!J14-'Reitoria '!R14+ESAG!J14-ESAG!R14+CEART!J14-CEART!R14+CEFID!J14-CEFID!R14+CERES!J14-CERES!R14+CESFI!J14-CESFI!R14+CCT!J14-CCT!R14</f>
        <v>2</v>
      </c>
      <c r="J14" s="79">
        <f>'Reitoria '!N14+ESAG!N14+CEART!N14+CEFID!N14+CERES!N14+CESFI!N14+CCT!N14</f>
        <v>1</v>
      </c>
      <c r="K14" s="79">
        <f>'Reitoria '!O14+'Reitoria '!P14+ESAG!O14+ESAG!P14+CEART!O14+CEART!P14+CEFID!O14+CEFID!P14+CERES!O14+CESFI!O14+CESFI!P14+CCT!O14+CCT!P14</f>
        <v>0</v>
      </c>
      <c r="L14" s="15">
        <f t="shared" si="2"/>
        <v>3</v>
      </c>
      <c r="M14" s="7">
        <f t="shared" si="0"/>
        <v>2510</v>
      </c>
      <c r="N14" s="7">
        <f t="shared" si="3"/>
        <v>0</v>
      </c>
      <c r="O14" s="7">
        <f t="shared" si="1"/>
        <v>1004</v>
      </c>
    </row>
    <row r="15" spans="1:15" ht="21.75" customHeight="1" x14ac:dyDescent="0.25">
      <c r="A15" s="97"/>
      <c r="B15" s="35">
        <v>20</v>
      </c>
      <c r="C15" s="97"/>
      <c r="D15" s="65" t="s">
        <v>63</v>
      </c>
      <c r="E15" s="23" t="s">
        <v>12</v>
      </c>
      <c r="F15" s="61">
        <v>8.3699999999999992</v>
      </c>
      <c r="G15" s="6">
        <f>'Reitoria '!J15+ESAG!J15+CEART!J15+CEFID!J15+CERES!J15+CESFI!J15+CCT!J15</f>
        <v>2000</v>
      </c>
      <c r="H15" s="80">
        <f>'Reitoria '!K15+ESAG!K15+CEART!K15+CEFID!K15+CERES!K15+CESFI!K15+CCT!K15</f>
        <v>1050</v>
      </c>
      <c r="I15" s="11">
        <f>'Reitoria '!J15-'Reitoria '!R15+ESAG!J15-ESAG!R15+CEART!J15-CEART!R15+CEFID!J15-CEFID!R15+CERES!J15-CERES!R15+CESFI!J15-CESFI!R15+CCT!J15-CCT!R15</f>
        <v>1050</v>
      </c>
      <c r="J15" s="79">
        <f>'Reitoria '!N15+ESAG!N15+CEART!N15+CEFID!N15+CERES!N15+CESFI!N15+CCT!N15</f>
        <v>500</v>
      </c>
      <c r="K15" s="79">
        <f>'Reitoria '!O15+'Reitoria '!P15+ESAG!O15+ESAG!P15+CEART!O15+CEART!P15+CEFID!O15+CEFID!P15+CERES!O15+CESFI!O15+CESFI!P15+CCT!O15+CCT!P15</f>
        <v>0</v>
      </c>
      <c r="L15" s="15">
        <f t="shared" si="2"/>
        <v>950</v>
      </c>
      <c r="M15" s="7">
        <f t="shared" si="0"/>
        <v>16740</v>
      </c>
      <c r="N15" s="7">
        <f t="shared" si="3"/>
        <v>0</v>
      </c>
      <c r="O15" s="7">
        <f t="shared" si="1"/>
        <v>8788.5</v>
      </c>
    </row>
    <row r="16" spans="1:15" ht="25.9" customHeight="1" x14ac:dyDescent="0.25">
      <c r="A16" s="96">
        <v>16</v>
      </c>
      <c r="B16" s="35">
        <v>21</v>
      </c>
      <c r="C16" s="96" t="s">
        <v>41</v>
      </c>
      <c r="D16" s="64" t="s">
        <v>64</v>
      </c>
      <c r="E16" s="23" t="s">
        <v>20</v>
      </c>
      <c r="F16" s="61">
        <v>790</v>
      </c>
      <c r="G16" s="6">
        <f>'Reitoria '!J16+ESAG!J16+CEART!J16+CEFID!J16+CERES!J16+CESFI!J16+CCT!J16</f>
        <v>2</v>
      </c>
      <c r="H16" s="80">
        <f>'Reitoria '!K16+ESAG!K16+CEART!K16+CEFID!K16+CERES!K16+CESFI!K16+CCT!K16</f>
        <v>1</v>
      </c>
      <c r="I16" s="11">
        <f>'Reitoria '!J16-'Reitoria '!R16+ESAG!J16-ESAG!R16+CEART!J16-CEART!R16+CEFID!J16-CEFID!R16+CERES!J16-CERES!R16+CESFI!J16-CESFI!R16+CCT!J16-CCT!R16</f>
        <v>1</v>
      </c>
      <c r="J16" s="79">
        <f>'Reitoria '!N16+ESAG!N16+CEART!N16+CEFID!N16+CERES!N16+CESFI!N16+CCT!N16</f>
        <v>0</v>
      </c>
      <c r="K16" s="79">
        <f>'Reitoria '!O16+'Reitoria '!P16+ESAG!O16+ESAG!P16+CEART!O16+CEART!P16+CEFID!O16+CEFID!P16+CERES!O16+CESFI!O16+CESFI!P16+CCT!O16+CCT!P16</f>
        <v>0</v>
      </c>
      <c r="L16" s="15">
        <f t="shared" si="2"/>
        <v>1</v>
      </c>
      <c r="M16" s="7">
        <f t="shared" si="0"/>
        <v>1580</v>
      </c>
      <c r="N16" s="7">
        <f t="shared" si="3"/>
        <v>0</v>
      </c>
      <c r="O16" s="7">
        <f t="shared" si="1"/>
        <v>790</v>
      </c>
    </row>
    <row r="17" spans="1:15" ht="33.950000000000003" customHeight="1" x14ac:dyDescent="0.25">
      <c r="A17" s="97"/>
      <c r="B17" s="35">
        <v>22</v>
      </c>
      <c r="C17" s="97"/>
      <c r="D17" s="65" t="s">
        <v>65</v>
      </c>
      <c r="E17" s="23" t="s">
        <v>12</v>
      </c>
      <c r="F17" s="66">
        <v>6.9</v>
      </c>
      <c r="G17" s="6">
        <f>'Reitoria '!J17+ESAG!J17+CEART!J17+CEFID!J17+CERES!J17+CESFI!J17+CCT!J17</f>
        <v>400</v>
      </c>
      <c r="H17" s="80">
        <f>'Reitoria '!K17+ESAG!K17+CEART!K17+CEFID!K17+CERES!K17+CESFI!K17+CCT!K17</f>
        <v>50</v>
      </c>
      <c r="I17" s="11">
        <f>'Reitoria '!J17-'Reitoria '!R17+ESAG!J17-ESAG!R17+CEART!J17-CEART!R17+CEFID!J17-CEFID!R17+CERES!J17-CERES!R17+CESFI!J17-CESFI!R17+CCT!J17-CCT!R17</f>
        <v>50</v>
      </c>
      <c r="J17" s="79">
        <f>'Reitoria '!N17+ESAG!N17+CEART!N17+CEFID!N17+CERES!N17+CESFI!N17+CCT!N17</f>
        <v>100</v>
      </c>
      <c r="K17" s="79">
        <f>'Reitoria '!O17+'Reitoria '!P17+ESAG!O17+ESAG!P17+CEART!O17+CEART!P17+CEFID!O17+CEFID!P17+CERES!O17+CESFI!O17+CESFI!P17+CCT!O17+CCT!P17</f>
        <v>0</v>
      </c>
      <c r="L17" s="15">
        <f t="shared" si="2"/>
        <v>350</v>
      </c>
      <c r="M17" s="7">
        <f t="shared" si="0"/>
        <v>2760</v>
      </c>
      <c r="N17" s="7">
        <f t="shared" si="3"/>
        <v>0</v>
      </c>
      <c r="O17" s="7">
        <f t="shared" si="1"/>
        <v>345</v>
      </c>
    </row>
    <row r="18" spans="1:15" x14ac:dyDescent="0.25">
      <c r="M18" s="19">
        <f>SUM(M4:M17)</f>
        <v>303275</v>
      </c>
      <c r="N18" s="19">
        <f>SUM(N4:N17)</f>
        <v>0</v>
      </c>
      <c r="O18" s="19">
        <f>SUM(O4:O17)</f>
        <v>74523.149999999994</v>
      </c>
    </row>
    <row r="21" spans="1:15" x14ac:dyDescent="0.25">
      <c r="G21" s="116" t="str">
        <f>A1</f>
        <v>PE 0622/2024 SRP (SGPE DE ORIGEM: 5664/2024)</v>
      </c>
      <c r="H21" s="117"/>
      <c r="I21" s="117"/>
      <c r="J21" s="117"/>
      <c r="K21" s="117"/>
      <c r="L21" s="117"/>
      <c r="M21" s="117"/>
      <c r="N21" s="117"/>
      <c r="O21" s="118"/>
    </row>
    <row r="22" spans="1:15" x14ac:dyDescent="0.25">
      <c r="G22" s="103" t="str">
        <f>D1</f>
        <v>OBJETO: CONTRATAÇÃO DE EMPRESA ESPECIALIZADA PARA A PRESTAÇÃO DE SERVIÇOS DE COLETA, TRANSPORTE E DESTINAÇÃO FINAL DE RESÍDUOS QUÍMICOS, LABORATORIAIS, HOSPITALARES, ENTULHOS E LÂMPADAS, PARA O CAMPUS I, PARA O CENTRO DE EDUCAÇÃO SUPERIOR DA REGIÃO SUL – CERES, PARA O CENTRO DE EDUCAÇÃO SUPERIOR DA FOZ DO ITAJAÍ – CESFI E PARA O CENTRO DE CIÊNCIAS TECNOLÓGICAS – CCT DA UDESC</v>
      </c>
      <c r="H22" s="104"/>
      <c r="I22" s="104"/>
      <c r="J22" s="104"/>
      <c r="K22" s="104"/>
      <c r="L22" s="104"/>
      <c r="M22" s="104"/>
      <c r="N22" s="104"/>
      <c r="O22" s="105"/>
    </row>
    <row r="23" spans="1:15" x14ac:dyDescent="0.25">
      <c r="G23" s="106" t="str">
        <f>G1</f>
        <v>VIGÊNCIA DA ATA: 15/05/2024 até 15/05/2025</v>
      </c>
      <c r="H23" s="107"/>
      <c r="I23" s="107"/>
      <c r="J23" s="107"/>
      <c r="K23" s="107"/>
      <c r="L23" s="107"/>
      <c r="M23" s="107"/>
      <c r="N23" s="107"/>
      <c r="O23" s="108"/>
    </row>
    <row r="24" spans="1:15" x14ac:dyDescent="0.25">
      <c r="G24" s="51" t="s">
        <v>7</v>
      </c>
      <c r="H24" s="52"/>
      <c r="I24" s="52"/>
      <c r="J24" s="52"/>
      <c r="K24" s="52"/>
      <c r="L24" s="52"/>
      <c r="M24" s="52"/>
      <c r="N24" s="52"/>
      <c r="O24" s="53">
        <f>M18</f>
        <v>303275</v>
      </c>
    </row>
    <row r="25" spans="1:15" x14ac:dyDescent="0.25">
      <c r="G25" s="54" t="s">
        <v>8</v>
      </c>
      <c r="H25" s="55"/>
      <c r="I25" s="55"/>
      <c r="J25" s="55"/>
      <c r="K25" s="55"/>
      <c r="L25" s="55"/>
      <c r="M25" s="55"/>
      <c r="N25" s="55"/>
      <c r="O25" s="56">
        <f>O18</f>
        <v>74523.149999999994</v>
      </c>
    </row>
    <row r="26" spans="1:15" x14ac:dyDescent="0.25">
      <c r="G26" s="54" t="s">
        <v>9</v>
      </c>
      <c r="H26" s="55"/>
      <c r="I26" s="55"/>
      <c r="J26" s="55"/>
      <c r="K26" s="55"/>
      <c r="L26" s="55"/>
      <c r="M26" s="55"/>
      <c r="N26" s="55"/>
      <c r="O26" s="57"/>
    </row>
    <row r="27" spans="1:15" x14ac:dyDescent="0.25">
      <c r="G27" s="58" t="s">
        <v>10</v>
      </c>
      <c r="H27" s="59"/>
      <c r="I27" s="59"/>
      <c r="J27" s="59"/>
      <c r="K27" s="59"/>
      <c r="L27" s="59"/>
      <c r="M27" s="59"/>
      <c r="N27" s="59"/>
      <c r="O27" s="60">
        <f>O25/O24</f>
        <v>0.24572796966449589</v>
      </c>
    </row>
    <row r="28" spans="1:15" x14ac:dyDescent="0.25">
      <c r="G28" s="100" t="s">
        <v>95</v>
      </c>
      <c r="H28" s="101"/>
      <c r="I28" s="101"/>
      <c r="J28" s="101"/>
      <c r="K28" s="101"/>
      <c r="L28" s="101"/>
      <c r="M28" s="101"/>
      <c r="N28" s="101"/>
      <c r="O28" s="102"/>
    </row>
  </sheetData>
  <mergeCells count="20">
    <mergeCell ref="G1:O1"/>
    <mergeCell ref="A2:O2"/>
    <mergeCell ref="A1:C1"/>
    <mergeCell ref="D1:F1"/>
    <mergeCell ref="G21:O21"/>
    <mergeCell ref="A12:A13"/>
    <mergeCell ref="C12:C13"/>
    <mergeCell ref="A16:A17"/>
    <mergeCell ref="C16:C17"/>
    <mergeCell ref="A4:A5"/>
    <mergeCell ref="C4:C5"/>
    <mergeCell ref="A7:A8"/>
    <mergeCell ref="C7:C8"/>
    <mergeCell ref="A9:A10"/>
    <mergeCell ref="C9:C10"/>
    <mergeCell ref="A14:A15"/>
    <mergeCell ref="C14:C15"/>
    <mergeCell ref="G28:O28"/>
    <mergeCell ref="G22:O22"/>
    <mergeCell ref="G23:O23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Reitoria </vt:lpstr>
      <vt:lpstr>ESAG</vt:lpstr>
      <vt:lpstr>CEART</vt:lpstr>
      <vt:lpstr>CEFID</vt:lpstr>
      <vt:lpstr>CERES</vt:lpstr>
      <vt:lpstr>CESFI</vt:lpstr>
      <vt:lpstr>CCT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2015-07-08T21:27:45Z</cp:lastPrinted>
  <dcterms:created xsi:type="dcterms:W3CDTF">2010-06-19T20:43:11Z</dcterms:created>
  <dcterms:modified xsi:type="dcterms:W3CDTF">2025-01-30T17:17:27Z</dcterms:modified>
</cp:coreProperties>
</file>