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Atas UDESC\PE 0654.2024 SRP SGPE 8475.2024 - Divisórias - VIG 14.05.2025\"/>
    </mc:Choice>
  </mc:AlternateContent>
  <xr:revisionPtr revIDLastSave="0" documentId="13_ncr:1_{9358131B-009A-4F2F-B670-EEB7B76F8362}" xr6:coauthVersionLast="47" xr6:coauthVersionMax="47" xr10:uidLastSave="{00000000-0000-0000-0000-000000000000}"/>
  <bookViews>
    <workbookView xWindow="28680" yWindow="-120" windowWidth="29040" windowHeight="15720" tabRatio="557" activeTab="10" xr2:uid="{00000000-000D-0000-FFFF-FFFF00000000}"/>
  </bookViews>
  <sheets>
    <sheet name="REITORIA_SEMS" sheetId="113" r:id="rId1"/>
    <sheet name="REITORIA_MUSEU" sheetId="123" r:id="rId2"/>
    <sheet name="CESFI" sheetId="124" r:id="rId3"/>
    <sheet name="CEAD" sheetId="125" r:id="rId4"/>
    <sheet name="FAED" sheetId="126" r:id="rId5"/>
    <sheet name="CERES" sheetId="127" r:id="rId6"/>
    <sheet name="CEFID" sheetId="128" r:id="rId7"/>
    <sheet name="CEAVI" sheetId="129" r:id="rId8"/>
    <sheet name="ESAG" sheetId="130" r:id="rId9"/>
    <sheet name="CEART" sheetId="131" r:id="rId10"/>
    <sheet name="GESTOR" sheetId="91" r:id="rId11"/>
    <sheet name="(CARONA)" sheetId="132" r:id="rId12"/>
  </sheets>
  <definedNames>
    <definedName name="_xlnm._FilterDatabase" localSheetId="11" hidden="1">'(CARONA)'!$A$3:$Y$27</definedName>
    <definedName name="_xlnm._FilterDatabase" localSheetId="1" hidden="1">REITORIA_MUSEU!$A$3:$AL$31</definedName>
    <definedName name="_xlnm._FilterDatabase" localSheetId="0" hidden="1">REITORIA_SEMS!$A$3:$AL$31</definedName>
    <definedName name="diasuteis" localSheetId="10">#REF!</definedName>
    <definedName name="diasuteis">#REF!</definedName>
    <definedName name="Ferias" localSheetId="10">#REF!</definedName>
    <definedName name="Ferias">#REF!</definedName>
    <definedName name="RD" localSheetId="1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7" i="129" l="1"/>
  <c r="W27" i="129"/>
  <c r="U27" i="129"/>
  <c r="K27" i="129"/>
  <c r="O27" i="129"/>
  <c r="U27" i="127"/>
  <c r="U27" i="124"/>
  <c r="S27" i="124"/>
  <c r="T27" i="124" s="1"/>
  <c r="K27" i="124"/>
  <c r="O27" i="124" s="1"/>
  <c r="S5" i="127"/>
  <c r="S6" i="127"/>
  <c r="S7" i="127"/>
  <c r="S8" i="127"/>
  <c r="S9" i="127"/>
  <c r="S10" i="127"/>
  <c r="S11" i="127"/>
  <c r="S12" i="127"/>
  <c r="S13" i="127"/>
  <c r="S14" i="127"/>
  <c r="S15" i="127"/>
  <c r="S16" i="127"/>
  <c r="S17" i="127"/>
  <c r="S18" i="127"/>
  <c r="S19" i="127"/>
  <c r="S20" i="127"/>
  <c r="S21" i="127"/>
  <c r="S22" i="127"/>
  <c r="S23" i="127"/>
  <c r="S24" i="127"/>
  <c r="S25" i="127"/>
  <c r="S26" i="127"/>
  <c r="S4" i="127"/>
  <c r="N14" i="127"/>
  <c r="K14" i="127"/>
  <c r="N13" i="127"/>
  <c r="K13" i="127"/>
  <c r="N12" i="127"/>
  <c r="K12" i="127"/>
  <c r="K27" i="127" s="1"/>
  <c r="K11" i="127"/>
  <c r="N10" i="127"/>
  <c r="K10" i="127"/>
  <c r="N9" i="127"/>
  <c r="K9" i="127"/>
  <c r="O27" i="127" l="1"/>
  <c r="U27" i="128"/>
  <c r="V27" i="128"/>
  <c r="W27" i="128"/>
  <c r="X27" i="128"/>
  <c r="Y27" i="128"/>
  <c r="Z27" i="128"/>
  <c r="AA27" i="128"/>
  <c r="AB27" i="128"/>
  <c r="S4" i="128"/>
  <c r="K27" i="128"/>
  <c r="O27" i="128"/>
  <c r="V27" i="126"/>
  <c r="W27" i="126"/>
  <c r="X27" i="126"/>
  <c r="U27" i="126"/>
  <c r="K27" i="126"/>
  <c r="O27" i="126"/>
  <c r="K14" i="131" l="1"/>
  <c r="K13" i="131"/>
  <c r="K12" i="131"/>
  <c r="K11" i="131"/>
  <c r="K10" i="131"/>
  <c r="K9" i="131"/>
  <c r="V27" i="131"/>
  <c r="W27" i="131"/>
  <c r="X27" i="131"/>
  <c r="U27" i="131"/>
  <c r="K27" i="131" l="1"/>
  <c r="K14" i="130" l="1"/>
  <c r="K27" i="130" s="1"/>
  <c r="O27" i="130" s="1"/>
  <c r="K10" i="130"/>
  <c r="K13" i="130"/>
  <c r="K12" i="130"/>
  <c r="K9" i="130"/>
  <c r="S26" i="130"/>
  <c r="V27" i="130"/>
  <c r="W27" i="130"/>
  <c r="X27" i="130"/>
  <c r="Y27" i="130"/>
  <c r="Z27" i="130"/>
  <c r="AA27" i="130"/>
  <c r="AB27" i="130"/>
  <c r="AC27" i="130"/>
  <c r="U27" i="130"/>
  <c r="K27" i="125"/>
  <c r="O27" i="125"/>
  <c r="S27" i="125"/>
  <c r="T27" i="125"/>
  <c r="U27" i="125"/>
  <c r="S26" i="131" l="1"/>
  <c r="S25" i="131"/>
  <c r="S24" i="131"/>
  <c r="S23" i="131"/>
  <c r="S22" i="131"/>
  <c r="S21" i="131"/>
  <c r="S20" i="131"/>
  <c r="S19" i="131"/>
  <c r="S18" i="131"/>
  <c r="S17" i="131"/>
  <c r="S16" i="131"/>
  <c r="S15" i="131"/>
  <c r="S14" i="131"/>
  <c r="S13" i="131"/>
  <c r="S12" i="131"/>
  <c r="S11" i="131"/>
  <c r="S10" i="131"/>
  <c r="S9" i="131"/>
  <c r="S8" i="131"/>
  <c r="S7" i="131"/>
  <c r="S6" i="131"/>
  <c r="S5" i="131"/>
  <c r="S4" i="131"/>
  <c r="S25" i="130"/>
  <c r="S24" i="130"/>
  <c r="S23" i="130"/>
  <c r="S22" i="130"/>
  <c r="S21" i="130"/>
  <c r="S20" i="130"/>
  <c r="S19" i="130"/>
  <c r="S18" i="130"/>
  <c r="S17" i="130"/>
  <c r="S16" i="130"/>
  <c r="S15" i="130"/>
  <c r="S14" i="130"/>
  <c r="S13" i="130"/>
  <c r="S12" i="130"/>
  <c r="S11" i="130"/>
  <c r="S10" i="130"/>
  <c r="S9" i="130"/>
  <c r="S8" i="130"/>
  <c r="S7" i="130"/>
  <c r="S6" i="130"/>
  <c r="S5" i="130"/>
  <c r="S4" i="130"/>
  <c r="S26" i="129"/>
  <c r="S25" i="129"/>
  <c r="S24" i="129"/>
  <c r="S23" i="129"/>
  <c r="S22" i="129"/>
  <c r="S21" i="129"/>
  <c r="S20" i="129"/>
  <c r="S19" i="129"/>
  <c r="S18" i="129"/>
  <c r="S17" i="129"/>
  <c r="S16" i="129"/>
  <c r="S15" i="129"/>
  <c r="S14" i="129"/>
  <c r="S13" i="129"/>
  <c r="S12" i="129"/>
  <c r="S11" i="129"/>
  <c r="S10" i="129"/>
  <c r="S9" i="129"/>
  <c r="S8" i="129"/>
  <c r="S7" i="129"/>
  <c r="S6" i="129"/>
  <c r="S5" i="129"/>
  <c r="S4" i="129"/>
  <c r="S26" i="128"/>
  <c r="S25" i="128"/>
  <c r="S24" i="128"/>
  <c r="S23" i="128"/>
  <c r="S22" i="128"/>
  <c r="S21" i="128"/>
  <c r="S20" i="128"/>
  <c r="S19" i="128"/>
  <c r="S18" i="128"/>
  <c r="S17" i="128"/>
  <c r="S16" i="128"/>
  <c r="S15" i="128"/>
  <c r="S14" i="128"/>
  <c r="S13" i="128"/>
  <c r="S12" i="128"/>
  <c r="S11" i="128"/>
  <c r="S10" i="128"/>
  <c r="S9" i="128"/>
  <c r="S8" i="128"/>
  <c r="S7" i="128"/>
  <c r="S6" i="128"/>
  <c r="S5" i="128"/>
  <c r="S26" i="126"/>
  <c r="S25" i="126"/>
  <c r="S24" i="126"/>
  <c r="S23" i="126"/>
  <c r="S22" i="126"/>
  <c r="S21" i="126"/>
  <c r="S20" i="126"/>
  <c r="S19" i="126"/>
  <c r="S18" i="126"/>
  <c r="S17" i="126"/>
  <c r="S16" i="126"/>
  <c r="S15" i="126"/>
  <c r="S14" i="126"/>
  <c r="S13" i="126"/>
  <c r="S12" i="126"/>
  <c r="S11" i="126"/>
  <c r="S10" i="126"/>
  <c r="S9" i="126"/>
  <c r="S8" i="126"/>
  <c r="S7" i="126"/>
  <c r="S6" i="126"/>
  <c r="S5" i="126"/>
  <c r="S4" i="126"/>
  <c r="S26" i="125"/>
  <c r="S25" i="125"/>
  <c r="S24" i="125"/>
  <c r="S23" i="125"/>
  <c r="S22" i="125"/>
  <c r="S21" i="125"/>
  <c r="S20" i="125"/>
  <c r="S19" i="125"/>
  <c r="S18" i="125"/>
  <c r="S17" i="125"/>
  <c r="S16" i="125"/>
  <c r="S15" i="125"/>
  <c r="S14" i="125"/>
  <c r="S13" i="125"/>
  <c r="S12" i="125"/>
  <c r="S11" i="125"/>
  <c r="S10" i="125"/>
  <c r="S9" i="125"/>
  <c r="S8" i="125"/>
  <c r="S7" i="125"/>
  <c r="S6" i="125"/>
  <c r="S5" i="125"/>
  <c r="S4" i="125"/>
  <c r="S26" i="124"/>
  <c r="S25" i="124"/>
  <c r="S24" i="124"/>
  <c r="S23" i="124"/>
  <c r="S22" i="124"/>
  <c r="S21" i="124"/>
  <c r="S20" i="124"/>
  <c r="S19" i="124"/>
  <c r="S18" i="124"/>
  <c r="S17" i="124"/>
  <c r="S16" i="124"/>
  <c r="S15" i="124"/>
  <c r="S14" i="124"/>
  <c r="S13" i="124"/>
  <c r="S12" i="124"/>
  <c r="S11" i="124"/>
  <c r="S10" i="124"/>
  <c r="S9" i="124"/>
  <c r="S8" i="124"/>
  <c r="S7" i="124"/>
  <c r="S6" i="124"/>
  <c r="S5" i="124"/>
  <c r="S4" i="124"/>
  <c r="S26" i="123"/>
  <c r="S25" i="123"/>
  <c r="S24" i="123"/>
  <c r="S23" i="123"/>
  <c r="S22" i="123"/>
  <c r="S21" i="123"/>
  <c r="S20" i="123"/>
  <c r="S19" i="123"/>
  <c r="S18" i="123"/>
  <c r="S17" i="123"/>
  <c r="S16" i="123"/>
  <c r="S15" i="123"/>
  <c r="S14" i="123"/>
  <c r="S13" i="123"/>
  <c r="S12" i="123"/>
  <c r="S11" i="123"/>
  <c r="S10" i="123"/>
  <c r="S9" i="123"/>
  <c r="S8" i="123"/>
  <c r="S7" i="123"/>
  <c r="S6" i="123"/>
  <c r="S5" i="123"/>
  <c r="S4" i="123"/>
  <c r="S5" i="113"/>
  <c r="S6" i="113"/>
  <c r="S7" i="113"/>
  <c r="S8" i="113"/>
  <c r="S9" i="113"/>
  <c r="S10" i="113"/>
  <c r="S11" i="113"/>
  <c r="S12" i="113"/>
  <c r="S13" i="113"/>
  <c r="S14" i="113"/>
  <c r="S15" i="113"/>
  <c r="S16" i="113"/>
  <c r="S17" i="113"/>
  <c r="S18" i="113"/>
  <c r="S19" i="113"/>
  <c r="S20" i="113"/>
  <c r="S21" i="113"/>
  <c r="S22" i="113"/>
  <c r="S23" i="113"/>
  <c r="S24" i="113"/>
  <c r="S25" i="113"/>
  <c r="S26" i="113"/>
  <c r="S4" i="113"/>
  <c r="K5" i="91"/>
  <c r="N5" i="91" s="1"/>
  <c r="K6" i="91"/>
  <c r="N6" i="91" s="1"/>
  <c r="K7" i="91"/>
  <c r="N7" i="91" s="1"/>
  <c r="K8" i="91"/>
  <c r="N8" i="91" s="1"/>
  <c r="K9" i="91"/>
  <c r="N9" i="91" s="1"/>
  <c r="K10" i="91"/>
  <c r="N10" i="91" s="1"/>
  <c r="K11" i="91"/>
  <c r="N11" i="91" s="1"/>
  <c r="K12" i="91"/>
  <c r="N12" i="91" s="1"/>
  <c r="K13" i="91"/>
  <c r="N13" i="91" s="1"/>
  <c r="K14" i="91"/>
  <c r="N14" i="91" s="1"/>
  <c r="K15" i="91"/>
  <c r="N15" i="91" s="1"/>
  <c r="K16" i="91"/>
  <c r="N16" i="91" s="1"/>
  <c r="K17" i="91"/>
  <c r="N17" i="91" s="1"/>
  <c r="K18" i="91"/>
  <c r="N18" i="91" s="1"/>
  <c r="K19" i="91"/>
  <c r="N19" i="91" s="1"/>
  <c r="K20" i="91"/>
  <c r="N20" i="91" s="1"/>
  <c r="K21" i="91"/>
  <c r="N21" i="91" s="1"/>
  <c r="K22" i="91"/>
  <c r="N22" i="91" s="1"/>
  <c r="K23" i="91"/>
  <c r="N23" i="91" s="1"/>
  <c r="K24" i="91"/>
  <c r="N24" i="91" s="1"/>
  <c r="K25" i="91"/>
  <c r="N25" i="91" s="1"/>
  <c r="K26" i="91"/>
  <c r="N26" i="91" s="1"/>
  <c r="K4" i="91"/>
  <c r="N4" i="91" s="1"/>
  <c r="J5" i="91"/>
  <c r="J6" i="91"/>
  <c r="J7" i="91"/>
  <c r="J8" i="91"/>
  <c r="J15" i="91"/>
  <c r="J16" i="91"/>
  <c r="J17" i="91"/>
  <c r="J18" i="91"/>
  <c r="J19" i="91"/>
  <c r="J20" i="91"/>
  <c r="J21" i="91"/>
  <c r="J22" i="91"/>
  <c r="J23" i="91"/>
  <c r="J24" i="91"/>
  <c r="J25" i="91"/>
  <c r="J26" i="91"/>
  <c r="J4" i="91"/>
  <c r="H26" i="91"/>
  <c r="K28" i="131"/>
  <c r="K28" i="130"/>
  <c r="K28" i="129"/>
  <c r="K28" i="128"/>
  <c r="K28" i="127"/>
  <c r="K28" i="126"/>
  <c r="K28" i="125"/>
  <c r="K28" i="124"/>
  <c r="K27" i="123"/>
  <c r="O26" i="131"/>
  <c r="M26" i="131"/>
  <c r="L26" i="131"/>
  <c r="O25" i="131"/>
  <c r="M25" i="131"/>
  <c r="L25" i="131"/>
  <c r="O24" i="131"/>
  <c r="M24" i="131"/>
  <c r="L24" i="131"/>
  <c r="O23" i="131"/>
  <c r="M23" i="131"/>
  <c r="L23" i="131"/>
  <c r="O22" i="131"/>
  <c r="M22" i="131"/>
  <c r="L22" i="131"/>
  <c r="O21" i="131"/>
  <c r="M21" i="131"/>
  <c r="L21" i="131"/>
  <c r="O20" i="131"/>
  <c r="M20" i="131"/>
  <c r="L20" i="131"/>
  <c r="O19" i="131"/>
  <c r="M19" i="131"/>
  <c r="L19" i="131"/>
  <c r="O18" i="131"/>
  <c r="M18" i="131"/>
  <c r="L18" i="131"/>
  <c r="O17" i="131"/>
  <c r="M17" i="131"/>
  <c r="L17" i="131"/>
  <c r="O16" i="131"/>
  <c r="M16" i="131"/>
  <c r="L16" i="131"/>
  <c r="O15" i="131"/>
  <c r="M15" i="131"/>
  <c r="L15" i="131"/>
  <c r="O14" i="131"/>
  <c r="J14" i="91" s="1"/>
  <c r="M14" i="131"/>
  <c r="L14" i="131"/>
  <c r="O13" i="131"/>
  <c r="M13" i="131"/>
  <c r="L13" i="131"/>
  <c r="O12" i="131"/>
  <c r="M12" i="131"/>
  <c r="L12" i="131"/>
  <c r="O11" i="131"/>
  <c r="J11" i="91" s="1"/>
  <c r="M11" i="131"/>
  <c r="L11" i="131"/>
  <c r="O10" i="131"/>
  <c r="M10" i="131"/>
  <c r="L10" i="131"/>
  <c r="O9" i="131"/>
  <c r="M9" i="131"/>
  <c r="L9" i="131"/>
  <c r="O8" i="131"/>
  <c r="M8" i="131"/>
  <c r="L8" i="131"/>
  <c r="O7" i="131"/>
  <c r="M7" i="131"/>
  <c r="L7" i="131"/>
  <c r="O6" i="131"/>
  <c r="M6" i="131"/>
  <c r="L6" i="131"/>
  <c r="O5" i="131"/>
  <c r="M5" i="131"/>
  <c r="L5" i="131"/>
  <c r="O4" i="131"/>
  <c r="M4" i="131"/>
  <c r="L4" i="131"/>
  <c r="O26" i="130"/>
  <c r="M26" i="130"/>
  <c r="L26" i="130"/>
  <c r="O25" i="130"/>
  <c r="M25" i="130"/>
  <c r="L25" i="130"/>
  <c r="O24" i="130"/>
  <c r="M24" i="130"/>
  <c r="L24" i="130"/>
  <c r="O23" i="130"/>
  <c r="M23" i="130"/>
  <c r="L23" i="130"/>
  <c r="O22" i="130"/>
  <c r="M22" i="130"/>
  <c r="L22" i="130"/>
  <c r="O21" i="130"/>
  <c r="M21" i="130"/>
  <c r="L21" i="130"/>
  <c r="O20" i="130"/>
  <c r="M20" i="130"/>
  <c r="L20" i="130"/>
  <c r="O19" i="130"/>
  <c r="M19" i="130"/>
  <c r="L19" i="130"/>
  <c r="O18" i="130"/>
  <c r="M18" i="130"/>
  <c r="L18" i="130"/>
  <c r="O17" i="130"/>
  <c r="M17" i="130"/>
  <c r="L17" i="130"/>
  <c r="O16" i="130"/>
  <c r="M16" i="130"/>
  <c r="L16" i="130"/>
  <c r="O15" i="130"/>
  <c r="M15" i="130"/>
  <c r="L15" i="130"/>
  <c r="O14" i="130"/>
  <c r="M14" i="130"/>
  <c r="L14" i="130"/>
  <c r="O13" i="130"/>
  <c r="M13" i="130"/>
  <c r="L13" i="130"/>
  <c r="O12" i="130"/>
  <c r="M12" i="130"/>
  <c r="L12" i="130"/>
  <c r="O11" i="130"/>
  <c r="M11" i="130"/>
  <c r="L11" i="130"/>
  <c r="O10" i="130"/>
  <c r="J10" i="91" s="1"/>
  <c r="M10" i="130"/>
  <c r="L10" i="130"/>
  <c r="O9" i="130"/>
  <c r="M9" i="130"/>
  <c r="L9" i="130"/>
  <c r="O8" i="130"/>
  <c r="M8" i="130"/>
  <c r="L8" i="130"/>
  <c r="O7" i="130"/>
  <c r="M7" i="130"/>
  <c r="L7" i="130"/>
  <c r="O6" i="130"/>
  <c r="M6" i="130"/>
  <c r="L6" i="130"/>
  <c r="O5" i="130"/>
  <c r="M5" i="130"/>
  <c r="L5" i="130"/>
  <c r="O4" i="130"/>
  <c r="M4" i="130"/>
  <c r="L4" i="130"/>
  <c r="O26" i="129"/>
  <c r="M26" i="129"/>
  <c r="L26" i="129"/>
  <c r="O25" i="129"/>
  <c r="M25" i="129"/>
  <c r="L25" i="129"/>
  <c r="O24" i="129"/>
  <c r="M24" i="129"/>
  <c r="L24" i="129"/>
  <c r="O23" i="129"/>
  <c r="M23" i="129"/>
  <c r="L23" i="129"/>
  <c r="O22" i="129"/>
  <c r="M22" i="129"/>
  <c r="L22" i="129"/>
  <c r="O21" i="129"/>
  <c r="M21" i="129"/>
  <c r="L21" i="129"/>
  <c r="O20" i="129"/>
  <c r="M20" i="129"/>
  <c r="L20" i="129"/>
  <c r="O19" i="129"/>
  <c r="M19" i="129"/>
  <c r="L19" i="129"/>
  <c r="O18" i="129"/>
  <c r="M18" i="129"/>
  <c r="L18" i="129"/>
  <c r="O17" i="129"/>
  <c r="M17" i="129"/>
  <c r="L17" i="129"/>
  <c r="O16" i="129"/>
  <c r="M16" i="129"/>
  <c r="L16" i="129"/>
  <c r="O15" i="129"/>
  <c r="M15" i="129"/>
  <c r="L15" i="129"/>
  <c r="O14" i="129"/>
  <c r="M14" i="129"/>
  <c r="L14" i="129"/>
  <c r="O13" i="129"/>
  <c r="M13" i="129"/>
  <c r="L13" i="129"/>
  <c r="O12" i="129"/>
  <c r="M12" i="129"/>
  <c r="L12" i="129"/>
  <c r="O11" i="129"/>
  <c r="M11" i="129"/>
  <c r="L11" i="129"/>
  <c r="O10" i="129"/>
  <c r="M10" i="129"/>
  <c r="L10" i="129"/>
  <c r="O9" i="129"/>
  <c r="M9" i="129"/>
  <c r="L9" i="129"/>
  <c r="O8" i="129"/>
  <c r="M8" i="129"/>
  <c r="L8" i="129"/>
  <c r="O7" i="129"/>
  <c r="M7" i="129"/>
  <c r="L7" i="129"/>
  <c r="O6" i="129"/>
  <c r="M6" i="129"/>
  <c r="L6" i="129"/>
  <c r="O5" i="129"/>
  <c r="M5" i="129"/>
  <c r="L5" i="129"/>
  <c r="O4" i="129"/>
  <c r="M4" i="129"/>
  <c r="L4" i="129"/>
  <c r="O26" i="128"/>
  <c r="M26" i="128"/>
  <c r="L26" i="128"/>
  <c r="O25" i="128"/>
  <c r="M25" i="128"/>
  <c r="L25" i="128"/>
  <c r="O24" i="128"/>
  <c r="M24" i="128"/>
  <c r="L24" i="128"/>
  <c r="O23" i="128"/>
  <c r="M23" i="128"/>
  <c r="L23" i="128"/>
  <c r="O22" i="128"/>
  <c r="M22" i="128"/>
  <c r="L22" i="128"/>
  <c r="O21" i="128"/>
  <c r="M21" i="128"/>
  <c r="L21" i="128"/>
  <c r="O20" i="128"/>
  <c r="M20" i="128"/>
  <c r="L20" i="128"/>
  <c r="O19" i="128"/>
  <c r="M19" i="128"/>
  <c r="L19" i="128"/>
  <c r="O18" i="128"/>
  <c r="M18" i="128"/>
  <c r="L18" i="128"/>
  <c r="O17" i="128"/>
  <c r="M17" i="128"/>
  <c r="L17" i="128"/>
  <c r="O16" i="128"/>
  <c r="M16" i="128"/>
  <c r="L16" i="128"/>
  <c r="O15" i="128"/>
  <c r="M15" i="128"/>
  <c r="L15" i="128"/>
  <c r="O14" i="128"/>
  <c r="M14" i="128"/>
  <c r="L14" i="128"/>
  <c r="O13" i="128"/>
  <c r="M13" i="128"/>
  <c r="L13" i="128"/>
  <c r="O12" i="128"/>
  <c r="M12" i="128"/>
  <c r="L12" i="128"/>
  <c r="O11" i="128"/>
  <c r="M11" i="128"/>
  <c r="L11" i="128"/>
  <c r="O10" i="128"/>
  <c r="M10" i="128"/>
  <c r="L10" i="128"/>
  <c r="O9" i="128"/>
  <c r="M9" i="128"/>
  <c r="L9" i="128"/>
  <c r="O8" i="128"/>
  <c r="M8" i="128"/>
  <c r="L8" i="128"/>
  <c r="O7" i="128"/>
  <c r="M7" i="128"/>
  <c r="L7" i="128"/>
  <c r="O6" i="128"/>
  <c r="M6" i="128"/>
  <c r="L6" i="128"/>
  <c r="O5" i="128"/>
  <c r="M5" i="128"/>
  <c r="L5" i="128"/>
  <c r="O4" i="128"/>
  <c r="M4" i="128"/>
  <c r="L4" i="128"/>
  <c r="O26" i="127"/>
  <c r="M26" i="127"/>
  <c r="L26" i="127"/>
  <c r="O25" i="127"/>
  <c r="M25" i="127"/>
  <c r="L25" i="127"/>
  <c r="O24" i="127"/>
  <c r="M24" i="127"/>
  <c r="L24" i="127"/>
  <c r="O23" i="127"/>
  <c r="M23" i="127"/>
  <c r="L23" i="127"/>
  <c r="O22" i="127"/>
  <c r="M22" i="127"/>
  <c r="L22" i="127"/>
  <c r="O21" i="127"/>
  <c r="M21" i="127"/>
  <c r="L21" i="127"/>
  <c r="O20" i="127"/>
  <c r="M20" i="127"/>
  <c r="L20" i="127"/>
  <c r="O19" i="127"/>
  <c r="M19" i="127"/>
  <c r="L19" i="127"/>
  <c r="O18" i="127"/>
  <c r="M18" i="127"/>
  <c r="L18" i="127"/>
  <c r="O17" i="127"/>
  <c r="M17" i="127"/>
  <c r="L17" i="127"/>
  <c r="O16" i="127"/>
  <c r="M16" i="127"/>
  <c r="L16" i="127"/>
  <c r="O15" i="127"/>
  <c r="M15" i="127"/>
  <c r="L15" i="127"/>
  <c r="O14" i="127"/>
  <c r="M14" i="127"/>
  <c r="L14" i="127"/>
  <c r="O13" i="127"/>
  <c r="M13" i="127"/>
  <c r="L13" i="127"/>
  <c r="O12" i="127"/>
  <c r="M12" i="127"/>
  <c r="L12" i="127"/>
  <c r="O11" i="127"/>
  <c r="M11" i="127"/>
  <c r="L11" i="127"/>
  <c r="O10" i="127"/>
  <c r="M10" i="127"/>
  <c r="L10" i="127"/>
  <c r="O9" i="127"/>
  <c r="M9" i="127"/>
  <c r="L9" i="127"/>
  <c r="O8" i="127"/>
  <c r="M8" i="127"/>
  <c r="L8" i="127"/>
  <c r="O7" i="127"/>
  <c r="M7" i="127"/>
  <c r="L7" i="127"/>
  <c r="O6" i="127"/>
  <c r="M6" i="127"/>
  <c r="L6" i="127"/>
  <c r="O5" i="127"/>
  <c r="M5" i="127"/>
  <c r="L5" i="127"/>
  <c r="O4" i="127"/>
  <c r="M4" i="127"/>
  <c r="M28" i="127" s="1"/>
  <c r="L4" i="127"/>
  <c r="O26" i="126"/>
  <c r="M26" i="126"/>
  <c r="L26" i="126"/>
  <c r="O25" i="126"/>
  <c r="M25" i="126"/>
  <c r="L25" i="126"/>
  <c r="O24" i="126"/>
  <c r="M24" i="126"/>
  <c r="L24" i="126"/>
  <c r="O23" i="126"/>
  <c r="M23" i="126"/>
  <c r="L23" i="126"/>
  <c r="O22" i="126"/>
  <c r="M22" i="126"/>
  <c r="L22" i="126"/>
  <c r="O21" i="126"/>
  <c r="M21" i="126"/>
  <c r="L21" i="126"/>
  <c r="O20" i="126"/>
  <c r="M20" i="126"/>
  <c r="L20" i="126"/>
  <c r="O19" i="126"/>
  <c r="M19" i="126"/>
  <c r="L19" i="126"/>
  <c r="O18" i="126"/>
  <c r="M18" i="126"/>
  <c r="L18" i="126"/>
  <c r="O17" i="126"/>
  <c r="M17" i="126"/>
  <c r="L17" i="126"/>
  <c r="O16" i="126"/>
  <c r="M16" i="126"/>
  <c r="L16" i="126"/>
  <c r="O15" i="126"/>
  <c r="M15" i="126"/>
  <c r="L15" i="126"/>
  <c r="O14" i="126"/>
  <c r="M14" i="126"/>
  <c r="L14" i="126"/>
  <c r="O13" i="126"/>
  <c r="M13" i="126"/>
  <c r="L13" i="126"/>
  <c r="O12" i="126"/>
  <c r="M12" i="126"/>
  <c r="L12" i="126"/>
  <c r="O11" i="126"/>
  <c r="M11" i="126"/>
  <c r="L11" i="126"/>
  <c r="O10" i="126"/>
  <c r="M10" i="126"/>
  <c r="L10" i="126"/>
  <c r="O9" i="126"/>
  <c r="M9" i="126"/>
  <c r="L9" i="126"/>
  <c r="O8" i="126"/>
  <c r="M8" i="126"/>
  <c r="L8" i="126"/>
  <c r="O7" i="126"/>
  <c r="M7" i="126"/>
  <c r="L7" i="126"/>
  <c r="O6" i="126"/>
  <c r="M6" i="126"/>
  <c r="L6" i="126"/>
  <c r="O5" i="126"/>
  <c r="M5" i="126"/>
  <c r="L5" i="126"/>
  <c r="O4" i="126"/>
  <c r="M4" i="126"/>
  <c r="L4" i="126"/>
  <c r="O26" i="125"/>
  <c r="M26" i="125"/>
  <c r="L26" i="125"/>
  <c r="O25" i="125"/>
  <c r="M25" i="125"/>
  <c r="L25" i="125"/>
  <c r="O24" i="125"/>
  <c r="M24" i="125"/>
  <c r="L24" i="125"/>
  <c r="O23" i="125"/>
  <c r="M23" i="125"/>
  <c r="L23" i="125"/>
  <c r="O22" i="125"/>
  <c r="M22" i="125"/>
  <c r="L22" i="125"/>
  <c r="O21" i="125"/>
  <c r="M21" i="125"/>
  <c r="L21" i="125"/>
  <c r="O20" i="125"/>
  <c r="M20" i="125"/>
  <c r="L20" i="125"/>
  <c r="O19" i="125"/>
  <c r="M19" i="125"/>
  <c r="L19" i="125"/>
  <c r="O18" i="125"/>
  <c r="M18" i="125"/>
  <c r="L18" i="125"/>
  <c r="O17" i="125"/>
  <c r="M17" i="125"/>
  <c r="L17" i="125"/>
  <c r="O16" i="125"/>
  <c r="M16" i="125"/>
  <c r="L16" i="125"/>
  <c r="O15" i="125"/>
  <c r="M15" i="125"/>
  <c r="L15" i="125"/>
  <c r="O14" i="125"/>
  <c r="M14" i="125"/>
  <c r="L14" i="125"/>
  <c r="O13" i="125"/>
  <c r="M13" i="125"/>
  <c r="L13" i="125"/>
  <c r="O12" i="125"/>
  <c r="M12" i="125"/>
  <c r="L12" i="125"/>
  <c r="O11" i="125"/>
  <c r="M11" i="125"/>
  <c r="L11" i="125"/>
  <c r="O10" i="125"/>
  <c r="M10" i="125"/>
  <c r="L10" i="125"/>
  <c r="O9" i="125"/>
  <c r="M9" i="125"/>
  <c r="L9" i="125"/>
  <c r="O8" i="125"/>
  <c r="M8" i="125"/>
  <c r="L8" i="125"/>
  <c r="O7" i="125"/>
  <c r="M7" i="125"/>
  <c r="L7" i="125"/>
  <c r="O6" i="125"/>
  <c r="M6" i="125"/>
  <c r="L6" i="125"/>
  <c r="O5" i="125"/>
  <c r="M5" i="125"/>
  <c r="L5" i="125"/>
  <c r="L28" i="125" s="1"/>
  <c r="O4" i="125"/>
  <c r="M4" i="125"/>
  <c r="L4" i="125"/>
  <c r="O26" i="124"/>
  <c r="M26" i="124"/>
  <c r="L26" i="124"/>
  <c r="O25" i="124"/>
  <c r="M25" i="124"/>
  <c r="L25" i="124"/>
  <c r="O24" i="124"/>
  <c r="M24" i="124"/>
  <c r="L24" i="124"/>
  <c r="O23" i="124"/>
  <c r="M23" i="124"/>
  <c r="L23" i="124"/>
  <c r="O22" i="124"/>
  <c r="M22" i="124"/>
  <c r="L22" i="124"/>
  <c r="O21" i="124"/>
  <c r="M21" i="124"/>
  <c r="L21" i="124"/>
  <c r="O20" i="124"/>
  <c r="M20" i="124"/>
  <c r="L20" i="124"/>
  <c r="O19" i="124"/>
  <c r="M19" i="124"/>
  <c r="L19" i="124"/>
  <c r="O18" i="124"/>
  <c r="M18" i="124"/>
  <c r="L18" i="124"/>
  <c r="H18" i="91" s="1"/>
  <c r="O17" i="124"/>
  <c r="M17" i="124"/>
  <c r="L17" i="124"/>
  <c r="O16" i="124"/>
  <c r="M16" i="124"/>
  <c r="L16" i="124"/>
  <c r="O15" i="124"/>
  <c r="M15" i="124"/>
  <c r="L15" i="124"/>
  <c r="O14" i="124"/>
  <c r="M14" i="124"/>
  <c r="L14" i="124"/>
  <c r="O13" i="124"/>
  <c r="M13" i="124"/>
  <c r="L13" i="124"/>
  <c r="O12" i="124"/>
  <c r="M12" i="124"/>
  <c r="L12" i="124"/>
  <c r="O11" i="124"/>
  <c r="M11" i="124"/>
  <c r="L11" i="124"/>
  <c r="O10" i="124"/>
  <c r="M10" i="124"/>
  <c r="L10" i="124"/>
  <c r="O9" i="124"/>
  <c r="M9" i="124"/>
  <c r="L9" i="124"/>
  <c r="O8" i="124"/>
  <c r="M8" i="124"/>
  <c r="L8" i="124"/>
  <c r="O7" i="124"/>
  <c r="M7" i="124"/>
  <c r="L7" i="124"/>
  <c r="O6" i="124"/>
  <c r="M6" i="124"/>
  <c r="L6" i="124"/>
  <c r="O5" i="124"/>
  <c r="M5" i="124"/>
  <c r="L5" i="124"/>
  <c r="O4" i="124"/>
  <c r="M4" i="124"/>
  <c r="L4" i="124"/>
  <c r="L28" i="124" s="1"/>
  <c r="O26" i="123"/>
  <c r="M26" i="123"/>
  <c r="L26" i="123"/>
  <c r="O25" i="123"/>
  <c r="M25" i="123"/>
  <c r="L25" i="123"/>
  <c r="O24" i="123"/>
  <c r="M24" i="123"/>
  <c r="L24" i="123"/>
  <c r="O23" i="123"/>
  <c r="M23" i="123"/>
  <c r="L23" i="123"/>
  <c r="O22" i="123"/>
  <c r="M22" i="123"/>
  <c r="L22" i="123"/>
  <c r="O21" i="123"/>
  <c r="M21" i="123"/>
  <c r="L21" i="123"/>
  <c r="O20" i="123"/>
  <c r="M20" i="123"/>
  <c r="L20" i="123"/>
  <c r="O19" i="123"/>
  <c r="M19" i="123"/>
  <c r="L19" i="123"/>
  <c r="O18" i="123"/>
  <c r="M18" i="123"/>
  <c r="L18" i="123"/>
  <c r="O17" i="123"/>
  <c r="M17" i="123"/>
  <c r="L17" i="123"/>
  <c r="O16" i="123"/>
  <c r="M16" i="123"/>
  <c r="L16" i="123"/>
  <c r="O15" i="123"/>
  <c r="M15" i="123"/>
  <c r="L15" i="123"/>
  <c r="O14" i="123"/>
  <c r="M14" i="123"/>
  <c r="L14" i="123"/>
  <c r="O13" i="123"/>
  <c r="M13" i="123"/>
  <c r="L13" i="123"/>
  <c r="O12" i="123"/>
  <c r="M12" i="123"/>
  <c r="L12" i="123"/>
  <c r="O11" i="123"/>
  <c r="M11" i="123"/>
  <c r="L11" i="123"/>
  <c r="O10" i="123"/>
  <c r="M10" i="123"/>
  <c r="L10" i="123"/>
  <c r="O9" i="123"/>
  <c r="M9" i="123"/>
  <c r="L9" i="123"/>
  <c r="O8" i="123"/>
  <c r="M8" i="123"/>
  <c r="L8" i="123"/>
  <c r="O7" i="123"/>
  <c r="M7" i="123"/>
  <c r="L7" i="123"/>
  <c r="O6" i="123"/>
  <c r="M6" i="123"/>
  <c r="L6" i="123"/>
  <c r="O5" i="123"/>
  <c r="M5" i="123"/>
  <c r="M27" i="123" s="1"/>
  <c r="L5" i="123"/>
  <c r="O4" i="123"/>
  <c r="M4" i="123"/>
  <c r="L4" i="123"/>
  <c r="L27" i="123" s="1"/>
  <c r="L27" i="113"/>
  <c r="M27" i="113"/>
  <c r="K27" i="113"/>
  <c r="O5" i="113"/>
  <c r="O6" i="113"/>
  <c r="O7" i="113"/>
  <c r="O8" i="113"/>
  <c r="O9" i="113"/>
  <c r="O10" i="113"/>
  <c r="O11" i="113"/>
  <c r="O12" i="113"/>
  <c r="O13" i="113"/>
  <c r="O14" i="113"/>
  <c r="O15" i="113"/>
  <c r="O16" i="113"/>
  <c r="O17" i="113"/>
  <c r="O18" i="113"/>
  <c r="O19" i="113"/>
  <c r="O20" i="113"/>
  <c r="O21" i="113"/>
  <c r="O22" i="113"/>
  <c r="O23" i="113"/>
  <c r="O24" i="113"/>
  <c r="O25" i="113"/>
  <c r="O26" i="113"/>
  <c r="M5" i="113"/>
  <c r="M6" i="113"/>
  <c r="M7" i="113"/>
  <c r="M8" i="113"/>
  <c r="M9" i="113"/>
  <c r="M10" i="113"/>
  <c r="M11" i="113"/>
  <c r="M12" i="113"/>
  <c r="M13" i="113"/>
  <c r="M14" i="113"/>
  <c r="M15" i="113"/>
  <c r="M16" i="113"/>
  <c r="M17" i="113"/>
  <c r="M18" i="113"/>
  <c r="M19" i="113"/>
  <c r="M20" i="113"/>
  <c r="M21" i="113"/>
  <c r="M22" i="113"/>
  <c r="M23" i="113"/>
  <c r="M24" i="113"/>
  <c r="M25" i="113"/>
  <c r="M26" i="113"/>
  <c r="L5" i="113"/>
  <c r="L6" i="113"/>
  <c r="L7" i="113"/>
  <c r="L8" i="113"/>
  <c r="L9" i="113"/>
  <c r="L10" i="113"/>
  <c r="L11" i="113"/>
  <c r="L12" i="113"/>
  <c r="L13" i="113"/>
  <c r="L14" i="113"/>
  <c r="L15" i="113"/>
  <c r="L16" i="113"/>
  <c r="L17" i="113"/>
  <c r="L18" i="113"/>
  <c r="L19" i="113"/>
  <c r="L20" i="113"/>
  <c r="L21" i="113"/>
  <c r="L22" i="113"/>
  <c r="L23" i="113"/>
  <c r="L24" i="113"/>
  <c r="L25" i="113"/>
  <c r="L26" i="113"/>
  <c r="O4" i="113"/>
  <c r="M4" i="113"/>
  <c r="L4" i="113"/>
  <c r="K9" i="123"/>
  <c r="K9" i="113"/>
  <c r="J13" i="132"/>
  <c r="J14" i="132"/>
  <c r="J15" i="132"/>
  <c r="J16" i="132"/>
  <c r="J17" i="132"/>
  <c r="J18" i="132"/>
  <c r="J19" i="132"/>
  <c r="J20" i="132"/>
  <c r="J21" i="132"/>
  <c r="J22" i="132"/>
  <c r="J23" i="132"/>
  <c r="J24" i="132"/>
  <c r="J25" i="132"/>
  <c r="J26" i="132"/>
  <c r="G13" i="132"/>
  <c r="H13" i="132" s="1"/>
  <c r="G14" i="132"/>
  <c r="H14" i="132" s="1"/>
  <c r="G15" i="132"/>
  <c r="H15" i="132" s="1"/>
  <c r="G16" i="132"/>
  <c r="H16" i="132" s="1"/>
  <c r="G17" i="132"/>
  <c r="H17" i="132" s="1"/>
  <c r="G18" i="132"/>
  <c r="H18" i="132" s="1"/>
  <c r="G19" i="132"/>
  <c r="H19" i="132" s="1"/>
  <c r="G20" i="132"/>
  <c r="H20" i="132" s="1"/>
  <c r="G21" i="132"/>
  <c r="H21" i="132" s="1"/>
  <c r="G22" i="132"/>
  <c r="H22" i="132" s="1"/>
  <c r="G23" i="132"/>
  <c r="H23" i="132" s="1"/>
  <c r="G24" i="132"/>
  <c r="H24" i="132" s="1"/>
  <c r="G25" i="132"/>
  <c r="H25" i="132" s="1"/>
  <c r="G26" i="132"/>
  <c r="H26" i="132" s="1"/>
  <c r="G4" i="132"/>
  <c r="H4" i="132" s="1"/>
  <c r="G32" i="132"/>
  <c r="G31" i="132"/>
  <c r="G30" i="132"/>
  <c r="Y27" i="132"/>
  <c r="X27" i="132"/>
  <c r="W27" i="132"/>
  <c r="V27" i="132"/>
  <c r="U27" i="132"/>
  <c r="T27" i="132"/>
  <c r="S27" i="132"/>
  <c r="R27" i="132"/>
  <c r="Q27" i="132"/>
  <c r="P27" i="132"/>
  <c r="O27" i="132"/>
  <c r="N27" i="132"/>
  <c r="M27" i="132"/>
  <c r="L27" i="132"/>
  <c r="K27" i="132"/>
  <c r="I27" i="132"/>
  <c r="J12" i="132"/>
  <c r="G12" i="132"/>
  <c r="H12" i="132" s="1"/>
  <c r="J11" i="132"/>
  <c r="G11" i="132"/>
  <c r="H11" i="132" s="1"/>
  <c r="J10" i="132"/>
  <c r="J9" i="132"/>
  <c r="G9" i="132"/>
  <c r="H9" i="132" s="1"/>
  <c r="J8" i="132"/>
  <c r="G8" i="132"/>
  <c r="H8" i="132" s="1"/>
  <c r="J7" i="132"/>
  <c r="J6" i="132"/>
  <c r="G6" i="132"/>
  <c r="H6" i="132" s="1"/>
  <c r="J5" i="132"/>
  <c r="G5" i="132"/>
  <c r="H5" i="132" s="1"/>
  <c r="J4" i="132"/>
  <c r="L28" i="129" l="1"/>
  <c r="M28" i="129"/>
  <c r="S27" i="129"/>
  <c r="T27" i="129" s="1"/>
  <c r="M28" i="124"/>
  <c r="H4" i="91"/>
  <c r="J13" i="91"/>
  <c r="J12" i="91"/>
  <c r="H8" i="91"/>
  <c r="H16" i="91"/>
  <c r="H24" i="91"/>
  <c r="L28" i="127"/>
  <c r="S27" i="127"/>
  <c r="T27" i="127" s="1"/>
  <c r="L28" i="128"/>
  <c r="S27" i="128"/>
  <c r="M28" i="128"/>
  <c r="H17" i="91"/>
  <c r="H25" i="91"/>
  <c r="L28" i="126"/>
  <c r="H20" i="91"/>
  <c r="M28" i="126"/>
  <c r="H12" i="91"/>
  <c r="H7" i="91"/>
  <c r="H15" i="91"/>
  <c r="H23" i="91"/>
  <c r="H10" i="91"/>
  <c r="S27" i="126"/>
  <c r="T27" i="126" s="1"/>
  <c r="J9" i="91"/>
  <c r="H9" i="91"/>
  <c r="H14" i="91"/>
  <c r="M28" i="131"/>
  <c r="S27" i="131"/>
  <c r="T27" i="131" s="1"/>
  <c r="H11" i="91"/>
  <c r="H19" i="91"/>
  <c r="L28" i="131"/>
  <c r="H22" i="91"/>
  <c r="H6" i="91"/>
  <c r="S27" i="130"/>
  <c r="T27" i="130" s="1"/>
  <c r="L28" i="130"/>
  <c r="M28" i="130"/>
  <c r="H13" i="91"/>
  <c r="H21" i="91"/>
  <c r="N27" i="91"/>
  <c r="M28" i="125"/>
  <c r="H5" i="91"/>
  <c r="I34" i="132"/>
  <c r="J27" i="132"/>
  <c r="I33" i="132" s="1"/>
  <c r="G7" i="132"/>
  <c r="H7" i="132" s="1"/>
  <c r="G10" i="132"/>
  <c r="H10" i="132" s="1"/>
  <c r="J36" i="132" l="1"/>
  <c r="U27" i="113"/>
  <c r="K26" i="131" l="1"/>
  <c r="T26" i="131" s="1"/>
  <c r="K25" i="131"/>
  <c r="T25" i="131" s="1"/>
  <c r="K24" i="131"/>
  <c r="T24" i="131" s="1"/>
  <c r="K23" i="131"/>
  <c r="T23" i="131" s="1"/>
  <c r="K22" i="131"/>
  <c r="T22" i="131" s="1"/>
  <c r="K21" i="131"/>
  <c r="T21" i="131" s="1"/>
  <c r="K20" i="131"/>
  <c r="T20" i="131" s="1"/>
  <c r="K19" i="131"/>
  <c r="T19" i="131" s="1"/>
  <c r="K18" i="131"/>
  <c r="T18" i="131" s="1"/>
  <c r="K17" i="131"/>
  <c r="T17" i="131" s="1"/>
  <c r="K16" i="131"/>
  <c r="T16" i="131" s="1"/>
  <c r="K15" i="131"/>
  <c r="T15" i="131" s="1"/>
  <c r="T14" i="131"/>
  <c r="T13" i="131"/>
  <c r="T12" i="131"/>
  <c r="T10" i="131"/>
  <c r="K8" i="131"/>
  <c r="T8" i="131" s="1"/>
  <c r="K7" i="131"/>
  <c r="T7" i="131" s="1"/>
  <c r="K6" i="131"/>
  <c r="T6" i="131" s="1"/>
  <c r="K5" i="131"/>
  <c r="T5" i="131" s="1"/>
  <c r="K4" i="131"/>
  <c r="AL27" i="131"/>
  <c r="AK27" i="131"/>
  <c r="AJ27" i="131"/>
  <c r="AI27" i="131"/>
  <c r="AH27" i="131"/>
  <c r="AG27" i="131"/>
  <c r="AF27" i="131"/>
  <c r="AE27" i="131"/>
  <c r="AD27" i="131"/>
  <c r="AC27" i="131"/>
  <c r="AB27" i="131"/>
  <c r="AA27" i="131"/>
  <c r="Z27" i="131"/>
  <c r="Y27" i="131"/>
  <c r="T9" i="131"/>
  <c r="K26" i="130"/>
  <c r="T26" i="130" s="1"/>
  <c r="K23" i="130"/>
  <c r="T23" i="130" s="1"/>
  <c r="K24" i="130"/>
  <c r="T24" i="130" s="1"/>
  <c r="K25" i="130"/>
  <c r="T25" i="130" s="1"/>
  <c r="K22" i="130"/>
  <c r="T22" i="130" s="1"/>
  <c r="K21" i="130"/>
  <c r="T21" i="130" s="1"/>
  <c r="K20" i="130"/>
  <c r="T20" i="130" s="1"/>
  <c r="K19" i="130"/>
  <c r="T19" i="130" s="1"/>
  <c r="K18" i="130"/>
  <c r="T18" i="130" s="1"/>
  <c r="K17" i="130"/>
  <c r="T17" i="130" s="1"/>
  <c r="K16" i="130"/>
  <c r="T16" i="130" s="1"/>
  <c r="K15" i="130"/>
  <c r="T15" i="130" s="1"/>
  <c r="T14" i="130"/>
  <c r="T13" i="130"/>
  <c r="T12" i="130"/>
  <c r="K11" i="130"/>
  <c r="T11" i="130" s="1"/>
  <c r="T10" i="130"/>
  <c r="T9" i="130"/>
  <c r="K8" i="130"/>
  <c r="T8" i="130" s="1"/>
  <c r="K7" i="130"/>
  <c r="T7" i="130" s="1"/>
  <c r="K6" i="130"/>
  <c r="T6" i="130" s="1"/>
  <c r="K5" i="130"/>
  <c r="K4" i="130"/>
  <c r="T4" i="130" s="1"/>
  <c r="AL27" i="130"/>
  <c r="AK27" i="130"/>
  <c r="AJ27" i="130"/>
  <c r="AI27" i="130"/>
  <c r="AH27" i="130"/>
  <c r="AG27" i="130"/>
  <c r="AF27" i="130"/>
  <c r="AE27" i="130"/>
  <c r="AD27" i="130"/>
  <c r="K26" i="129"/>
  <c r="T26" i="129" s="1"/>
  <c r="K24" i="129"/>
  <c r="T24" i="129" s="1"/>
  <c r="K25" i="129"/>
  <c r="T25" i="129" s="1"/>
  <c r="K18" i="129"/>
  <c r="T18" i="129" s="1"/>
  <c r="K19" i="129"/>
  <c r="T19" i="129" s="1"/>
  <c r="K20" i="129"/>
  <c r="T20" i="129" s="1"/>
  <c r="K21" i="129"/>
  <c r="T21" i="129" s="1"/>
  <c r="K22" i="129"/>
  <c r="T22" i="129" s="1"/>
  <c r="K23" i="129"/>
  <c r="K17" i="129"/>
  <c r="T17" i="129" s="1"/>
  <c r="K16" i="129"/>
  <c r="T16" i="129" s="1"/>
  <c r="K15" i="129"/>
  <c r="T15" i="129" s="1"/>
  <c r="K9" i="129"/>
  <c r="T9" i="129" s="1"/>
  <c r="K10" i="129"/>
  <c r="K11" i="129"/>
  <c r="K12" i="129"/>
  <c r="T12" i="129" s="1"/>
  <c r="K13" i="129"/>
  <c r="K14" i="129"/>
  <c r="T14" i="129" s="1"/>
  <c r="K8" i="129"/>
  <c r="T8" i="129" s="1"/>
  <c r="K7" i="129"/>
  <c r="T7" i="129" s="1"/>
  <c r="K5" i="129"/>
  <c r="T5" i="129" s="1"/>
  <c r="K6" i="129"/>
  <c r="T6" i="129" s="1"/>
  <c r="K4" i="129"/>
  <c r="AL27" i="129"/>
  <c r="AK27" i="129"/>
  <c r="AJ27" i="129"/>
  <c r="AI27" i="129"/>
  <c r="AH27" i="129"/>
  <c r="AG27" i="129"/>
  <c r="AF27" i="129"/>
  <c r="AE27" i="129"/>
  <c r="AD27" i="129"/>
  <c r="AC27" i="129"/>
  <c r="AB27" i="129"/>
  <c r="AA27" i="129"/>
  <c r="Z27" i="129"/>
  <c r="Y27" i="129"/>
  <c r="X27" i="129"/>
  <c r="T23" i="129"/>
  <c r="T13" i="129"/>
  <c r="T11" i="129"/>
  <c r="T10" i="129"/>
  <c r="T4" i="129"/>
  <c r="K21" i="128"/>
  <c r="T21" i="128" s="1"/>
  <c r="K22" i="128"/>
  <c r="T22" i="128" s="1"/>
  <c r="K23" i="128"/>
  <c r="T23" i="128" s="1"/>
  <c r="K24" i="128"/>
  <c r="T24" i="128" s="1"/>
  <c r="K25" i="128"/>
  <c r="K26" i="128"/>
  <c r="K20" i="128"/>
  <c r="T20" i="128" s="1"/>
  <c r="K19" i="128"/>
  <c r="T19" i="128" s="1"/>
  <c r="K18" i="128"/>
  <c r="T18" i="128" s="1"/>
  <c r="K17" i="128"/>
  <c r="T17" i="128" s="1"/>
  <c r="K16" i="128"/>
  <c r="T16" i="128" s="1"/>
  <c r="K15" i="128"/>
  <c r="T15" i="128" s="1"/>
  <c r="K14" i="128"/>
  <c r="T14" i="128" s="1"/>
  <c r="K13" i="128"/>
  <c r="T13" i="128" s="1"/>
  <c r="K12" i="128"/>
  <c r="T12" i="128" s="1"/>
  <c r="K11" i="128"/>
  <c r="T11" i="128" s="1"/>
  <c r="K10" i="128"/>
  <c r="T10" i="128" s="1"/>
  <c r="K9" i="128"/>
  <c r="T9" i="128" s="1"/>
  <c r="K8" i="128"/>
  <c r="T8" i="128" s="1"/>
  <c r="K7" i="128"/>
  <c r="T7" i="128" s="1"/>
  <c r="K6" i="128"/>
  <c r="T6" i="128" s="1"/>
  <c r="K5" i="128"/>
  <c r="K4" i="128"/>
  <c r="T4" i="128" s="1"/>
  <c r="AL27" i="128"/>
  <c r="AK27" i="128"/>
  <c r="AJ27" i="128"/>
  <c r="AI27" i="128"/>
  <c r="AH27" i="128"/>
  <c r="AG27" i="128"/>
  <c r="AF27" i="128"/>
  <c r="AE27" i="128"/>
  <c r="AD27" i="128"/>
  <c r="AC27" i="128"/>
  <c r="T26" i="128"/>
  <c r="T25" i="128"/>
  <c r="K21" i="127"/>
  <c r="T21" i="127" s="1"/>
  <c r="K22" i="127"/>
  <c r="T22" i="127" s="1"/>
  <c r="K23" i="127"/>
  <c r="K24" i="127"/>
  <c r="K25" i="127"/>
  <c r="K26" i="127"/>
  <c r="K20" i="127"/>
  <c r="T20" i="127" s="1"/>
  <c r="K19" i="127"/>
  <c r="T19" i="127" s="1"/>
  <c r="K18" i="127"/>
  <c r="T18" i="127" s="1"/>
  <c r="K17" i="127"/>
  <c r="T17" i="127" s="1"/>
  <c r="K16" i="127"/>
  <c r="T16" i="127" s="1"/>
  <c r="K15" i="127"/>
  <c r="T15" i="127" s="1"/>
  <c r="T14" i="127"/>
  <c r="T13" i="127"/>
  <c r="T12" i="127"/>
  <c r="T11" i="127"/>
  <c r="T10" i="127"/>
  <c r="T9" i="127"/>
  <c r="K8" i="127"/>
  <c r="T8" i="127" s="1"/>
  <c r="K7" i="127"/>
  <c r="T7" i="127" s="1"/>
  <c r="K6" i="127"/>
  <c r="T6" i="127" s="1"/>
  <c r="K5" i="127"/>
  <c r="T5" i="127" s="1"/>
  <c r="K4" i="127"/>
  <c r="T4" i="127" s="1"/>
  <c r="AL27" i="127"/>
  <c r="AK27" i="127"/>
  <c r="AJ27" i="127"/>
  <c r="AI27" i="127"/>
  <c r="AH27" i="127"/>
  <c r="AG27" i="127"/>
  <c r="AF27" i="127"/>
  <c r="AE27" i="127"/>
  <c r="AD27" i="127"/>
  <c r="AC27" i="127"/>
  <c r="AB27" i="127"/>
  <c r="AA27" i="127"/>
  <c r="Z27" i="127"/>
  <c r="Y27" i="127"/>
  <c r="X27" i="127"/>
  <c r="W27" i="127"/>
  <c r="V27" i="127"/>
  <c r="T26" i="127"/>
  <c r="T25" i="127"/>
  <c r="T24" i="127"/>
  <c r="T23" i="127"/>
  <c r="K22" i="126"/>
  <c r="K23" i="126"/>
  <c r="T23" i="126" s="1"/>
  <c r="K24" i="126"/>
  <c r="T24" i="126" s="1"/>
  <c r="K25" i="126"/>
  <c r="T25" i="126" s="1"/>
  <c r="K26" i="126"/>
  <c r="K21" i="126"/>
  <c r="T21" i="126" s="1"/>
  <c r="K20" i="126"/>
  <c r="T20" i="126" s="1"/>
  <c r="K19" i="126"/>
  <c r="K18" i="126"/>
  <c r="K17" i="126"/>
  <c r="T17" i="126" s="1"/>
  <c r="K16" i="126"/>
  <c r="K15" i="126"/>
  <c r="T15" i="126" s="1"/>
  <c r="K14" i="126"/>
  <c r="T14" i="126" s="1"/>
  <c r="K13" i="126"/>
  <c r="T13" i="126" s="1"/>
  <c r="K12" i="126"/>
  <c r="T12" i="126" s="1"/>
  <c r="K11" i="126"/>
  <c r="T11" i="126" s="1"/>
  <c r="K10" i="126"/>
  <c r="T10" i="126" s="1"/>
  <c r="K9" i="126"/>
  <c r="T9" i="126" s="1"/>
  <c r="K8" i="126"/>
  <c r="T8" i="126" s="1"/>
  <c r="K7" i="126"/>
  <c r="K6" i="126"/>
  <c r="T6" i="126" s="1"/>
  <c r="K5" i="126"/>
  <c r="T5" i="126" s="1"/>
  <c r="K4" i="126"/>
  <c r="T4" i="126" s="1"/>
  <c r="AL27" i="126"/>
  <c r="AK27" i="126"/>
  <c r="AJ27" i="126"/>
  <c r="AI27" i="126"/>
  <c r="AH27" i="126"/>
  <c r="AG27" i="126"/>
  <c r="AF27" i="126"/>
  <c r="AE27" i="126"/>
  <c r="AD27" i="126"/>
  <c r="AC27" i="126"/>
  <c r="AB27" i="126"/>
  <c r="AA27" i="126"/>
  <c r="Z27" i="126"/>
  <c r="Y27" i="126"/>
  <c r="T26" i="126"/>
  <c r="T22" i="126"/>
  <c r="T19" i="126"/>
  <c r="T18" i="126"/>
  <c r="T16" i="126"/>
  <c r="T7" i="126"/>
  <c r="K21" i="125"/>
  <c r="T21" i="125" s="1"/>
  <c r="K22" i="125"/>
  <c r="T22" i="125" s="1"/>
  <c r="K23" i="125"/>
  <c r="T23" i="125" s="1"/>
  <c r="K24" i="125"/>
  <c r="T24" i="125" s="1"/>
  <c r="K25" i="125"/>
  <c r="T25" i="125" s="1"/>
  <c r="K26" i="125"/>
  <c r="K20" i="125"/>
  <c r="K19" i="125"/>
  <c r="K18" i="125"/>
  <c r="T18" i="125" s="1"/>
  <c r="K17" i="125"/>
  <c r="T17" i="125" s="1"/>
  <c r="K16" i="125"/>
  <c r="K15" i="125"/>
  <c r="T15" i="125" s="1"/>
  <c r="K14" i="125"/>
  <c r="K13" i="125"/>
  <c r="T13" i="125" s="1"/>
  <c r="K12" i="125"/>
  <c r="K11" i="125"/>
  <c r="T11" i="125" s="1"/>
  <c r="K10" i="125"/>
  <c r="T10" i="125" s="1"/>
  <c r="K9" i="125"/>
  <c r="T9" i="125" s="1"/>
  <c r="K8" i="125"/>
  <c r="K7" i="125"/>
  <c r="T7" i="125" s="1"/>
  <c r="K6" i="125"/>
  <c r="T6" i="125" s="1"/>
  <c r="K5" i="125"/>
  <c r="T5" i="125" s="1"/>
  <c r="K4" i="125"/>
  <c r="T4" i="125" s="1"/>
  <c r="AL27" i="125"/>
  <c r="AK27" i="125"/>
  <c r="AJ27" i="125"/>
  <c r="AI27" i="125"/>
  <c r="AH27" i="125"/>
  <c r="AG27" i="125"/>
  <c r="AF27" i="125"/>
  <c r="AE27" i="125"/>
  <c r="AD27" i="125"/>
  <c r="AC27" i="125"/>
  <c r="AB27" i="125"/>
  <c r="AA27" i="125"/>
  <c r="Z27" i="125"/>
  <c r="Y27" i="125"/>
  <c r="X27" i="125"/>
  <c r="W27" i="125"/>
  <c r="V27" i="125"/>
  <c r="T26" i="125"/>
  <c r="T20" i="125"/>
  <c r="T19" i="125"/>
  <c r="T16" i="125"/>
  <c r="T14" i="125"/>
  <c r="T12" i="125"/>
  <c r="K19" i="124"/>
  <c r="T19" i="124" s="1"/>
  <c r="K20" i="124"/>
  <c r="T20" i="124" s="1"/>
  <c r="K21" i="124"/>
  <c r="T21" i="124" s="1"/>
  <c r="K22" i="124"/>
  <c r="T22" i="124" s="1"/>
  <c r="K23" i="124"/>
  <c r="K24" i="124"/>
  <c r="K25" i="124"/>
  <c r="T25" i="124" s="1"/>
  <c r="K26" i="124"/>
  <c r="T26" i="124" s="1"/>
  <c r="K18" i="124"/>
  <c r="T18" i="124" s="1"/>
  <c r="K17" i="124"/>
  <c r="T17" i="124" s="1"/>
  <c r="K16" i="124"/>
  <c r="K15" i="124"/>
  <c r="T15" i="124" s="1"/>
  <c r="K14" i="124"/>
  <c r="K13" i="124"/>
  <c r="T13" i="124" s="1"/>
  <c r="K12" i="124"/>
  <c r="T12" i="124" s="1"/>
  <c r="K11" i="124"/>
  <c r="T11" i="124" s="1"/>
  <c r="K10" i="124"/>
  <c r="K9" i="124"/>
  <c r="T9" i="124" s="1"/>
  <c r="K5" i="124"/>
  <c r="T5" i="124" s="1"/>
  <c r="K6" i="124"/>
  <c r="T6" i="124" s="1"/>
  <c r="K7" i="124"/>
  <c r="T7" i="124" s="1"/>
  <c r="K8" i="124"/>
  <c r="T8" i="124" s="1"/>
  <c r="K4" i="124"/>
  <c r="AL27" i="124"/>
  <c r="AK27" i="124"/>
  <c r="AJ27" i="124"/>
  <c r="AI27" i="124"/>
  <c r="AH27" i="124"/>
  <c r="AG27" i="124"/>
  <c r="AF27" i="124"/>
  <c r="AE27" i="124"/>
  <c r="AD27" i="124"/>
  <c r="AC27" i="124"/>
  <c r="AB27" i="124"/>
  <c r="AA27" i="124"/>
  <c r="Z27" i="124"/>
  <c r="Y27" i="124"/>
  <c r="X27" i="124"/>
  <c r="W27" i="124"/>
  <c r="V27" i="124"/>
  <c r="T24" i="124"/>
  <c r="T23" i="124"/>
  <c r="T16" i="124"/>
  <c r="T14" i="124"/>
  <c r="T10" i="124"/>
  <c r="T9" i="123"/>
  <c r="K10" i="123"/>
  <c r="T10" i="123" s="1"/>
  <c r="K11" i="123"/>
  <c r="T11" i="123" s="1"/>
  <c r="K12" i="123"/>
  <c r="T12" i="123" s="1"/>
  <c r="K13" i="123"/>
  <c r="K14" i="123"/>
  <c r="T14" i="123" s="1"/>
  <c r="K15" i="123"/>
  <c r="T15" i="123" s="1"/>
  <c r="K16" i="123"/>
  <c r="T16" i="123" s="1"/>
  <c r="K17" i="123"/>
  <c r="T17" i="123" s="1"/>
  <c r="K18" i="123"/>
  <c r="K19" i="123"/>
  <c r="K20" i="123"/>
  <c r="T20" i="123" s="1"/>
  <c r="K21" i="123"/>
  <c r="T21" i="123" s="1"/>
  <c r="K22" i="123"/>
  <c r="T22" i="123" s="1"/>
  <c r="K23" i="123"/>
  <c r="K24" i="123"/>
  <c r="T24" i="123" s="1"/>
  <c r="K25" i="123"/>
  <c r="T25" i="123" s="1"/>
  <c r="K26" i="123"/>
  <c r="K8" i="123"/>
  <c r="T8" i="123" s="1"/>
  <c r="K7" i="123"/>
  <c r="K6" i="123"/>
  <c r="T6" i="123" s="1"/>
  <c r="K5" i="123"/>
  <c r="T5" i="123" s="1"/>
  <c r="K4" i="123"/>
  <c r="AL27" i="123"/>
  <c r="AK27" i="123"/>
  <c r="AJ27" i="123"/>
  <c r="AI27" i="123"/>
  <c r="AH27" i="123"/>
  <c r="AG27" i="123"/>
  <c r="AF27" i="123"/>
  <c r="AE27" i="123"/>
  <c r="AD27" i="123"/>
  <c r="AC27" i="123"/>
  <c r="AB27" i="123"/>
  <c r="AA27" i="123"/>
  <c r="Z27" i="123"/>
  <c r="Y27" i="123"/>
  <c r="X27" i="123"/>
  <c r="W27" i="123"/>
  <c r="V27" i="123"/>
  <c r="U27" i="123"/>
  <c r="T26" i="123"/>
  <c r="T23" i="123"/>
  <c r="T19" i="123"/>
  <c r="T18" i="123"/>
  <c r="T13" i="123"/>
  <c r="T7" i="123"/>
  <c r="K21" i="113"/>
  <c r="K22" i="113"/>
  <c r="K23" i="113"/>
  <c r="K24" i="113"/>
  <c r="K25" i="113"/>
  <c r="K26" i="113"/>
  <c r="K20" i="113"/>
  <c r="K19" i="113"/>
  <c r="K18" i="113"/>
  <c r="K17" i="113"/>
  <c r="K16" i="113"/>
  <c r="K15" i="113"/>
  <c r="K14" i="113"/>
  <c r="K13" i="113"/>
  <c r="K12" i="113"/>
  <c r="K11" i="113"/>
  <c r="K10" i="113"/>
  <c r="K8" i="113"/>
  <c r="K7" i="113"/>
  <c r="K6" i="113"/>
  <c r="K5" i="113"/>
  <c r="K4" i="113"/>
  <c r="G4" i="91" s="1"/>
  <c r="V27" i="113"/>
  <c r="W27" i="113"/>
  <c r="X27" i="113"/>
  <c r="Y27" i="113"/>
  <c r="Z27" i="113"/>
  <c r="AA27" i="113"/>
  <c r="AB27" i="113"/>
  <c r="AC27" i="113"/>
  <c r="AD27" i="113"/>
  <c r="AE27" i="113"/>
  <c r="AF27" i="113"/>
  <c r="AG27" i="113"/>
  <c r="AH27" i="113"/>
  <c r="AI27" i="113"/>
  <c r="AJ27" i="113"/>
  <c r="AK27" i="113"/>
  <c r="AL27" i="113"/>
  <c r="G10" i="91" l="1"/>
  <c r="G6" i="91"/>
  <c r="G14" i="91"/>
  <c r="G20" i="91"/>
  <c r="G21" i="91"/>
  <c r="G9" i="91"/>
  <c r="G15" i="91"/>
  <c r="G26" i="91"/>
  <c r="G16" i="91"/>
  <c r="G25" i="91"/>
  <c r="G5" i="91"/>
  <c r="G17" i="91"/>
  <c r="G24" i="91"/>
  <c r="T26" i="113"/>
  <c r="G18" i="91"/>
  <c r="T25" i="113"/>
  <c r="G11" i="91"/>
  <c r="G12" i="91"/>
  <c r="G7" i="91"/>
  <c r="G13" i="91"/>
  <c r="G19" i="91"/>
  <c r="G22" i="91"/>
  <c r="G23" i="91"/>
  <c r="G8" i="91"/>
  <c r="T4" i="131"/>
  <c r="T11" i="131"/>
  <c r="T5" i="130"/>
  <c r="T5" i="128"/>
  <c r="T8" i="125"/>
  <c r="T4" i="124"/>
  <c r="T4" i="123"/>
  <c r="I26" i="91" l="1"/>
  <c r="L26" i="91" s="1"/>
  <c r="G27" i="91"/>
  <c r="I25" i="91"/>
  <c r="L25" i="91" s="1"/>
  <c r="M24" i="91"/>
  <c r="M25" i="91"/>
  <c r="G30" i="91"/>
  <c r="M23" i="91" l="1"/>
  <c r="G29" i="91"/>
  <c r="M26" i="91" l="1"/>
  <c r="I13" i="91" l="1"/>
  <c r="L13" i="91" s="1"/>
  <c r="I14" i="91"/>
  <c r="L14" i="91" s="1"/>
  <c r="I15" i="91"/>
  <c r="L15" i="91" s="1"/>
  <c r="I16" i="91"/>
  <c r="L16" i="91" s="1"/>
  <c r="I17" i="91"/>
  <c r="L17" i="91" s="1"/>
  <c r="T17" i="113" l="1"/>
  <c r="T16" i="113"/>
  <c r="T15" i="113"/>
  <c r="T14" i="113"/>
  <c r="T13" i="113"/>
  <c r="M14" i="91"/>
  <c r="M5" i="91" l="1"/>
  <c r="M6" i="91"/>
  <c r="M10" i="91"/>
  <c r="M16" i="91"/>
  <c r="M17" i="91"/>
  <c r="M20" i="91"/>
  <c r="M22" i="91" l="1"/>
  <c r="M9" i="91"/>
  <c r="M13" i="91"/>
  <c r="M21" i="91"/>
  <c r="M19" i="91"/>
  <c r="M15" i="91"/>
  <c r="M12" i="91"/>
  <c r="M8" i="91"/>
  <c r="M18" i="91"/>
  <c r="M11" i="91"/>
  <c r="M7" i="91"/>
  <c r="G31" i="91"/>
  <c r="I5" i="91"/>
  <c r="L5" i="91" s="1"/>
  <c r="I6" i="91"/>
  <c r="L6" i="91" s="1"/>
  <c r="I7" i="91"/>
  <c r="L7" i="91" s="1"/>
  <c r="I8" i="91"/>
  <c r="L8" i="91" s="1"/>
  <c r="I9" i="91"/>
  <c r="L9" i="91" s="1"/>
  <c r="I10" i="91"/>
  <c r="L10" i="91" s="1"/>
  <c r="I11" i="91"/>
  <c r="L11" i="91" s="1"/>
  <c r="I12" i="91"/>
  <c r="L12" i="91" s="1"/>
  <c r="I18" i="91"/>
  <c r="L18" i="91" s="1"/>
  <c r="I19" i="91"/>
  <c r="L19" i="91" s="1"/>
  <c r="I20" i="91"/>
  <c r="L20" i="91" s="1"/>
  <c r="I22" i="91"/>
  <c r="L22" i="91" s="1"/>
  <c r="I23" i="91"/>
  <c r="L23" i="91" s="1"/>
  <c r="I24" i="91"/>
  <c r="L24" i="91" s="1"/>
  <c r="I4" i="91"/>
  <c r="L4" i="91" s="1"/>
  <c r="I21" i="91" l="1"/>
  <c r="L21" i="91" s="1"/>
  <c r="O25" i="91"/>
  <c r="O23" i="91"/>
  <c r="O26" i="91"/>
  <c r="O24" i="91"/>
  <c r="O19" i="91"/>
  <c r="O14" i="91"/>
  <c r="T11" i="113"/>
  <c r="O17" i="91"/>
  <c r="T10" i="113"/>
  <c r="T6" i="113"/>
  <c r="O20" i="91"/>
  <c r="T18" i="113"/>
  <c r="T9" i="113"/>
  <c r="T5" i="113"/>
  <c r="T24" i="113"/>
  <c r="T20" i="113"/>
  <c r="T7" i="113"/>
  <c r="T4" i="113"/>
  <c r="T19" i="113"/>
  <c r="T12" i="113"/>
  <c r="T8" i="113"/>
  <c r="T23" i="113"/>
  <c r="T22" i="113"/>
  <c r="T21" i="113"/>
  <c r="I27" i="91" l="1"/>
  <c r="O16" i="91"/>
  <c r="O5" i="91"/>
  <c r="O10" i="91"/>
  <c r="O15" i="91"/>
  <c r="O7" i="91"/>
  <c r="O9" i="91"/>
  <c r="O6" i="91"/>
  <c r="O11" i="91"/>
  <c r="O13" i="91"/>
  <c r="O22" i="91"/>
  <c r="O8" i="91"/>
  <c r="O18" i="91"/>
  <c r="O12" i="91"/>
  <c r="O21" i="91"/>
  <c r="M4" i="91" l="1"/>
  <c r="M27" i="91" s="1"/>
  <c r="O32" i="91" l="1"/>
  <c r="O4" i="91"/>
  <c r="O27" i="91" s="1"/>
  <c r="O33" i="91" l="1"/>
  <c r="O35" i="91" s="1"/>
  <c r="L27" i="9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9" authorId="0" shapeId="0" xr:uid="{85C70226-5345-4B41-895A-B2E4DD07270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16/09/2024: CEDIDO AO MUSEU: 24,40.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9" authorId="0" shapeId="0" xr:uid="{F49340B5-A73C-4DE7-8F39-8BD4AEC2917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16/09/2024: RECEBIDO DO SEMS: 24,40.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9" authorId="0" shapeId="0" xr:uid="{545B6922-158E-4922-A859-C2199377789D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16/01/2025: CEDIDO AO CEFID</t>
        </r>
      </text>
    </comment>
    <comment ref="N10" authorId="0" shapeId="0" xr:uid="{BB056396-1A0D-4DAA-8407-F3099559EF6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16/01/2025: CEDIDO AO CEFID</t>
        </r>
      </text>
    </comment>
    <comment ref="N11" authorId="0" shapeId="0" xr:uid="{A48B04F6-591A-4D64-99D7-7D398B4DAE4B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16/01/2025: CEDIDO AO CEFID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9" authorId="0" shapeId="0" xr:uid="{23DA64E9-E00A-407E-AA0F-D2940DB1CFE4}">
      <text>
        <r>
          <rPr>
            <b/>
            <sz val="10"/>
            <color indexed="81"/>
            <rFont val="Segoe UI"/>
            <charset val="1"/>
          </rPr>
          <t>LETÍCIA-SEGECON/FPOLIS:</t>
        </r>
        <r>
          <rPr>
            <sz val="10"/>
            <color indexed="81"/>
            <rFont val="Segoe UI"/>
            <charset val="1"/>
          </rPr>
          <t xml:space="preserve">
07/11/2024: RECEBIDO DO CEART: 125.
08/11/2024: RECEBIDO DA ESAG: 250.</t>
        </r>
      </text>
    </comment>
    <comment ref="N10" authorId="0" shapeId="0" xr:uid="{C91F65A6-6634-4128-94B1-FAE84572A33C}">
      <text>
        <r>
          <rPr>
            <b/>
            <sz val="10"/>
            <color indexed="81"/>
            <rFont val="Segoe UI"/>
            <charset val="1"/>
          </rPr>
          <t>LETÍCIA-SEGECON/FPOLIS:</t>
        </r>
        <r>
          <rPr>
            <sz val="10"/>
            <color indexed="81"/>
            <rFont val="Segoe UI"/>
            <charset val="1"/>
          </rPr>
          <t xml:space="preserve">
07/11/2024: RECEBIDO DO CEART: 70.
08/11/2024: RECEBIDO DA ESAG: 200.</t>
        </r>
      </text>
    </comment>
    <comment ref="N11" authorId="0" shapeId="0" xr:uid="{6457F0DB-97B9-49C3-879F-32E76B4D8DC0}">
      <text>
        <r>
          <rPr>
            <b/>
            <sz val="10"/>
            <color indexed="81"/>
            <rFont val="Segoe UI"/>
            <charset val="1"/>
          </rPr>
          <t>LETÍCIA-SEGECON/FPOLIS:</t>
        </r>
        <r>
          <rPr>
            <sz val="10"/>
            <color indexed="81"/>
            <rFont val="Segoe UI"/>
            <charset val="1"/>
          </rPr>
          <t xml:space="preserve">
07/11/2024: RECEBIDO DO CEART: 05.</t>
        </r>
      </text>
    </comment>
    <comment ref="N12" authorId="0" shapeId="0" xr:uid="{EDD0DC51-4238-4F76-A7C3-DC0B17C31978}">
      <text>
        <r>
          <rPr>
            <b/>
            <sz val="10"/>
            <color indexed="81"/>
            <rFont val="Segoe UI"/>
            <charset val="1"/>
          </rPr>
          <t>LETÍCIA-SEGECON/FPOLIS:</t>
        </r>
        <r>
          <rPr>
            <sz val="10"/>
            <color indexed="81"/>
            <rFont val="Segoe UI"/>
            <charset val="1"/>
          </rPr>
          <t xml:space="preserve">
07/11/2024: RECEBIDO DO CEART: 04.
08/11/2024: RECEBIDO DA ESAG: 10.</t>
        </r>
      </text>
    </comment>
    <comment ref="N13" authorId="0" shapeId="0" xr:uid="{24428AFB-3985-4DF5-994E-DCCC91EB9B21}">
      <text>
        <r>
          <rPr>
            <b/>
            <sz val="10"/>
            <color indexed="81"/>
            <rFont val="Segoe UI"/>
            <charset val="1"/>
          </rPr>
          <t>LETÍCIA-SEGECON/FPOLIS:</t>
        </r>
        <r>
          <rPr>
            <sz val="10"/>
            <color indexed="81"/>
            <rFont val="Segoe UI"/>
            <charset val="1"/>
          </rPr>
          <t xml:space="preserve">
07/11/2024: RECEBIDO DO CEART: 75.
08/11/2024: RECEBIDO DA ESAG: 300.</t>
        </r>
      </text>
    </comment>
    <comment ref="N14" authorId="0" shapeId="0" xr:uid="{655B94EC-9D24-4850-AF31-D5ABDD1C9EA5}">
      <text>
        <r>
          <rPr>
            <b/>
            <sz val="10"/>
            <color indexed="81"/>
            <rFont val="Segoe UI"/>
            <charset val="1"/>
          </rPr>
          <t>LETÍCIA-SEGECON/FPOLIS:</t>
        </r>
        <r>
          <rPr>
            <sz val="10"/>
            <color indexed="81"/>
            <rFont val="Segoe UI"/>
            <charset val="1"/>
          </rPr>
          <t xml:space="preserve">
07/11/2024: RECEBIDO DO CEART: 185.
08/11/2024: RECEBIDO DA ESAG: 300.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9" authorId="0" shapeId="0" xr:uid="{A2C9CA3C-C3B5-4803-967C-DBD94BBF1E00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16/01/2025: RECEBIDO DO CESFI.</t>
        </r>
      </text>
    </comment>
    <comment ref="N10" authorId="0" shapeId="0" xr:uid="{E18E8075-14B6-4F84-8FDF-17DCE3AECA2C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16/01/2025: RECEBIDO DO CESFI.</t>
        </r>
      </text>
    </comment>
    <comment ref="N11" authorId="0" shapeId="0" xr:uid="{F56CF97A-5588-45A3-B7AE-83C8FB8D1F98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16/01/2025: RECEBIDO DO CESFI.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9" authorId="0" shapeId="0" xr:uid="{5DB6E493-2822-42ED-B6D6-C51414B71E5C}">
      <text>
        <r>
          <rPr>
            <b/>
            <sz val="10"/>
            <color indexed="81"/>
            <rFont val="Segoe UI"/>
            <charset val="1"/>
          </rPr>
          <t>LETÍCIA-SEGECON/FPOLIS:</t>
        </r>
        <r>
          <rPr>
            <sz val="10"/>
            <color indexed="81"/>
            <rFont val="Segoe UI"/>
            <charset val="1"/>
          </rPr>
          <t xml:space="preserve">
08/11/2024: CEDIDO AO CERES: 250.</t>
        </r>
      </text>
    </comment>
    <comment ref="N12" authorId="0" shapeId="0" xr:uid="{4352A1AF-AE7A-4269-8919-A3AA77E4CDBA}">
      <text>
        <r>
          <rPr>
            <b/>
            <sz val="10"/>
            <color indexed="81"/>
            <rFont val="Segoe UI"/>
            <charset val="1"/>
          </rPr>
          <t>LETÍCIA-SEGECON/FPOLIS:</t>
        </r>
        <r>
          <rPr>
            <sz val="10"/>
            <color indexed="81"/>
            <rFont val="Segoe UI"/>
            <charset val="1"/>
          </rPr>
          <t xml:space="preserve">
08/11/2024: CEDIDO AO CERES: 10.</t>
        </r>
      </text>
    </comment>
    <comment ref="N13" authorId="0" shapeId="0" xr:uid="{12A2B50E-BC05-4E13-8547-C632FC049FB7}">
      <text>
        <r>
          <rPr>
            <b/>
            <sz val="10"/>
            <color indexed="81"/>
            <rFont val="Segoe UI"/>
            <charset val="1"/>
          </rPr>
          <t>LETÍCIA-SEGECON/FPOLIS:</t>
        </r>
        <r>
          <rPr>
            <sz val="10"/>
            <color indexed="81"/>
            <rFont val="Segoe UI"/>
            <charset val="1"/>
          </rPr>
          <t xml:space="preserve">
08/11/2024: CEDIDO AO CERES: 300.</t>
        </r>
      </text>
    </comment>
    <comment ref="N14" authorId="0" shapeId="0" xr:uid="{F96D3314-48F1-40B3-B16F-36F833DB463F}">
      <text>
        <r>
          <rPr>
            <b/>
            <sz val="10"/>
            <color indexed="81"/>
            <rFont val="Segoe UI"/>
            <charset val="1"/>
          </rPr>
          <t>LETÍCIA-SEGECON/FPOLIS:</t>
        </r>
        <r>
          <rPr>
            <sz val="10"/>
            <color indexed="81"/>
            <rFont val="Segoe UI"/>
            <charset val="1"/>
          </rPr>
          <t xml:space="preserve">
08/11/2024: CEDIDO AO CERES: 300.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9" authorId="0" shapeId="0" xr:uid="{F3412CB5-B1D6-405C-950E-8915DFF14AC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CEDIDO AO CERES: 125.</t>
        </r>
      </text>
    </comment>
    <comment ref="N10" authorId="0" shapeId="0" xr:uid="{6A127A9A-766A-4CD0-B09C-0AAB41813D4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CEDIDO AO CERES: 70.</t>
        </r>
      </text>
    </comment>
    <comment ref="N11" authorId="0" shapeId="0" xr:uid="{2CC9B929-2C07-4BF1-85C9-472358EE7C8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CEDIDO AO CERES: 05.</t>
        </r>
      </text>
    </comment>
    <comment ref="N12" authorId="0" shapeId="0" xr:uid="{93FA829F-E7DA-4778-BACC-103FC3BFE40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CEDIDO AO CERES: : 04.</t>
        </r>
      </text>
    </comment>
    <comment ref="N13" authorId="0" shapeId="0" xr:uid="{F78F4367-B83B-4A76-AA17-71828935D16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CEDIDO AO CERES: 75.</t>
        </r>
      </text>
    </comment>
    <comment ref="N14" authorId="0" shapeId="0" xr:uid="{ECD4B3AB-AB93-4835-B794-654F17E595F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CEDIDO AO CERES: 185.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F3" authorId="0" shapeId="0" xr:uid="{146811CD-22EE-46B0-B906-5DB2D3F7D98A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sharedStrings.xml><?xml version="1.0" encoding="utf-8"?>
<sst xmlns="http://schemas.openxmlformats.org/spreadsheetml/2006/main" count="2317" uniqueCount="194">
  <si>
    <t>Saldo / Automático</t>
  </si>
  <si>
    <t>...../...../......</t>
  </si>
  <si>
    <t>ALERTA</t>
  </si>
  <si>
    <t>Item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</si>
  <si>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</si>
  <si>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</si>
  <si>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</si>
  <si>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</si>
  <si>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</si>
  <si>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</si>
  <si>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</si>
  <si>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</si>
  <si>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</si>
  <si>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</si>
  <si>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m²</t>
  </si>
  <si>
    <t>339030.24</t>
  </si>
  <si>
    <t>339039.16</t>
  </si>
  <si>
    <t>02387-6-013</t>
  </si>
  <si>
    <t>02590-9-008</t>
  </si>
  <si>
    <t>03960-8-048</t>
  </si>
  <si>
    <t>03027-9-027</t>
  </si>
  <si>
    <t>03027-9-005</t>
  </si>
  <si>
    <t>03027-9-028</t>
  </si>
  <si>
    <t>07626-0-008</t>
  </si>
  <si>
    <t>Peça</t>
  </si>
  <si>
    <t>11073-6-014</t>
  </si>
  <si>
    <t>12254-8-003</t>
  </si>
  <si>
    <t>Empresa</t>
  </si>
  <si>
    <t>Descrição</t>
  </si>
  <si>
    <t>Marca/Modelo</t>
  </si>
  <si>
    <t>Código NUC</t>
  </si>
  <si>
    <t>Detalhamento</t>
  </si>
  <si>
    <t>50073 0 001</t>
  </si>
  <si>
    <t>Serviço de desmontagem de divisórias em painéis com espessura de 35mm, miolo em colméia, estrutura em aço ou alumínio.</t>
  </si>
  <si>
    <t>Serviço de montagem de divisórias em painéis com espessura de 35mm, miolo em colméia, estrutura em aço ou alumínio.</t>
  </si>
  <si>
    <t>Tábua para deck em pinus tratado (autoclave) com nó de 3 X 9 X 300cm. Tratamento pelos métodos de Preservação determinados pela Norma NBR 7190, da ABNT, com classe de risco CR4, sob vácuo e pressão em Autoclave.</t>
  </si>
  <si>
    <r>
      <rPr>
        <b/>
        <sz val="11"/>
        <rFont val="Calibri"/>
        <family val="2"/>
        <scheme val="minor"/>
      </rPr>
      <t xml:space="preserve">OBJETO: </t>
    </r>
    <r>
      <rPr>
        <sz val="11"/>
        <rFont val="Calibri"/>
        <family val="2"/>
        <scheme val="minor"/>
      </rPr>
      <t>AQUISIÇÃO DE DIVISÓRIAS, VIDROS, CORTINAS E SIMILARES PARA O CAMPUS I, CERES, CESFI E CEAVI PARA ATENDER ÀS NECESSIDADES DA UNIVERSIDADE DO ESTADO DE SANTA CATARINA (UDESC)</t>
    </r>
  </si>
  <si>
    <r>
      <rPr>
        <b/>
        <sz val="11"/>
        <rFont val="Calibri"/>
        <family val="2"/>
        <scheme val="minor"/>
      </rPr>
      <t>PE 0654/2024 SRP</t>
    </r>
    <r>
      <rPr>
        <sz val="11"/>
        <rFont val="Calibri"/>
        <family val="2"/>
        <scheme val="minor"/>
      </rPr>
      <t xml:space="preserve"> - (SGPE DE ORIGEM: 8475/2024)</t>
    </r>
  </si>
  <si>
    <r>
      <t>VIGÊNCIA DA ATA: 14/05/2024 a</t>
    </r>
    <r>
      <rPr>
        <b/>
        <sz val="11"/>
        <rFont val="Calibri"/>
        <family val="2"/>
        <scheme val="minor"/>
      </rPr>
      <t xml:space="preserve"> 14/05/2025</t>
    </r>
  </si>
  <si>
    <t xml:space="preserve"> AF/OS nº  xxxx/2024 (Quantidade)</t>
  </si>
  <si>
    <t>Lote</t>
  </si>
  <si>
    <t xml:space="preserve">Preço UNITÁRIO </t>
  </si>
  <si>
    <t>Grupo-Classe</t>
  </si>
  <si>
    <t>OBS:</t>
  </si>
  <si>
    <t>LOTE 07 - DESERTO</t>
  </si>
  <si>
    <t>Cebrace/Espelho</t>
  </si>
  <si>
    <t>45-03</t>
  </si>
  <si>
    <t>Cebrace/Vidro</t>
  </si>
  <si>
    <t>Eucatex/Conforme edital</t>
  </si>
  <si>
    <t>45-08</t>
  </si>
  <si>
    <t>02-30</t>
  </si>
  <si>
    <t>SUN/Protect</t>
  </si>
  <si>
    <t>45-06</t>
  </si>
  <si>
    <t>Própria/vertical blackout</t>
  </si>
  <si>
    <t>16-02</t>
  </si>
  <si>
    <t>Própria/vertical resinado</t>
  </si>
  <si>
    <t>Própria/PH HORIZONTAL 50 MM ALUMINIO</t>
  </si>
  <si>
    <t>Própria/PH HORIZONTAL 50 MM ALUMINIO BK</t>
  </si>
  <si>
    <t>Cortina manual em tecido blackout 100%, lavável, com cor a definir, fornecimento e fixação de varão trilho suíço deslizante na parede ou teto, rodízios deslizantes instalados, contendo franzimento de 2 vezes a metragem. (Para medida do m² será considerado a área a ser coberta e não a metragem de tecido utilizada, para cálculos da cotação utilizar altura média de 1,80m). Instaladas</t>
  </si>
  <si>
    <t>Própria/Cortina Tecido blackou</t>
  </si>
  <si>
    <t>12337-4-007</t>
  </si>
  <si>
    <t xml:space="preserve">Persiana em rolo. Acionamento manual, com opção de montagem bilateral.; tipo tela solar, produzida em fibra de vidro e PVC antichama; atóxica; translúcida; fator de abertura de 5%; espessura mínima 0,5mm; largura máxima 2,0m; bloqueio mínimo de 90% de raios UV; lavável; com estabilidade dimensional (não estica ou deforma com as variações de temperatura). Com tubo enrolador e perfil inferior em alumínio; acionamento por corrente tipo standard com cordão de poliéster; enrolamento padrão (tecido recolhido por trás do tubo enrolador); cores preferenciais branca ou bege/off-white, ou cinza claro. O produto deverá ser instalado pelo fornecedor, sendo admitidos vãos (frestas) de até 4cm entre cortinas instaladas lado a lado. Garantia mínima 1 ano da cortina, sobre defeitos de fabricação ou vicio oculto. </t>
  </si>
  <si>
    <t>Quevedo/Rolo</t>
  </si>
  <si>
    <t>12254-8-005</t>
  </si>
  <si>
    <t>Cortina em tecido poliéster corta luz/blackout, ilhós, com 01 varão, instalada, em dimensões aproximadas em 2m(L) x 1,60m (A). Instalação contratada por metro quadrado com mão-de-obra. O valor da confecção compreende o valor global do metro quadrado, incluindo mão de obra de instalação e os acessórios/peças necessários.</t>
  </si>
  <si>
    <t>Própria/Própria</t>
  </si>
  <si>
    <t>12337-4-012</t>
  </si>
  <si>
    <t>Cortina com tecido Corta Luz/ Blackout liso, composição 100% poliéster lavável. Sistema “trilho suíço branco uma via”, ou superior. Cor a ser definida, com possibilidade de troca de cor, em comum acordo das partes – desde que não altere o valor do metro proposto. Dimensões aproximadas em 2m (L) x 1,60m (A). Instalação contratada por metro quadrado. O valor da confecção compreende o valor global do metro quadrado, incluindo mão de obra de instalação e os acessórios necessários (tecidos, trilhos necessários, fixadores, deslizantes, terminal, entre outros)</t>
  </si>
  <si>
    <t>Própria/	CORTINA CORTA LUZ BLACKOUT</t>
  </si>
  <si>
    <t>Cortina ROLO BlackOut, tecido vinílico, pode ser enrolada ou desenrolada num tubo superior e desta forma pode ser recolhida totalmente. Dimensões aproximadas em 2m (L) x 1,60m (A). Instalação contratada por metro quadrado. O valor da confecção compreende o valor global do metro quadrado, incluindo mão de obra de instalação e os acessórios necessários.</t>
  </si>
  <si>
    <t>Amorim/CORTINA ROLO BLACKOUT</t>
  </si>
  <si>
    <t>12337-4-003</t>
  </si>
  <si>
    <t>M. Paulo Lopes/Deck/3 x 9 x 300cm</t>
  </si>
  <si>
    <t>02 30</t>
  </si>
  <si>
    <t>5678-2-017</t>
  </si>
  <si>
    <t>339030.16</t>
  </si>
  <si>
    <t xml:space="preserve">Toldo em chapa de policarbonato, curvo, para fixar em parede, cor cristal, em dimensões aproximadas de 70 cm x 120 cm, com no mínimo 4mm de espessura. Material de fixação em alumínio e plástico de engenharia. Composto por suportes e o toldo. Entrega em Florianópolis/SC, não necessita instalação. </t>
  </si>
  <si>
    <t>I. BRASIL/T.P.Curvo de Parede</t>
  </si>
  <si>
    <t>48 07</t>
  </si>
  <si>
    <t>2639-5-002</t>
  </si>
  <si>
    <t>GABRIEL FAGUNDES ZAMPIRON LTDA, CNPJ 25.136.411/0001-30</t>
  </si>
  <si>
    <t>DELDUQUE COMÉRCIO E SERVIÇOS LTDA, CNPJ 07.082.650/0001-72</t>
  </si>
  <si>
    <t>POPCOM UTILIDADES LTDA, CNPJ 50.388.770/0001-21</t>
  </si>
  <si>
    <t>DECORINTER INDÚSTRIA E COMÉRCIO LTDA, CNPJ 03.884.308/0001-35</t>
  </si>
  <si>
    <t>NOBRE PERSIANAS E DIVISÓRIAS LTDA, CNPJ 29.122.691/0001-88</t>
  </si>
  <si>
    <t>PERSIANAS SANTA CATARINA LTDA, CNPJ 00.991.023/0001-05</t>
  </si>
  <si>
    <t>NOBRE PERSIANAS E DIVISÓRIAS LTDA, CNPJ: 29.122.691/0001-88</t>
  </si>
  <si>
    <t>RAQUEL CARDOSO DIAS PENHA - ME, CNPJ 43.366.221/0001-90</t>
  </si>
  <si>
    <t>Espelho cristal 4mm. Instalado. Com moldura em alumínio e compensado 6mm plastificado colado. Considerar retirada do vidro existente se houver.</t>
  </si>
  <si>
    <r>
      <t>Vidro mini-boreal incolor, 3mm. Instalado</t>
    </r>
    <r>
      <rPr>
        <sz val="11"/>
        <color indexed="8"/>
        <rFont val="Calibri"/>
        <family val="2"/>
        <scheme val="minor"/>
      </rPr>
      <t>.</t>
    </r>
  </si>
  <si>
    <r>
      <t>Fornecimento e instalação</t>
    </r>
    <r>
      <rPr>
        <sz val="11"/>
        <color indexed="8"/>
        <rFont val="Calibri"/>
        <family val="2"/>
        <scheme val="minor"/>
      </rPr>
      <t xml:space="preserve"> de vidro liso 3mm, incolor, incluindo massa/filete de espuma em ambas as faces, acabamento e retirada do vidro e massa anterior se houver.</t>
    </r>
  </si>
  <si>
    <r>
      <t xml:space="preserve">Fornecimento e instalação </t>
    </r>
    <r>
      <rPr>
        <sz val="11"/>
        <color indexed="8"/>
        <rFont val="Calibri"/>
        <family val="2"/>
        <scheme val="minor"/>
      </rPr>
      <t>de vidro liso 4mm, incolor, incluindo massa/filete de espuma em ambas as faces, acabamento e retirada do vidro e massa anterior se houver.</t>
    </r>
  </si>
  <si>
    <r>
      <t>Fornecimento e instalaçã</t>
    </r>
    <r>
      <rPr>
        <sz val="11"/>
        <color indexed="8"/>
        <rFont val="Calibri"/>
        <family val="2"/>
        <scheme val="minor"/>
      </rPr>
      <t>o de vidro liso 5mm, incolor, incluindo massa/filete de espuma em ambas as faces, acabamento e retirada do vidro e massa anterior se houver.</t>
    </r>
  </si>
  <si>
    <r>
      <t xml:space="preserve">Fornecimento de divisórias em painéis com espessura de 35mm, com miolo em colméia em kraft de alta gramatura e estrutura em aço galvanizado com pintura em epóxi-poliester pó. Colocação programada e cor do painel a escolher. </t>
    </r>
    <r>
      <rPr>
        <sz val="11"/>
        <color indexed="8"/>
        <rFont val="Calibri"/>
        <family val="2"/>
        <scheme val="minor"/>
      </rPr>
      <t>Instalada.</t>
    </r>
  </si>
  <si>
    <r>
      <t>Fornecimento de divisórias em painéis com espessura de 35mm, com miolo em colméia em kraft de alta gramatura e estrutura em aço galvanizado com pintura em epóxi-poliester pó. Estrutura com Módulo de vidro de espessura mínima de 4mm (vidro incluido na cotação). Painel de divisórias e bandeira em vidro com altura a ser definido na AF, fazendo a estrutura ficar com "painel, vidro e painel" ou "painel e vidro". Colocação programada e cor a escolher.</t>
    </r>
    <r>
      <rPr>
        <sz val="11"/>
        <color indexed="8"/>
        <rFont val="Calibri"/>
        <family val="2"/>
        <scheme val="minor"/>
      </rPr>
      <t xml:space="preserve"> Instalado.</t>
    </r>
  </si>
  <si>
    <t>Porta de abrir eixo vertical, 90X210cm em painéis divisórias, cor a definir. Com miolo em colméia e estrutura em aço com pintura em epóxi na cor preta, bege ou branca, completa (com maçaneta, chave e dobradiças). Compatíveis com as divisórias existentes. Instalada.</t>
  </si>
  <si>
    <t>Porta para divisórias em painéis de espessura 35mm, com miolo tipo colméia em kraft de alta gramatura, estrutura em aço galvanizado, com pintura epóxi-poliester pó. Colocação programada e cor a definir. Medidas da porta: 0,80x2,10m. Instalada.</t>
  </si>
  <si>
    <t>Película profissional refletiva para redução de temperatura e de incidência dos raios UV. Instalada.</t>
  </si>
  <si>
    <t xml:space="preserve">Persiana vertical em tecido resinado RAMI natural com blackout em faixas de no mínimo 9cm, guias para abrir e fechar e mudança de posição (controle de entrada de luz) cor a definir, instalada. (para cálculos da cotação utilizar altura média de 1,60m). </t>
  </si>
  <si>
    <t xml:space="preserve">Persiana vertical em tecido resinado RAMI natural - em faixas de no mín. 9 cm, guias para abrir e fechar e mudança de posição (controle a entrada de luz). Cor a definir. Instalada. (para cálculos da cotação utilizar altura média de 1,60m). </t>
  </si>
  <si>
    <t>Persiana horizontal de alumínio com lâminas de 50mm, não-perfurada, que permita ser utilizada por meio de um cordão e haste. Completa, inclui todos os acessórios necessários para a sua instalação e funcionamento. Modelo de referência: Haste e Cordão/Luxaflex. instalada.</t>
  </si>
  <si>
    <t>Persiana horizontal de alumínio com lâminas de 50mm, modelo blackout, sem furos, que permita ser utilizada por meio de um cordão e haste. Completa, inclui todos os acessórios necessários para a sua instalação e funcionamento. Modelo de referência: Haste e Cordão/Luxaflex. instalada.</t>
  </si>
  <si>
    <t>CENTRO PARTICIPANTE: REITORIA-MUSEU</t>
  </si>
  <si>
    <t>CENTRO PARTICIPANTE: REITORIA-SEMS</t>
  </si>
  <si>
    <t>CENTRO PARTICIPANTE: CESFI</t>
  </si>
  <si>
    <t>Prazo de Pagamento: 30 dias</t>
  </si>
  <si>
    <t>Prazo de Entrega: 30 dias corridos</t>
  </si>
  <si>
    <t>CENTRO PARTICIPANTE: CEAD</t>
  </si>
  <si>
    <t>CENTRO PARTICIPANTE: FAED</t>
  </si>
  <si>
    <t>CENTRO PARTICIPANTE: CERES</t>
  </si>
  <si>
    <t>CENTRO PARTICIPANTE: CEFID</t>
  </si>
  <si>
    <t>CENTRO PARTICIPANTE: CEAVI</t>
  </si>
  <si>
    <t>CENTRO PARTICIPANTE: ESAG</t>
  </si>
  <si>
    <t>CENTRO PARTICIPANTE: CEART</t>
  </si>
  <si>
    <r>
      <t xml:space="preserve">VIGÊNCIA DA ATA: 14/05/2024 a </t>
    </r>
    <r>
      <rPr>
        <b/>
        <sz val="11"/>
        <rFont val="Calibri"/>
        <family val="2"/>
        <scheme val="minor"/>
      </rPr>
      <t>14/05/2025</t>
    </r>
  </si>
  <si>
    <t>CONTROLE DO GESTOR</t>
  </si>
  <si>
    <r>
      <t xml:space="preserve">OBS: </t>
    </r>
    <r>
      <rPr>
        <b/>
        <u/>
        <sz val="10"/>
        <rFont val="Calibri"/>
        <family val="2"/>
        <scheme val="minor"/>
      </rPr>
      <t>VALOR MÍNIMO</t>
    </r>
    <r>
      <rPr>
        <b/>
        <sz val="10"/>
        <rFont val="Calibri"/>
        <family val="2"/>
        <scheme val="minor"/>
      </rPr>
      <t xml:space="preserve"> DA AF/OS: </t>
    </r>
    <r>
      <rPr>
        <b/>
        <u/>
        <sz val="10"/>
        <rFont val="Calibri"/>
        <family val="2"/>
        <scheme val="minor"/>
      </rPr>
      <t>R$ 200,00</t>
    </r>
  </si>
  <si>
    <t xml:space="preserve"> AF/OS nº  1540/2024 (Quantidade)</t>
  </si>
  <si>
    <r>
      <t xml:space="preserve">Órgão: </t>
    </r>
    <r>
      <rPr>
        <b/>
        <sz val="11"/>
        <rFont val="Calibri"/>
        <family val="2"/>
        <scheme val="minor"/>
      </rPr>
      <t>XXXXX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</si>
  <si>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 xml:space="preserve"> REGISTRO DE CARONA PARA OUTROS ÓRGÃOS:</t>
  </si>
  <si>
    <t>Especificação</t>
  </si>
  <si>
    <t>Marca /Modelo</t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</si>
  <si>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</si>
  <si>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r>
      <rPr>
        <sz val="12"/>
        <rFont val="Calibri"/>
        <family val="2"/>
        <scheme val="minor"/>
      </rPr>
      <t xml:space="preserve">Total </t>
    </r>
    <r>
      <rPr>
        <b/>
        <sz val="12"/>
        <rFont val="Calibri"/>
        <family val="2"/>
        <scheme val="minor"/>
      </rPr>
      <t xml:space="preserve">disponível </t>
    </r>
    <r>
      <rPr>
        <sz val="12"/>
        <rFont val="Calibri"/>
        <family val="2"/>
        <scheme val="minor"/>
      </rPr>
      <t>para CARONA</t>
    </r>
  </si>
  <si>
    <r>
      <rPr>
        <b/>
        <sz val="12"/>
        <rFont val="Calibri"/>
        <family val="2"/>
        <scheme val="minor"/>
      </rPr>
      <t>Saldo</t>
    </r>
    <r>
      <rPr>
        <sz val="12"/>
        <rFont val="Calibri"/>
        <family val="2"/>
        <scheme val="minor"/>
      </rPr>
      <t xml:space="preserve"> para CARONA</t>
    </r>
  </si>
  <si>
    <t>Valor Unitário (R$)</t>
  </si>
  <si>
    <t>SGPe (ÓRGÃO) XXX/2024</t>
  </si>
  <si>
    <t xml:space="preserve">Valor Total da Ata </t>
  </si>
  <si>
    <t>Valor cedido para carona</t>
  </si>
  <si>
    <t>% cedido para carona</t>
  </si>
  <si>
    <t>PE 0654/2024 SRP - (SGPE DE ORIGEM: 8475/2024)</t>
  </si>
  <si>
    <t>OBJETO: AQUISIÇÃO DE DIVISÓRIAS, VIDROS, CORTINAS E SIMILARES PARA O CAMPUS I, CERES, CESFI E CEAVI PARA ATENDER ÀS NECESSIDADES DA UNIVERSIDADE DO ESTADO DE SANTA CATARINA (UDESC)</t>
  </si>
  <si>
    <t>Vidro mini-boreal incolor, 3mm. Instalado.</t>
  </si>
  <si>
    <t>Fornecimento e instalação de vidro liso 3mm, incolor, incluindo massa/filete de espuma em ambas as faces, acabamento e retirada do vidro e massa anterior se houver.</t>
  </si>
  <si>
    <t>Fornecimento e instalação de vidro liso 4mm, incolor, incluindo massa/filete de espuma em ambas as faces, acabamento e retirada do vidro e massa anterior se houver.</t>
  </si>
  <si>
    <t>Fornecimento e instalação de vidro liso 5mm, incolor, incluindo massa/filete de espuma em ambas as faces, acabamento e retirada do vidro e massa anterior se houver.</t>
  </si>
  <si>
    <t>Fornecimento de divisórias em painéis com espessura de 35mm, com miolo em colméia em kraft de alta gramatura e estrutura em aço galvanizado com pintura em epóxi-poliester pó. Colocação programada e cor do painel a escolher. Instalada.</t>
  </si>
  <si>
    <t>Fornecimento de divisórias em painéis com espessura de 35mm, com miolo em colméia em kraft de alta gramatura e estrutura em aço galvanizado com pintura em epóxi-poliester pó. Estrutura com Módulo de vidro de espessura mínima de 4mm (vidro incluido na cotação). Painel de divisórias e bandeira em vidro com altura a ser definido na AF, fazendo a estrutura ficar com "painel, vidro e painel" ou "painel e vidro". Colocação programada e cor a escolher. Instalado.</t>
  </si>
  <si>
    <t>Resumo Atualizado em 09/08/2024</t>
  </si>
  <si>
    <r>
      <t xml:space="preserve">Órgão: </t>
    </r>
    <r>
      <rPr>
        <b/>
        <sz val="11"/>
        <rFont val="Calibri"/>
        <family val="2"/>
        <scheme val="minor"/>
      </rPr>
      <t>PCI/SC</t>
    </r>
    <r>
      <rPr>
        <sz val="11"/>
        <rFont val="Calibri"/>
        <family val="2"/>
        <scheme val="minor"/>
      </rPr>
      <t xml:space="preserve"> [FPOLIS]-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</si>
  <si>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 xml:space="preserve"> AF nº  2119/2024 (Quantidade)</t>
  </si>
  <si>
    <t xml:space="preserve"> AF nº  2120/2024 (Quantidade)</t>
  </si>
  <si>
    <t xml:space="preserve"> AF nº  2187/2024 (Quantidade)</t>
  </si>
  <si>
    <t xml:space="preserve"> AF nº 2342/2024 (Quantidade)</t>
  </si>
  <si>
    <t>SGPe PCI 10186/2024 [ofício 56/2024]</t>
  </si>
  <si>
    <t>SGPe PCI 8299/2024 [ofício 47/2024]</t>
  </si>
  <si>
    <t>SGPE PCI 11532/2024 [ofício 69/2024]</t>
  </si>
  <si>
    <t xml:space="preserve"> AF nº 2793/2024 (Quantidade)</t>
  </si>
  <si>
    <t xml:space="preserve"> AF/OS nº  2862/2024 (Quantidade)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</si>
  <si>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</si>
  <si>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</si>
  <si>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</si>
  <si>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</si>
  <si>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</si>
  <si>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</si>
  <si>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</si>
  <si>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</si>
  <si>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disponível para aditivar</t>
  </si>
  <si>
    <t>Qtde Aditivada</t>
  </si>
  <si>
    <t>Valor Total Aditivado</t>
  </si>
  <si>
    <t>SGPe PCI 12305/2024</t>
  </si>
  <si>
    <t xml:space="preserve"> AF/OS nº  1582/2024 (Quantidade)</t>
  </si>
  <si>
    <t>AF/OS nº  1482/2024 Persianas Santa Catarina</t>
  </si>
  <si>
    <t>AF/OS nº  1518/2024 Gabriel Zampiron</t>
  </si>
  <si>
    <t>AF/OS nº  1605/2024  Raquel</t>
  </si>
  <si>
    <t>AF/OS nº  1613/2024 POPCOM</t>
  </si>
  <si>
    <t>AF/OS nº  1826/2024 Delduque</t>
  </si>
  <si>
    <t>AF/OS nº  1980/2024</t>
  </si>
  <si>
    <t>Decorinter</t>
  </si>
  <si>
    <t>AF/OS nº  2157/2024</t>
  </si>
  <si>
    <t>Delduque</t>
  </si>
  <si>
    <t>AF nº  2391/2024 Persianas SC</t>
  </si>
  <si>
    <t>AF/OS nº  2661/2024 POPCOM</t>
  </si>
  <si>
    <t>AF/OS nº  1730/2024 POPCOM</t>
  </si>
  <si>
    <t>AF/OS nº1721/2024 RAQUEL</t>
  </si>
  <si>
    <t>AF/OS nº  20292024 (Quantidade)</t>
  </si>
  <si>
    <t>AF/OS nº  24392024 RAQUEL</t>
  </si>
  <si>
    <t>AF/OS nº  1367/2024 (Quantidade)</t>
  </si>
  <si>
    <t>AF/OS nº  1403/2024 (Quantidade)</t>
  </si>
  <si>
    <t>AF/OS nº  1474/2024 (Quantidade)</t>
  </si>
  <si>
    <t>AF/OS nº  1665/2024 (Quantidade)</t>
  </si>
  <si>
    <t xml:space="preserve">AF/OS nº  1416/2024 </t>
  </si>
  <si>
    <t xml:space="preserve"> AF/OS nº  1533/2024 </t>
  </si>
  <si>
    <t xml:space="preserve"> AF/OS nº  1544/2024 </t>
  </si>
  <si>
    <t xml:space="preserve"> AF/OS nº  1755/2024</t>
  </si>
  <si>
    <t xml:space="preserve">AF/OS nº  1909/2024 </t>
  </si>
  <si>
    <t xml:space="preserve"> AF/OS nº  2058/2024 </t>
  </si>
  <si>
    <t xml:space="preserve"> AF/OS nº  2455/2024 </t>
  </si>
  <si>
    <t>AF/OS nº  2283/2024 (Quantidade)</t>
  </si>
  <si>
    <t>AF/OS nº  1422/2024 (Quantidade)</t>
  </si>
  <si>
    <t>AF/OS nº  1735/2024 (Quantidade)</t>
  </si>
  <si>
    <t>AF/OS nº  1742/2024 (Quantidade)</t>
  </si>
  <si>
    <t>AF/OS nº  2295/2024 (Quantidade)</t>
  </si>
  <si>
    <t>Atualizado em 30/01/2025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</si>
</sst>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00"/>
    <numFmt numFmtId="171" formatCode="_-* #,##0_-;\-* #,##0_-;_-* &quot;-&quot;??_-;_-@_-"/>
    <numFmt numFmtId="172" formatCode="#,##0.00;[Red]#,##0.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sz val="8"/>
      <name val="Arial"/>
      <family val="2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sz val="10"/>
      <color indexed="81"/>
      <name val="Segoe UI"/>
      <charset val="1"/>
    </font>
    <font>
      <b/>
      <sz val="10"/>
      <color indexed="81"/>
      <name val="Segoe UI"/>
      <charset val="1"/>
    </font>
  </fonts>
  <fills count="3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34998626667073579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95B3D7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99"/>
        <bgColor rgb="FFFFFF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5">
    <xf numFmtId="0" fontId="0" fillId="0" borderId="0"/>
    <xf numFmtId="0" fontId="5" fillId="0" borderId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0" fontId="6" fillId="0" borderId="0" applyNumberFormat="0" applyFill="0" applyBorder="0" applyAlignment="0" applyProtection="0"/>
    <xf numFmtId="4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14" fillId="0" borderId="0" applyFont="0" applyFill="0" applyBorder="0" applyAlignment="0" applyProtection="0"/>
  </cellStyleXfs>
  <cellXfs count="220">
    <xf numFmtId="0" fontId="0" fillId="0" borderId="0" xfId="0"/>
    <xf numFmtId="0" fontId="7" fillId="0" borderId="0" xfId="1" applyFont="1" applyFill="1" applyAlignment="1">
      <alignment horizontal="center" vertical="center" wrapText="1"/>
    </xf>
    <xf numFmtId="0" fontId="7" fillId="0" borderId="0" xfId="1" applyFont="1" applyAlignment="1">
      <alignment wrapText="1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 applyProtection="1">
      <alignment wrapText="1"/>
      <protection locked="0"/>
    </xf>
    <xf numFmtId="3" fontId="7" fillId="0" borderId="0" xfId="1" applyNumberFormat="1" applyFont="1" applyAlignment="1" applyProtection="1">
      <alignment wrapText="1"/>
      <protection locked="0"/>
    </xf>
    <xf numFmtId="0" fontId="7" fillId="0" borderId="0" xfId="1" applyFont="1" applyAlignment="1" applyProtection="1">
      <alignment wrapText="1"/>
      <protection locked="0"/>
    </xf>
    <xf numFmtId="44" fontId="7" fillId="5" borderId="1" xfId="9" applyFont="1" applyFill="1" applyBorder="1" applyAlignment="1">
      <alignment vertical="center" wrapText="1"/>
    </xf>
    <xf numFmtId="44" fontId="7" fillId="5" borderId="1" xfId="1" applyNumberFormat="1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Fill="1" applyAlignment="1">
      <alignment horizontal="center" vertical="center" wrapText="1"/>
    </xf>
    <xf numFmtId="168" fontId="7" fillId="2" borderId="1" xfId="3" applyNumberFormat="1" applyFont="1" applyFill="1" applyBorder="1" applyAlignment="1" applyProtection="1">
      <alignment horizontal="center" vertical="center" wrapText="1"/>
    </xf>
    <xf numFmtId="3" fontId="7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 wrapText="1"/>
    </xf>
    <xf numFmtId="44" fontId="7" fillId="0" borderId="0" xfId="5" applyFont="1" applyFill="1" applyAlignment="1">
      <alignment vertical="center" wrapText="1"/>
    </xf>
    <xf numFmtId="44" fontId="7" fillId="0" borderId="0" xfId="1" applyNumberFormat="1" applyFont="1" applyAlignment="1">
      <alignment wrapText="1"/>
    </xf>
    <xf numFmtId="0" fontId="7" fillId="10" borderId="1" xfId="0" applyFont="1" applyFill="1" applyBorder="1" applyAlignment="1">
      <alignment horizontal="justify" vertical="top" wrapText="1"/>
    </xf>
    <xf numFmtId="3" fontId="7" fillId="0" borderId="0" xfId="1" applyNumberFormat="1" applyFont="1" applyFill="1" applyAlignment="1" applyProtection="1">
      <alignment wrapText="1"/>
      <protection locked="0"/>
    </xf>
    <xf numFmtId="166" fontId="7" fillId="3" borderId="1" xfId="0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44" fontId="7" fillId="0" borderId="0" xfId="9" applyFont="1" applyAlignment="1" applyProtection="1">
      <alignment wrapText="1"/>
      <protection locked="0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4" fontId="9" fillId="2" borderId="1" xfId="5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>
      <alignment vertical="center" wrapText="1"/>
    </xf>
    <xf numFmtId="0" fontId="7" fillId="0" borderId="14" xfId="1" applyFont="1" applyFill="1" applyBorder="1" applyAlignment="1">
      <alignment vertical="center" wrapText="1"/>
    </xf>
    <xf numFmtId="0" fontId="7" fillId="0" borderId="15" xfId="1" applyFont="1" applyFill="1" applyBorder="1" applyAlignment="1">
      <alignment vertical="center" wrapText="1"/>
    </xf>
    <xf numFmtId="0" fontId="7" fillId="0" borderId="8" xfId="0" applyFont="1" applyBorder="1" applyAlignment="1">
      <alignment horizontal="justify" vertical="justify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top" wrapText="1"/>
    </xf>
    <xf numFmtId="0" fontId="7" fillId="10" borderId="8" xfId="0" applyFont="1" applyFill="1" applyBorder="1" applyAlignment="1">
      <alignment horizontal="justify" vertical="top" wrapText="1"/>
    </xf>
    <xf numFmtId="0" fontId="7" fillId="10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0" fontId="7" fillId="9" borderId="8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justify" vertical="top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4" fontId="7" fillId="8" borderId="1" xfId="5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justify" vertical="top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170" fontId="7" fillId="10" borderId="8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44" fontId="7" fillId="10" borderId="1" xfId="5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justify" vertical="top" wrapText="1"/>
    </xf>
    <xf numFmtId="0" fontId="7" fillId="11" borderId="1" xfId="0" applyFont="1" applyFill="1" applyBorder="1" applyAlignment="1">
      <alignment horizontal="center" vertical="center"/>
    </xf>
    <xf numFmtId="44" fontId="7" fillId="11" borderId="1" xfId="5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top" wrapText="1"/>
    </xf>
    <xf numFmtId="44" fontId="7" fillId="0" borderId="1" xfId="5" applyFont="1" applyFill="1" applyBorder="1" applyAlignment="1">
      <alignment horizontal="center" vertical="center" wrapText="1"/>
    </xf>
    <xf numFmtId="170" fontId="7" fillId="0" borderId="8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4" fontId="7" fillId="9" borderId="1" xfId="5" applyFont="1" applyFill="1" applyBorder="1" applyAlignment="1">
      <alignment horizontal="center" vertical="center" wrapText="1"/>
    </xf>
    <xf numFmtId="170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4" xfId="1" applyFont="1" applyFill="1" applyBorder="1" applyAlignment="1">
      <alignment vertical="center" wrapText="1"/>
    </xf>
    <xf numFmtId="0" fontId="7" fillId="14" borderId="1" xfId="0" applyFont="1" applyFill="1" applyBorder="1" applyAlignment="1">
      <alignment horizontal="center" vertical="center" wrapText="1"/>
    </xf>
    <xf numFmtId="166" fontId="7" fillId="15" borderId="1" xfId="0" applyNumberFormat="1" applyFont="1" applyFill="1" applyBorder="1" applyAlignment="1">
      <alignment horizontal="center" vertical="center" wrapText="1"/>
    </xf>
    <xf numFmtId="3" fontId="7" fillId="16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13" borderId="1" xfId="0" applyFont="1" applyFill="1" applyBorder="1" applyAlignment="1">
      <alignment horizontal="center" vertical="center" wrapText="1"/>
    </xf>
    <xf numFmtId="165" fontId="9" fillId="17" borderId="1" xfId="3" applyFont="1" applyFill="1" applyBorder="1" applyAlignment="1" applyProtection="1">
      <alignment horizontal="center" vertical="center" wrapText="1"/>
    </xf>
    <xf numFmtId="0" fontId="9" fillId="12" borderId="1" xfId="0" applyFont="1" applyFill="1" applyBorder="1" applyAlignment="1">
      <alignment horizontal="center" vertical="center" textRotation="90" wrapText="1"/>
    </xf>
    <xf numFmtId="0" fontId="9" fillId="12" borderId="1" xfId="0" applyFont="1" applyFill="1" applyBorder="1" applyAlignment="1">
      <alignment horizontal="center" vertical="center" wrapText="1" indent="1"/>
    </xf>
    <xf numFmtId="0" fontId="9" fillId="12" borderId="1" xfId="0" applyFont="1" applyFill="1" applyBorder="1" applyAlignment="1">
      <alignment horizontal="center" vertical="center" wrapText="1"/>
    </xf>
    <xf numFmtId="44" fontId="7" fillId="8" borderId="1" xfId="9" applyFont="1" applyFill="1" applyBorder="1" applyAlignment="1">
      <alignment horizontal="center" vertical="center" wrapText="1"/>
    </xf>
    <xf numFmtId="44" fontId="7" fillId="10" borderId="1" xfId="9" applyFont="1" applyFill="1" applyBorder="1" applyAlignment="1">
      <alignment horizontal="center" vertical="center" wrapText="1"/>
    </xf>
    <xf numFmtId="44" fontId="7" fillId="11" borderId="1" xfId="9" applyFont="1" applyFill="1" applyBorder="1" applyAlignment="1">
      <alignment horizontal="center" vertical="center" wrapText="1"/>
    </xf>
    <xf numFmtId="44" fontId="7" fillId="9" borderId="1" xfId="9" applyFont="1" applyFill="1" applyBorder="1" applyAlignment="1">
      <alignment horizontal="center" vertical="center" wrapText="1"/>
    </xf>
    <xf numFmtId="169" fontId="7" fillId="10" borderId="1" xfId="0" applyNumberFormat="1" applyFont="1" applyFill="1" applyBorder="1" applyAlignment="1">
      <alignment horizontal="center" vertical="center" wrapText="1"/>
    </xf>
    <xf numFmtId="44" fontId="7" fillId="10" borderId="1" xfId="5" applyFont="1" applyFill="1" applyBorder="1" applyAlignment="1">
      <alignment horizontal="center" vertical="center"/>
    </xf>
    <xf numFmtId="44" fontId="7" fillId="9" borderId="1" xfId="5" applyFont="1" applyFill="1" applyBorder="1" applyAlignment="1">
      <alignment horizontal="center" vertical="center"/>
    </xf>
    <xf numFmtId="0" fontId="7" fillId="6" borderId="8" xfId="1" applyFont="1" applyFill="1" applyBorder="1" applyAlignment="1" applyProtection="1">
      <alignment horizontal="left"/>
      <protection locked="0"/>
    </xf>
    <xf numFmtId="0" fontId="7" fillId="6" borderId="12" xfId="1" applyFont="1" applyFill="1" applyBorder="1" applyAlignment="1" applyProtection="1">
      <alignment horizontal="left"/>
      <protection locked="0"/>
    </xf>
    <xf numFmtId="168" fontId="7" fillId="6" borderId="2" xfId="1" applyNumberFormat="1" applyFont="1" applyFill="1" applyBorder="1" applyAlignment="1" applyProtection="1">
      <alignment horizontal="right"/>
      <protection locked="0"/>
    </xf>
    <xf numFmtId="0" fontId="7" fillId="6" borderId="9" xfId="1" applyFont="1" applyFill="1" applyBorder="1" applyAlignment="1" applyProtection="1">
      <alignment horizontal="left"/>
      <protection locked="0"/>
    </xf>
    <xf numFmtId="0" fontId="7" fillId="6" borderId="0" xfId="1" applyFont="1" applyFill="1" applyBorder="1" applyAlignment="1" applyProtection="1">
      <alignment horizontal="left"/>
      <protection locked="0"/>
    </xf>
    <xf numFmtId="168" fontId="7" fillId="6" borderId="3" xfId="1" applyNumberFormat="1" applyFont="1" applyFill="1" applyBorder="1" applyAlignment="1" applyProtection="1">
      <alignment horizontal="right"/>
      <protection locked="0"/>
    </xf>
    <xf numFmtId="2" fontId="7" fillId="6" borderId="3" xfId="1" applyNumberFormat="1" applyFont="1" applyFill="1" applyBorder="1" applyAlignment="1">
      <alignment horizontal="right"/>
    </xf>
    <xf numFmtId="0" fontId="7" fillId="6" borderId="10" xfId="1" applyFont="1" applyFill="1" applyBorder="1" applyAlignment="1" applyProtection="1">
      <alignment horizontal="left"/>
      <protection locked="0"/>
    </xf>
    <xf numFmtId="0" fontId="7" fillId="6" borderId="11" xfId="1" applyFont="1" applyFill="1" applyBorder="1" applyAlignment="1" applyProtection="1">
      <alignment horizontal="left"/>
      <protection locked="0"/>
    </xf>
    <xf numFmtId="10" fontId="7" fillId="6" borderId="4" xfId="13" applyNumberFormat="1" applyFont="1" applyFill="1" applyBorder="1" applyAlignment="1" applyProtection="1">
      <alignment horizontal="right"/>
      <protection locked="0"/>
    </xf>
    <xf numFmtId="166" fontId="7" fillId="0" borderId="0" xfId="1" applyNumberFormat="1" applyFont="1" applyFill="1" applyAlignment="1" applyProtection="1">
      <alignment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7" fillId="0" borderId="0" xfId="1" applyNumberFormat="1" applyFont="1" applyAlignment="1" applyProtection="1">
      <alignment wrapText="1"/>
      <protection locked="0"/>
    </xf>
    <xf numFmtId="0" fontId="15" fillId="17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66" fontId="18" fillId="2" borderId="1" xfId="1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 applyProtection="1">
      <alignment horizontal="center" vertical="center" wrapText="1"/>
      <protection locked="0"/>
    </xf>
    <xf numFmtId="165" fontId="7" fillId="21" borderId="1" xfId="3" applyFont="1" applyFill="1" applyBorder="1" applyAlignment="1" applyProtection="1">
      <alignment horizontal="center" vertical="center" wrapText="1"/>
    </xf>
    <xf numFmtId="168" fontId="7" fillId="21" borderId="1" xfId="3" applyNumberFormat="1" applyFont="1" applyFill="1" applyBorder="1" applyAlignment="1" applyProtection="1">
      <alignment horizontal="center" vertical="center" wrapText="1"/>
    </xf>
    <xf numFmtId="3" fontId="7" fillId="22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6" borderId="1" xfId="104" applyNumberFormat="1" applyFont="1" applyFill="1" applyBorder="1" applyAlignment="1">
      <alignment vertical="center" wrapText="1"/>
    </xf>
    <xf numFmtId="169" fontId="7" fillId="23" borderId="7" xfId="0" applyNumberFormat="1" applyFont="1" applyFill="1" applyBorder="1" applyAlignment="1">
      <alignment horizontal="center" vertical="center"/>
    </xf>
    <xf numFmtId="44" fontId="7" fillId="23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24" borderId="1" xfId="0" applyFont="1" applyFill="1" applyBorder="1" applyAlignment="1">
      <alignment horizontal="center" vertical="center" wrapText="1"/>
    </xf>
    <xf numFmtId="0" fontId="7" fillId="24" borderId="4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44" fontId="20" fillId="0" borderId="0" xfId="9" applyFont="1" applyFill="1" applyAlignment="1">
      <alignment horizontal="center" vertical="center" wrapText="1"/>
    </xf>
    <xf numFmtId="44" fontId="20" fillId="0" borderId="0" xfId="9" applyFont="1" applyFill="1" applyAlignment="1" applyProtection="1">
      <alignment wrapText="1"/>
      <protection locked="0"/>
    </xf>
    <xf numFmtId="44" fontId="0" fillId="0" borderId="0" xfId="9" applyFont="1"/>
    <xf numFmtId="44" fontId="5" fillId="0" borderId="0" xfId="9" applyFont="1" applyFill="1"/>
    <xf numFmtId="44" fontId="5" fillId="0" borderId="0" xfId="9" applyFont="1"/>
    <xf numFmtId="4" fontId="7" fillId="0" borderId="0" xfId="1" applyNumberFormat="1" applyFont="1" applyAlignment="1" applyProtection="1">
      <alignment wrapText="1"/>
      <protection locked="0"/>
    </xf>
    <xf numFmtId="3" fontId="7" fillId="0" borderId="0" xfId="1" applyNumberFormat="1" applyFont="1" applyAlignment="1" applyProtection="1">
      <alignment horizontal="center" vertical="center" wrapText="1"/>
      <protection locked="0"/>
    </xf>
    <xf numFmtId="0" fontId="7" fillId="6" borderId="8" xfId="1" applyFont="1" applyFill="1" applyBorder="1" applyAlignment="1" applyProtection="1">
      <alignment wrapText="1"/>
      <protection locked="0"/>
    </xf>
    <xf numFmtId="0" fontId="7" fillId="6" borderId="12" xfId="1" applyFont="1" applyFill="1" applyBorder="1" applyAlignment="1" applyProtection="1">
      <alignment wrapText="1"/>
      <protection locked="0"/>
    </xf>
    <xf numFmtId="0" fontId="7" fillId="6" borderId="9" xfId="1" applyFont="1" applyFill="1" applyBorder="1" applyAlignment="1" applyProtection="1">
      <alignment wrapText="1"/>
      <protection locked="0"/>
    </xf>
    <xf numFmtId="0" fontId="7" fillId="6" borderId="0" xfId="1" applyFont="1" applyFill="1" applyAlignment="1" applyProtection="1">
      <alignment wrapText="1"/>
      <protection locked="0"/>
    </xf>
    <xf numFmtId="0" fontId="7" fillId="6" borderId="9" xfId="1" applyFont="1" applyFill="1" applyBorder="1" applyAlignment="1" applyProtection="1">
      <alignment horizontal="left" wrapText="1"/>
      <protection locked="0"/>
    </xf>
    <xf numFmtId="0" fontId="7" fillId="6" borderId="0" xfId="1" applyFont="1" applyFill="1" applyAlignment="1" applyProtection="1">
      <alignment horizontal="left" wrapText="1"/>
      <protection locked="0"/>
    </xf>
    <xf numFmtId="171" fontId="7" fillId="6" borderId="0" xfId="104" applyNumberFormat="1" applyFont="1" applyFill="1" applyBorder="1" applyAlignment="1" applyProtection="1">
      <alignment wrapText="1"/>
      <protection locked="0"/>
    </xf>
    <xf numFmtId="0" fontId="7" fillId="6" borderId="11" xfId="1" applyFont="1" applyFill="1" applyBorder="1" applyAlignment="1" applyProtection="1">
      <alignment horizontal="left" wrapText="1"/>
      <protection locked="0"/>
    </xf>
    <xf numFmtId="10" fontId="7" fillId="6" borderId="11" xfId="13" applyNumberFormat="1" applyFont="1" applyFill="1" applyBorder="1" applyAlignment="1" applyProtection="1">
      <alignment wrapText="1"/>
      <protection locked="0"/>
    </xf>
    <xf numFmtId="44" fontId="7" fillId="9" borderId="0" xfId="9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4" borderId="16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3" fontId="7" fillId="4" borderId="1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9" borderId="16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44" fontId="9" fillId="0" borderId="0" xfId="9" applyFont="1" applyAlignment="1" applyProtection="1">
      <alignment wrapText="1"/>
      <protection locked="0"/>
    </xf>
    <xf numFmtId="41" fontId="27" fillId="26" borderId="1" xfId="0" applyNumberFormat="1" applyFont="1" applyFill="1" applyBorder="1" applyAlignment="1">
      <alignment horizontal="center" vertical="center"/>
    </xf>
    <xf numFmtId="41" fontId="27" fillId="28" borderId="1" xfId="0" applyNumberFormat="1" applyFont="1" applyFill="1" applyBorder="1" applyAlignment="1">
      <alignment horizontal="center" vertical="center"/>
    </xf>
    <xf numFmtId="41" fontId="27" fillId="27" borderId="1" xfId="0" applyNumberFormat="1" applyFont="1" applyFill="1" applyBorder="1" applyAlignment="1">
      <alignment horizontal="center" vertical="center"/>
    </xf>
    <xf numFmtId="41" fontId="27" fillId="26" borderId="2" xfId="0" applyNumberFormat="1" applyFont="1" applyFill="1" applyBorder="1" applyAlignment="1">
      <alignment horizontal="center" vertical="center"/>
    </xf>
    <xf numFmtId="41" fontId="27" fillId="0" borderId="0" xfId="0" applyNumberFormat="1" applyFont="1" applyFill="1" applyBorder="1" applyAlignment="1">
      <alignment horizontal="center" vertical="center"/>
    </xf>
    <xf numFmtId="1" fontId="7" fillId="27" borderId="1" xfId="1" applyNumberFormat="1" applyFont="1" applyFill="1" applyBorder="1" applyAlignment="1" applyProtection="1">
      <alignment horizontal="center" wrapText="1"/>
      <protection locked="0"/>
    </xf>
    <xf numFmtId="169" fontId="7" fillId="0" borderId="0" xfId="1" applyNumberFormat="1" applyFont="1" applyAlignment="1" applyProtection="1">
      <alignment horizontal="center" wrapText="1"/>
      <protection locked="0"/>
    </xf>
    <xf numFmtId="41" fontId="7" fillId="26" borderId="7" xfId="0" applyNumberFormat="1" applyFont="1" applyFill="1" applyBorder="1" applyAlignment="1">
      <alignment horizontal="center" vertical="center" wrapText="1"/>
    </xf>
    <xf numFmtId="166" fontId="7" fillId="27" borderId="1" xfId="0" applyNumberFormat="1" applyFont="1" applyFill="1" applyBorder="1" applyAlignment="1">
      <alignment horizontal="center" vertical="center" wrapText="1"/>
    </xf>
    <xf numFmtId="0" fontId="7" fillId="19" borderId="17" xfId="0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 wrapText="1"/>
    </xf>
    <xf numFmtId="3" fontId="7" fillId="0" borderId="1" xfId="1" applyNumberFormat="1" applyFont="1" applyBorder="1" applyAlignment="1" applyProtection="1">
      <alignment horizontal="center" vertical="center" wrapText="1"/>
      <protection locked="0"/>
    </xf>
    <xf numFmtId="0" fontId="28" fillId="29" borderId="2" xfId="0" applyFont="1" applyFill="1" applyBorder="1" applyAlignment="1">
      <alignment horizontal="center" vertical="center" wrapText="1"/>
    </xf>
    <xf numFmtId="0" fontId="28" fillId="29" borderId="4" xfId="0" applyFont="1" applyFill="1" applyBorder="1" applyAlignment="1">
      <alignment horizontal="center" vertical="center" wrapText="1"/>
    </xf>
    <xf numFmtId="14" fontId="28" fillId="30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31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28" fillId="0" borderId="1" xfId="0" applyFont="1" applyFill="1" applyBorder="1" applyAlignment="1">
      <alignment horizontal="center" vertical="center" wrapText="1"/>
    </xf>
    <xf numFmtId="0" fontId="7" fillId="21" borderId="1" xfId="1" applyNumberFormat="1" applyFont="1" applyFill="1" applyBorder="1" applyAlignment="1" applyProtection="1">
      <alignment horizontal="center" vertical="center" wrapText="1"/>
      <protection locked="0"/>
    </xf>
    <xf numFmtId="0" fontId="29" fillId="14" borderId="1" xfId="0" applyFont="1" applyFill="1" applyBorder="1" applyAlignment="1">
      <alignment horizontal="center" vertical="center" wrapText="1"/>
    </xf>
    <xf numFmtId="172" fontId="7" fillId="15" borderId="1" xfId="0" applyNumberFormat="1" applyFont="1" applyFill="1" applyBorder="1" applyAlignment="1">
      <alignment horizontal="center" vertical="center" wrapText="1"/>
    </xf>
    <xf numFmtId="172" fontId="7" fillId="0" borderId="0" xfId="0" applyNumberFormat="1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3" fontId="7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0" applyNumberFormat="1" applyFont="1" applyFill="1" applyBorder="1" applyAlignment="1">
      <alignment horizontal="left" vertical="center" wrapText="1"/>
    </xf>
    <xf numFmtId="3" fontId="9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18" borderId="5" xfId="0" applyFont="1" applyFill="1" applyBorder="1" applyAlignment="1">
      <alignment horizontal="center" vertical="center" wrapText="1"/>
    </xf>
    <xf numFmtId="0" fontId="12" fillId="18" borderId="6" xfId="0" applyFont="1" applyFill="1" applyBorder="1" applyAlignment="1">
      <alignment horizontal="center" vertical="center" wrapText="1"/>
    </xf>
    <xf numFmtId="0" fontId="12" fillId="18" borderId="7" xfId="0" applyFont="1" applyFill="1" applyBorder="1" applyAlignment="1">
      <alignment horizontal="center" vertical="center" wrapText="1"/>
    </xf>
    <xf numFmtId="0" fontId="7" fillId="5" borderId="5" xfId="0" applyNumberFormat="1" applyFont="1" applyFill="1" applyBorder="1" applyAlignment="1">
      <alignment vertical="center" wrapText="1"/>
    </xf>
    <xf numFmtId="0" fontId="7" fillId="5" borderId="6" xfId="0" applyNumberFormat="1" applyFont="1" applyFill="1" applyBorder="1" applyAlignment="1">
      <alignment vertical="center" wrapText="1"/>
    </xf>
    <xf numFmtId="0" fontId="7" fillId="5" borderId="7" xfId="0" applyNumberFormat="1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8" fillId="29" borderId="2" xfId="0" applyFont="1" applyFill="1" applyBorder="1" applyAlignment="1">
      <alignment horizontal="center" vertical="center" wrapText="1"/>
    </xf>
    <xf numFmtId="0" fontId="28" fillId="29" borderId="4" xfId="0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vertical="center" wrapText="1"/>
    </xf>
    <xf numFmtId="0" fontId="7" fillId="6" borderId="5" xfId="1" applyFont="1" applyFill="1" applyBorder="1" applyAlignment="1" applyProtection="1">
      <alignment horizontal="left"/>
      <protection locked="0"/>
    </xf>
    <xf numFmtId="0" fontId="7" fillId="6" borderId="6" xfId="1" applyFont="1" applyFill="1" applyBorder="1" applyAlignment="1" applyProtection="1">
      <alignment horizontal="left"/>
      <protection locked="0"/>
    </xf>
    <xf numFmtId="0" fontId="7" fillId="6" borderId="7" xfId="1" applyFont="1" applyFill="1" applyBorder="1" applyAlignment="1" applyProtection="1">
      <alignment horizontal="left"/>
      <protection locked="0"/>
    </xf>
    <xf numFmtId="0" fontId="9" fillId="5" borderId="1" xfId="0" applyNumberFormat="1" applyFont="1" applyFill="1" applyBorder="1" applyAlignment="1">
      <alignment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44" fontId="9" fillId="6" borderId="0" xfId="9" applyFont="1" applyFill="1" applyBorder="1" applyAlignment="1" applyProtection="1">
      <alignment horizontal="center" wrapText="1"/>
      <protection locked="0"/>
    </xf>
    <xf numFmtId="0" fontId="7" fillId="6" borderId="5" xfId="1" applyFont="1" applyFill="1" applyBorder="1" applyAlignment="1" applyProtection="1">
      <alignment horizontal="left" wrapText="1"/>
      <protection locked="0"/>
    </xf>
    <xf numFmtId="0" fontId="7" fillId="6" borderId="6" xfId="1" applyFont="1" applyFill="1" applyBorder="1" applyAlignment="1" applyProtection="1">
      <alignment horizontal="left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4" fontId="7" fillId="6" borderId="12" xfId="9" applyFont="1" applyFill="1" applyBorder="1" applyAlignment="1" applyProtection="1">
      <alignment horizontal="center" wrapText="1"/>
      <protection locked="0"/>
    </xf>
    <xf numFmtId="3" fontId="7" fillId="20" borderId="2" xfId="1" applyNumberFormat="1" applyFont="1" applyFill="1" applyBorder="1" applyAlignment="1" applyProtection="1">
      <alignment horizontal="center" vertical="center" wrapText="1"/>
      <protection locked="0"/>
    </xf>
    <xf numFmtId="3" fontId="7" fillId="20" borderId="4" xfId="1" applyNumberFormat="1" applyFont="1" applyFill="1" applyBorder="1" applyAlignment="1" applyProtection="1">
      <alignment horizontal="center" vertical="center" wrapText="1"/>
      <protection locked="0"/>
    </xf>
    <xf numFmtId="0" fontId="17" fillId="19" borderId="6" xfId="0" applyFont="1" applyFill="1" applyBorder="1" applyAlignment="1">
      <alignment horizontal="center" vertical="center" wrapText="1"/>
    </xf>
    <xf numFmtId="3" fontId="7" fillId="25" borderId="2" xfId="1" applyNumberFormat="1" applyFont="1" applyFill="1" applyBorder="1" applyAlignment="1" applyProtection="1">
      <alignment horizontal="center" vertical="center" wrapText="1"/>
      <protection locked="0"/>
    </xf>
    <xf numFmtId="3" fontId="7" fillId="25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19" borderId="5" xfId="0" applyFont="1" applyFill="1" applyBorder="1" applyAlignment="1">
      <alignment horizontal="center" vertical="center" wrapText="1"/>
    </xf>
    <xf numFmtId="0" fontId="7" fillId="19" borderId="7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28" fillId="30" borderId="1" xfId="0" applyFont="1" applyFill="1" applyBorder="1" applyAlignment="1">
      <alignment horizontal="center" vertical="center" wrapText="1"/>
    </xf>
  </cellXfs>
  <cellStyles count="105">
    <cellStyle name="Moeda" xfId="5" builtinId="4"/>
    <cellStyle name="Moeda 2" xfId="6" xr:uid="{00000000-0005-0000-0000-000001000000}"/>
    <cellStyle name="Moeda 2 2" xfId="10" xr:uid="{00000000-0005-0000-0000-000002000000}"/>
    <cellStyle name="Moeda 3" xfId="9" xr:uid="{00000000-0005-0000-0000-000003000000}"/>
    <cellStyle name="Moeda 3 2" xfId="17" xr:uid="{00000000-0005-0000-0000-000004000000}"/>
    <cellStyle name="Moeda 3 2 2" xfId="29" xr:uid="{00000000-0005-0000-0000-000004000000}"/>
    <cellStyle name="Moeda 3 2 2 2" xfId="77" xr:uid="{00000000-0005-0000-0000-000004000000}"/>
    <cellStyle name="Moeda 3 2 3" xfId="41" xr:uid="{00000000-0005-0000-0000-000004000000}"/>
    <cellStyle name="Moeda 3 2 3 2" xfId="89" xr:uid="{00000000-0005-0000-0000-000004000000}"/>
    <cellStyle name="Moeda 3 2 4" xfId="53" xr:uid="{00000000-0005-0000-0000-000004000000}"/>
    <cellStyle name="Moeda 3 2 4 2" xfId="101" xr:uid="{00000000-0005-0000-0000-000004000000}"/>
    <cellStyle name="Moeda 3 2 5" xfId="65" xr:uid="{00000000-0005-0000-0000-000004000000}"/>
    <cellStyle name="Moeda 3 3" xfId="23" xr:uid="{00000000-0005-0000-0000-000003000000}"/>
    <cellStyle name="Moeda 3 3 2" xfId="71" xr:uid="{00000000-0005-0000-0000-000003000000}"/>
    <cellStyle name="Moeda 3 4" xfId="35" xr:uid="{00000000-0005-0000-0000-000003000000}"/>
    <cellStyle name="Moeda 3 4 2" xfId="83" xr:uid="{00000000-0005-0000-0000-000003000000}"/>
    <cellStyle name="Moeda 3 5" xfId="47" xr:uid="{00000000-0005-0000-0000-000003000000}"/>
    <cellStyle name="Moeda 3 5 2" xfId="95" xr:uid="{00000000-0005-0000-0000-000003000000}"/>
    <cellStyle name="Moeda 3 6" xfId="59" xr:uid="{00000000-0005-0000-0000-000003000000}"/>
    <cellStyle name="Moeda 4" xfId="14" xr:uid="{00000000-0005-0000-0000-000005000000}"/>
    <cellStyle name="Moeda 4 2" xfId="26" xr:uid="{00000000-0005-0000-0000-000005000000}"/>
    <cellStyle name="Moeda 4 2 2" xfId="74" xr:uid="{00000000-0005-0000-0000-000005000000}"/>
    <cellStyle name="Moeda 4 3" xfId="38" xr:uid="{00000000-0005-0000-0000-000005000000}"/>
    <cellStyle name="Moeda 4 3 2" xfId="86" xr:uid="{00000000-0005-0000-0000-000005000000}"/>
    <cellStyle name="Moeda 4 4" xfId="50" xr:uid="{00000000-0005-0000-0000-000005000000}"/>
    <cellStyle name="Moeda 4 4 2" xfId="98" xr:uid="{00000000-0005-0000-0000-000005000000}"/>
    <cellStyle name="Moeda 4 5" xfId="62" xr:uid="{00000000-0005-0000-0000-000005000000}"/>
    <cellStyle name="Moeda 5" xfId="20" xr:uid="{00000000-0005-0000-0000-000041000000}"/>
    <cellStyle name="Moeda 5 2" xfId="68" xr:uid="{00000000-0005-0000-0000-000041000000}"/>
    <cellStyle name="Moeda 6" xfId="32" xr:uid="{00000000-0005-0000-0000-00004D000000}"/>
    <cellStyle name="Moeda 6 2" xfId="80" xr:uid="{00000000-0005-0000-0000-00004D000000}"/>
    <cellStyle name="Moeda 7" xfId="44" xr:uid="{00000000-0005-0000-0000-000059000000}"/>
    <cellStyle name="Moeda 7 2" xfId="92" xr:uid="{00000000-0005-0000-0000-000059000000}"/>
    <cellStyle name="Moeda 8" xfId="56" xr:uid="{00000000-0005-0000-0000-000065000000}"/>
    <cellStyle name="Normal" xfId="0" builtinId="0"/>
    <cellStyle name="Normal 2" xfId="1" xr:uid="{00000000-0005-0000-0000-000007000000}"/>
    <cellStyle name="Porcentagem 2" xfId="13" xr:uid="{00000000-0005-0000-0000-000008000000}"/>
    <cellStyle name="Separador de milhares 2" xfId="2" xr:uid="{00000000-0005-0000-0000-000009000000}"/>
    <cellStyle name="Separador de milhares 2 2" xfId="8" xr:uid="{00000000-0005-0000-0000-00000A000000}"/>
    <cellStyle name="Separador de milhares 2 2 2" xfId="12" xr:uid="{00000000-0005-0000-0000-00000B000000}"/>
    <cellStyle name="Separador de milhares 2 2 2 2" xfId="19" xr:uid="{00000000-0005-0000-0000-00000C000000}"/>
    <cellStyle name="Separador de milhares 2 2 2 2 2" xfId="31" xr:uid="{00000000-0005-0000-0000-00000C000000}"/>
    <cellStyle name="Separador de milhares 2 2 2 2 2 2" xfId="79" xr:uid="{00000000-0005-0000-0000-00000C000000}"/>
    <cellStyle name="Separador de milhares 2 2 2 2 3" xfId="43" xr:uid="{00000000-0005-0000-0000-00000C000000}"/>
    <cellStyle name="Separador de milhares 2 2 2 2 3 2" xfId="91" xr:uid="{00000000-0005-0000-0000-00000C000000}"/>
    <cellStyle name="Separador de milhares 2 2 2 2 4" xfId="55" xr:uid="{00000000-0005-0000-0000-00000C000000}"/>
    <cellStyle name="Separador de milhares 2 2 2 2 4 2" xfId="103" xr:uid="{00000000-0005-0000-0000-00000C000000}"/>
    <cellStyle name="Separador de milhares 2 2 2 2 5" xfId="67" xr:uid="{00000000-0005-0000-0000-00000C000000}"/>
    <cellStyle name="Separador de milhares 2 2 2 3" xfId="25" xr:uid="{00000000-0005-0000-0000-00000B000000}"/>
    <cellStyle name="Separador de milhares 2 2 2 3 2" xfId="73" xr:uid="{00000000-0005-0000-0000-00000B000000}"/>
    <cellStyle name="Separador de milhares 2 2 2 4" xfId="37" xr:uid="{00000000-0005-0000-0000-00000B000000}"/>
    <cellStyle name="Separador de milhares 2 2 2 4 2" xfId="85" xr:uid="{00000000-0005-0000-0000-00000B000000}"/>
    <cellStyle name="Separador de milhares 2 2 2 5" xfId="49" xr:uid="{00000000-0005-0000-0000-00000B000000}"/>
    <cellStyle name="Separador de milhares 2 2 2 5 2" xfId="97" xr:uid="{00000000-0005-0000-0000-00000B000000}"/>
    <cellStyle name="Separador de milhares 2 2 2 6" xfId="61" xr:uid="{00000000-0005-0000-0000-00000B000000}"/>
    <cellStyle name="Separador de milhares 2 2 3" xfId="16" xr:uid="{00000000-0005-0000-0000-00000D000000}"/>
    <cellStyle name="Separador de milhares 2 2 3 2" xfId="28" xr:uid="{00000000-0005-0000-0000-00000D000000}"/>
    <cellStyle name="Separador de milhares 2 2 3 2 2" xfId="76" xr:uid="{00000000-0005-0000-0000-00000D000000}"/>
    <cellStyle name="Separador de milhares 2 2 3 3" xfId="40" xr:uid="{00000000-0005-0000-0000-00000D000000}"/>
    <cellStyle name="Separador de milhares 2 2 3 3 2" xfId="88" xr:uid="{00000000-0005-0000-0000-00000D000000}"/>
    <cellStyle name="Separador de milhares 2 2 3 4" xfId="52" xr:uid="{00000000-0005-0000-0000-00000D000000}"/>
    <cellStyle name="Separador de milhares 2 2 3 4 2" xfId="100" xr:uid="{00000000-0005-0000-0000-00000D000000}"/>
    <cellStyle name="Separador de milhares 2 2 3 5" xfId="64" xr:uid="{00000000-0005-0000-0000-00000D000000}"/>
    <cellStyle name="Separador de milhares 2 2 4" xfId="22" xr:uid="{00000000-0005-0000-0000-00000A000000}"/>
    <cellStyle name="Separador de milhares 2 2 4 2" xfId="70" xr:uid="{00000000-0005-0000-0000-00000A000000}"/>
    <cellStyle name="Separador de milhares 2 2 5" xfId="34" xr:uid="{00000000-0005-0000-0000-00000A000000}"/>
    <cellStyle name="Separador de milhares 2 2 5 2" xfId="82" xr:uid="{00000000-0005-0000-0000-00000A000000}"/>
    <cellStyle name="Separador de milhares 2 2 6" xfId="46" xr:uid="{00000000-0005-0000-0000-00000A000000}"/>
    <cellStyle name="Separador de milhares 2 2 6 2" xfId="94" xr:uid="{00000000-0005-0000-0000-00000A000000}"/>
    <cellStyle name="Separador de milhares 2 2 7" xfId="58" xr:uid="{00000000-0005-0000-0000-00000A000000}"/>
    <cellStyle name="Separador de milhares 2 3" xfId="7" xr:uid="{00000000-0005-0000-0000-00000E000000}"/>
    <cellStyle name="Separador de milhares 2 3 2" xfId="11" xr:uid="{00000000-0005-0000-0000-00000F000000}"/>
    <cellStyle name="Separador de milhares 2 3 2 2" xfId="18" xr:uid="{00000000-0005-0000-0000-000010000000}"/>
    <cellStyle name="Separador de milhares 2 3 2 2 2" xfId="30" xr:uid="{00000000-0005-0000-0000-000010000000}"/>
    <cellStyle name="Separador de milhares 2 3 2 2 2 2" xfId="78" xr:uid="{00000000-0005-0000-0000-000010000000}"/>
    <cellStyle name="Separador de milhares 2 3 2 2 3" xfId="42" xr:uid="{00000000-0005-0000-0000-000010000000}"/>
    <cellStyle name="Separador de milhares 2 3 2 2 3 2" xfId="90" xr:uid="{00000000-0005-0000-0000-000010000000}"/>
    <cellStyle name="Separador de milhares 2 3 2 2 4" xfId="54" xr:uid="{00000000-0005-0000-0000-000010000000}"/>
    <cellStyle name="Separador de milhares 2 3 2 2 4 2" xfId="102" xr:uid="{00000000-0005-0000-0000-000010000000}"/>
    <cellStyle name="Separador de milhares 2 3 2 2 5" xfId="66" xr:uid="{00000000-0005-0000-0000-000010000000}"/>
    <cellStyle name="Separador de milhares 2 3 2 3" xfId="24" xr:uid="{00000000-0005-0000-0000-00000F000000}"/>
    <cellStyle name="Separador de milhares 2 3 2 3 2" xfId="72" xr:uid="{00000000-0005-0000-0000-00000F000000}"/>
    <cellStyle name="Separador de milhares 2 3 2 4" xfId="36" xr:uid="{00000000-0005-0000-0000-00000F000000}"/>
    <cellStyle name="Separador de milhares 2 3 2 4 2" xfId="84" xr:uid="{00000000-0005-0000-0000-00000F000000}"/>
    <cellStyle name="Separador de milhares 2 3 2 5" xfId="48" xr:uid="{00000000-0005-0000-0000-00000F000000}"/>
    <cellStyle name="Separador de milhares 2 3 2 5 2" xfId="96" xr:uid="{00000000-0005-0000-0000-00000F000000}"/>
    <cellStyle name="Separador de milhares 2 3 2 6" xfId="60" xr:uid="{00000000-0005-0000-0000-00000F000000}"/>
    <cellStyle name="Separador de milhares 2 3 3" xfId="15" xr:uid="{00000000-0005-0000-0000-000011000000}"/>
    <cellStyle name="Separador de milhares 2 3 3 2" xfId="27" xr:uid="{00000000-0005-0000-0000-000011000000}"/>
    <cellStyle name="Separador de milhares 2 3 3 2 2" xfId="75" xr:uid="{00000000-0005-0000-0000-000011000000}"/>
    <cellStyle name="Separador de milhares 2 3 3 3" xfId="39" xr:uid="{00000000-0005-0000-0000-000011000000}"/>
    <cellStyle name="Separador de milhares 2 3 3 3 2" xfId="87" xr:uid="{00000000-0005-0000-0000-000011000000}"/>
    <cellStyle name="Separador de milhares 2 3 3 4" xfId="51" xr:uid="{00000000-0005-0000-0000-000011000000}"/>
    <cellStyle name="Separador de milhares 2 3 3 4 2" xfId="99" xr:uid="{00000000-0005-0000-0000-000011000000}"/>
    <cellStyle name="Separador de milhares 2 3 3 5" xfId="63" xr:uid="{00000000-0005-0000-0000-000011000000}"/>
    <cellStyle name="Separador de milhares 2 3 4" xfId="21" xr:uid="{00000000-0005-0000-0000-00000E000000}"/>
    <cellStyle name="Separador de milhares 2 3 4 2" xfId="69" xr:uid="{00000000-0005-0000-0000-00000E000000}"/>
    <cellStyle name="Separador de milhares 2 3 5" xfId="33" xr:uid="{00000000-0005-0000-0000-00000E000000}"/>
    <cellStyle name="Separador de milhares 2 3 5 2" xfId="81" xr:uid="{00000000-0005-0000-0000-00000E000000}"/>
    <cellStyle name="Separador de milhares 2 3 6" xfId="45" xr:uid="{00000000-0005-0000-0000-00000E000000}"/>
    <cellStyle name="Separador de milhares 2 3 6 2" xfId="93" xr:uid="{00000000-0005-0000-0000-00000E000000}"/>
    <cellStyle name="Separador de milhares 2 3 7" xfId="57" xr:uid="{00000000-0005-0000-0000-00000E000000}"/>
    <cellStyle name="Separador de milhares 3" xfId="3" xr:uid="{00000000-0005-0000-0000-000012000000}"/>
    <cellStyle name="Título 5" xfId="4" xr:uid="{00000000-0005-0000-0000-000013000000}"/>
    <cellStyle name="Vírgula" xfId="104" builtinId="3"/>
  </cellStyles>
  <dxfs count="1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1" defaultTableStyle="TableStyleMedium9" defaultPivotStyle="PivotStyleLight16">
    <tableStyle name="Invisible" pivot="0" table="0" count="0" xr9:uid="{FC3DC7F2-BD41-4DBE-A62F-0166A959B67F}"/>
  </tableStyles>
  <colors>
    <mruColors>
      <color rgb="FFFFFF99"/>
      <color rgb="FFCCFFFF"/>
      <color rgb="FFFF5050"/>
      <color rgb="FF66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1"/>
  <sheetViews>
    <sheetView topLeftCell="A24" zoomScale="80" zoomScaleNormal="80" workbookViewId="0">
      <selection activeCell="S4" sqref="S4:S26"/>
    </sheetView>
  </sheetViews>
  <sheetFormatPr defaultColWidth="9.7109375" defaultRowHeight="15" x14ac:dyDescent="0.25"/>
  <cols>
    <col min="1" max="1" width="7.140625" style="1" customWidth="1"/>
    <col min="2" max="2" width="19.42578125" style="1" customWidth="1"/>
    <col min="3" max="3" width="6" style="14" bestFit="1" customWidth="1"/>
    <col min="4" max="4" width="25.85546875" style="1" customWidth="1"/>
    <col min="5" max="5" width="13.5703125" style="18" customWidth="1"/>
    <col min="6" max="6" width="3" style="1" customWidth="1"/>
    <col min="7" max="7" width="2" style="1" customWidth="1"/>
    <col min="8" max="8" width="8.85546875" style="1" customWidth="1"/>
    <col min="9" max="9" width="13.140625" style="1" customWidth="1"/>
    <col min="10" max="10" width="11.28515625" style="19" customWidth="1"/>
    <col min="11" max="11" width="17.42578125" style="4" bestFit="1" customWidth="1"/>
    <col min="12" max="12" width="15.5703125" style="4" customWidth="1"/>
    <col min="13" max="13" width="13.7109375" style="4" customWidth="1"/>
    <col min="14" max="18" width="11.5703125" style="4" customWidth="1"/>
    <col min="19" max="19" width="11" style="15" customWidth="1"/>
    <col min="20" max="20" width="10" style="5" customWidth="1"/>
    <col min="21" max="21" width="13.85546875" style="6" customWidth="1"/>
    <col min="22" max="22" width="16.710937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74.099999999999994" customHeight="1" x14ac:dyDescent="0.25">
      <c r="A1" s="172" t="s">
        <v>37</v>
      </c>
      <c r="B1" s="172"/>
      <c r="C1" s="172"/>
      <c r="D1" s="172" t="s">
        <v>36</v>
      </c>
      <c r="E1" s="172"/>
      <c r="F1" s="172"/>
      <c r="G1" s="172"/>
      <c r="H1" s="172"/>
      <c r="I1" s="172"/>
      <c r="J1" s="172"/>
      <c r="K1" s="172" t="s">
        <v>38</v>
      </c>
      <c r="L1" s="172"/>
      <c r="M1" s="172"/>
      <c r="N1" s="172"/>
      <c r="O1" s="172"/>
      <c r="P1" s="172"/>
      <c r="Q1" s="172"/>
      <c r="R1" s="172"/>
      <c r="S1" s="172"/>
      <c r="T1" s="172"/>
      <c r="U1" s="171" t="s">
        <v>117</v>
      </c>
      <c r="V1" s="171" t="s">
        <v>140</v>
      </c>
      <c r="W1" s="171" t="s">
        <v>142</v>
      </c>
      <c r="X1" s="171" t="s">
        <v>143</v>
      </c>
      <c r="Y1" s="171" t="s">
        <v>147</v>
      </c>
      <c r="Z1" s="173" t="s">
        <v>148</v>
      </c>
      <c r="AA1" s="171" t="s">
        <v>39</v>
      </c>
      <c r="AB1" s="171" t="s">
        <v>39</v>
      </c>
      <c r="AC1" s="171" t="s">
        <v>39</v>
      </c>
      <c r="AD1" s="171" t="s">
        <v>39</v>
      </c>
      <c r="AE1" s="171" t="s">
        <v>39</v>
      </c>
      <c r="AF1" s="171" t="s">
        <v>39</v>
      </c>
      <c r="AG1" s="171" t="s">
        <v>39</v>
      </c>
      <c r="AH1" s="171" t="s">
        <v>39</v>
      </c>
      <c r="AI1" s="171" t="s">
        <v>39</v>
      </c>
      <c r="AJ1" s="171" t="s">
        <v>39</v>
      </c>
      <c r="AK1" s="171" t="s">
        <v>39</v>
      </c>
      <c r="AL1" s="171" t="s">
        <v>39</v>
      </c>
    </row>
    <row r="2" spans="1:38" ht="24" customHeight="1" x14ac:dyDescent="0.25">
      <c r="A2" s="177" t="s">
        <v>103</v>
      </c>
      <c r="B2" s="178"/>
      <c r="C2" s="178"/>
      <c r="D2" s="178"/>
      <c r="E2" s="178"/>
      <c r="F2" s="178"/>
      <c r="G2" s="178"/>
      <c r="H2" s="178"/>
      <c r="I2" s="178"/>
      <c r="J2" s="179"/>
      <c r="K2" s="174" t="s">
        <v>116</v>
      </c>
      <c r="L2" s="175"/>
      <c r="M2" s="175"/>
      <c r="N2" s="175"/>
      <c r="O2" s="175"/>
      <c r="P2" s="175"/>
      <c r="Q2" s="175"/>
      <c r="R2" s="175"/>
      <c r="S2" s="175"/>
      <c r="T2" s="176"/>
      <c r="U2" s="171"/>
      <c r="V2" s="171"/>
      <c r="W2" s="171"/>
      <c r="X2" s="171"/>
      <c r="Y2" s="171"/>
      <c r="Z2" s="173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</row>
    <row r="3" spans="1:38" s="3" customFormat="1" ht="39.6" customHeight="1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4" t="s">
        <v>149</v>
      </c>
      <c r="M3" s="94" t="s">
        <v>150</v>
      </c>
      <c r="N3" s="94" t="s">
        <v>151</v>
      </c>
      <c r="O3" s="94" t="s">
        <v>152</v>
      </c>
      <c r="P3" s="94" t="s">
        <v>153</v>
      </c>
      <c r="Q3" s="94" t="s">
        <v>154</v>
      </c>
      <c r="R3" s="94" t="s">
        <v>155</v>
      </c>
      <c r="S3" s="12" t="s">
        <v>0</v>
      </c>
      <c r="T3" s="10" t="s">
        <v>2</v>
      </c>
      <c r="U3" s="92">
        <v>45491</v>
      </c>
      <c r="V3" s="92">
        <v>45558</v>
      </c>
      <c r="W3" s="92">
        <v>45561</v>
      </c>
      <c r="X3" s="92">
        <v>45573</v>
      </c>
      <c r="Y3" s="92">
        <v>45607</v>
      </c>
      <c r="Z3" s="140">
        <v>45610</v>
      </c>
      <c r="AA3" s="13" t="s">
        <v>1</v>
      </c>
      <c r="AB3" s="13" t="s">
        <v>1</v>
      </c>
      <c r="AC3" s="13" t="s">
        <v>1</v>
      </c>
      <c r="AD3" s="13" t="s">
        <v>1</v>
      </c>
      <c r="AE3" s="13" t="s">
        <v>1</v>
      </c>
      <c r="AF3" s="13" t="s">
        <v>1</v>
      </c>
      <c r="AG3" s="13" t="s">
        <v>1</v>
      </c>
      <c r="AH3" s="13" t="s">
        <v>1</v>
      </c>
      <c r="AI3" s="13" t="s">
        <v>1</v>
      </c>
      <c r="AJ3" s="13" t="s">
        <v>1</v>
      </c>
      <c r="AK3" s="13" t="s">
        <v>1</v>
      </c>
      <c r="AL3" s="13" t="s">
        <v>1</v>
      </c>
    </row>
    <row r="4" spans="1:38" ht="50.1" customHeight="1" x14ac:dyDescent="0.25">
      <c r="A4" s="184">
        <v>1</v>
      </c>
      <c r="B4" s="185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6">
        <f>20</f>
        <v>20</v>
      </c>
      <c r="L4" s="144">
        <f>IF(SUM(U4:AL4)&gt;K4,K4,SUM(U4:AL4))</f>
        <v>0</v>
      </c>
      <c r="M4" s="144">
        <f>SUM(U4:AL4)</f>
        <v>0</v>
      </c>
      <c r="N4" s="149"/>
      <c r="O4" s="145">
        <f>ROUND(IF(K4*0.25-0.5&lt;0,0,K4*0.25-0.5),0)-P4-R4</f>
        <v>5</v>
      </c>
      <c r="P4" s="146"/>
      <c r="Q4" s="146"/>
      <c r="R4" s="146"/>
      <c r="S4" s="67">
        <f>K4-(SUM(U4:AL4))+N4</f>
        <v>20</v>
      </c>
      <c r="T4" s="68" t="str">
        <f>IF(S4&lt;0,"ATENÇÃO","OK")</f>
        <v>OK</v>
      </c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184"/>
      <c r="B5" s="186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6">
        <f>5</f>
        <v>5</v>
      </c>
      <c r="L5" s="144">
        <f t="shared" ref="L5:L26" si="0">IF(SUM(U5:AL5)&gt;K5,K5,SUM(U5:AL5))</f>
        <v>0</v>
      </c>
      <c r="M5" s="144">
        <f t="shared" ref="M5:M26" si="1">SUM(U5:AL5)</f>
        <v>0</v>
      </c>
      <c r="N5" s="149"/>
      <c r="O5" s="145">
        <f t="shared" ref="O5:O26" si="2">ROUND(IF(K5*0.25-0.5&lt;0,0,K5*0.25-0.5),0)-P5-R5</f>
        <v>1</v>
      </c>
      <c r="P5" s="146"/>
      <c r="Q5" s="146"/>
      <c r="R5" s="146"/>
      <c r="S5" s="67">
        <f t="shared" ref="S5:S26" si="3">K5-(SUM(U5:AL5))+N5</f>
        <v>5</v>
      </c>
      <c r="T5" s="68" t="str">
        <f t="shared" ref="T5:T26" si="4">IF(S5&lt;0,"ATENÇÃO","OK")</f>
        <v>OK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184"/>
      <c r="B6" s="186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6">
        <f>5</f>
        <v>5</v>
      </c>
      <c r="L6" s="144">
        <f t="shared" si="0"/>
        <v>0</v>
      </c>
      <c r="M6" s="144">
        <f t="shared" si="1"/>
        <v>0</v>
      </c>
      <c r="N6" s="149"/>
      <c r="O6" s="145">
        <f t="shared" si="2"/>
        <v>1</v>
      </c>
      <c r="P6" s="146"/>
      <c r="Q6" s="146"/>
      <c r="R6" s="146"/>
      <c r="S6" s="67">
        <f t="shared" si="3"/>
        <v>5</v>
      </c>
      <c r="T6" s="68" t="str">
        <f t="shared" si="4"/>
        <v>OK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123" customHeight="1" x14ac:dyDescent="0.25">
      <c r="A7" s="184"/>
      <c r="B7" s="186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6">
        <f>100</f>
        <v>100</v>
      </c>
      <c r="L7" s="144">
        <f t="shared" si="0"/>
        <v>18.440000000000001</v>
      </c>
      <c r="M7" s="144">
        <f t="shared" si="1"/>
        <v>18.440000000000001</v>
      </c>
      <c r="N7" s="149"/>
      <c r="O7" s="145">
        <f t="shared" si="2"/>
        <v>25</v>
      </c>
      <c r="P7" s="146"/>
      <c r="Q7" s="146"/>
      <c r="R7" s="146"/>
      <c r="S7" s="67">
        <f t="shared" si="3"/>
        <v>81.56</v>
      </c>
      <c r="T7" s="68" t="str">
        <f t="shared" si="4"/>
        <v>OK</v>
      </c>
      <c r="U7" s="27"/>
      <c r="V7" s="27"/>
      <c r="W7" s="27"/>
      <c r="X7" s="139">
        <v>11.8</v>
      </c>
      <c r="Y7" s="139">
        <v>6.64</v>
      </c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184"/>
      <c r="B8" s="187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6">
        <f>100</f>
        <v>100</v>
      </c>
      <c r="L8" s="144">
        <f t="shared" si="0"/>
        <v>0</v>
      </c>
      <c r="M8" s="144">
        <f t="shared" si="1"/>
        <v>0</v>
      </c>
      <c r="N8" s="149"/>
      <c r="O8" s="145">
        <f t="shared" si="2"/>
        <v>25</v>
      </c>
      <c r="P8" s="146"/>
      <c r="Q8" s="146"/>
      <c r="R8" s="146"/>
      <c r="S8" s="67">
        <f t="shared" si="3"/>
        <v>100</v>
      </c>
      <c r="T8" s="68" t="str">
        <f t="shared" si="4"/>
        <v>OK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80">
        <v>2</v>
      </c>
      <c r="B9" s="181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6">
        <f>500-24.4</f>
        <v>475.6</v>
      </c>
      <c r="L9" s="144">
        <f t="shared" si="0"/>
        <v>20.399999999999999</v>
      </c>
      <c r="M9" s="144">
        <f t="shared" si="1"/>
        <v>20.399999999999999</v>
      </c>
      <c r="N9" s="149"/>
      <c r="O9" s="145">
        <f t="shared" si="2"/>
        <v>118</v>
      </c>
      <c r="P9" s="146"/>
      <c r="Q9" s="146"/>
      <c r="R9" s="146"/>
      <c r="S9" s="67">
        <f t="shared" si="3"/>
        <v>455.20000000000005</v>
      </c>
      <c r="T9" s="68" t="str">
        <f t="shared" si="4"/>
        <v>OK</v>
      </c>
      <c r="U9" s="27"/>
      <c r="V9" s="139">
        <v>20.399999999999999</v>
      </c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80"/>
      <c r="B10" s="182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6">
        <f>300</f>
        <v>300</v>
      </c>
      <c r="L10" s="144">
        <f t="shared" si="0"/>
        <v>44</v>
      </c>
      <c r="M10" s="144">
        <f t="shared" si="1"/>
        <v>44</v>
      </c>
      <c r="N10" s="149"/>
      <c r="O10" s="145">
        <f t="shared" si="2"/>
        <v>75</v>
      </c>
      <c r="P10" s="146"/>
      <c r="Q10" s="146"/>
      <c r="R10" s="146"/>
      <c r="S10" s="67">
        <f t="shared" si="3"/>
        <v>256</v>
      </c>
      <c r="T10" s="68" t="str">
        <f t="shared" si="4"/>
        <v>OK</v>
      </c>
      <c r="U10" s="27">
        <v>44</v>
      </c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80"/>
      <c r="B11" s="182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6">
        <f>20</f>
        <v>20</v>
      </c>
      <c r="L11" s="144">
        <f t="shared" si="0"/>
        <v>2</v>
      </c>
      <c r="M11" s="144">
        <f t="shared" si="1"/>
        <v>2</v>
      </c>
      <c r="N11" s="149"/>
      <c r="O11" s="145">
        <f t="shared" si="2"/>
        <v>5</v>
      </c>
      <c r="P11" s="146"/>
      <c r="Q11" s="146"/>
      <c r="R11" s="146"/>
      <c r="S11" s="67">
        <f t="shared" si="3"/>
        <v>18</v>
      </c>
      <c r="T11" s="68" t="str">
        <f t="shared" si="4"/>
        <v>OK</v>
      </c>
      <c r="U11" s="27">
        <v>1</v>
      </c>
      <c r="V11" s="27">
        <v>1</v>
      </c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80"/>
      <c r="B12" s="182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6">
        <f>10</f>
        <v>10</v>
      </c>
      <c r="L12" s="144">
        <f t="shared" si="0"/>
        <v>0</v>
      </c>
      <c r="M12" s="144">
        <f t="shared" si="1"/>
        <v>0</v>
      </c>
      <c r="N12" s="149"/>
      <c r="O12" s="145">
        <f t="shared" si="2"/>
        <v>2</v>
      </c>
      <c r="P12" s="146"/>
      <c r="Q12" s="146"/>
      <c r="R12" s="146"/>
      <c r="S12" s="67">
        <f t="shared" si="3"/>
        <v>10</v>
      </c>
      <c r="T12" s="68" t="str">
        <f t="shared" si="4"/>
        <v>OK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80"/>
      <c r="B13" s="182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6">
        <f>300</f>
        <v>300</v>
      </c>
      <c r="L13" s="144">
        <f t="shared" si="0"/>
        <v>40</v>
      </c>
      <c r="M13" s="144">
        <f t="shared" si="1"/>
        <v>40</v>
      </c>
      <c r="N13" s="149"/>
      <c r="O13" s="145">
        <f t="shared" si="2"/>
        <v>75</v>
      </c>
      <c r="P13" s="146"/>
      <c r="Q13" s="146"/>
      <c r="R13" s="146"/>
      <c r="S13" s="67">
        <f t="shared" si="3"/>
        <v>260</v>
      </c>
      <c r="T13" s="68" t="str">
        <f t="shared" si="4"/>
        <v>OK</v>
      </c>
      <c r="U13" s="27">
        <v>40</v>
      </c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80"/>
      <c r="B14" s="183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6">
        <f>300</f>
        <v>300</v>
      </c>
      <c r="L14" s="144">
        <f t="shared" si="0"/>
        <v>0</v>
      </c>
      <c r="M14" s="144">
        <f t="shared" si="1"/>
        <v>0</v>
      </c>
      <c r="N14" s="149"/>
      <c r="O14" s="145">
        <f t="shared" si="2"/>
        <v>75</v>
      </c>
      <c r="P14" s="146"/>
      <c r="Q14" s="146"/>
      <c r="R14" s="146"/>
      <c r="S14" s="67">
        <f t="shared" si="3"/>
        <v>300</v>
      </c>
      <c r="T14" s="68" t="str">
        <f t="shared" si="4"/>
        <v>OK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6">
        <f>1000</f>
        <v>1000</v>
      </c>
      <c r="L15" s="144">
        <f t="shared" si="0"/>
        <v>0</v>
      </c>
      <c r="M15" s="144">
        <f t="shared" si="1"/>
        <v>0</v>
      </c>
      <c r="N15" s="149"/>
      <c r="O15" s="145">
        <f t="shared" si="2"/>
        <v>250</v>
      </c>
      <c r="P15" s="146"/>
      <c r="Q15" s="146"/>
      <c r="R15" s="146"/>
      <c r="S15" s="67">
        <f t="shared" si="3"/>
        <v>1000</v>
      </c>
      <c r="T15" s="68" t="str">
        <f t="shared" si="4"/>
        <v>OK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114.75" customHeight="1" x14ac:dyDescent="0.25">
      <c r="A16" s="180">
        <v>4</v>
      </c>
      <c r="B16" s="181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6">
        <f>200</f>
        <v>200</v>
      </c>
      <c r="L16" s="144">
        <f t="shared" si="0"/>
        <v>42.48</v>
      </c>
      <c r="M16" s="144">
        <f t="shared" si="1"/>
        <v>42.48</v>
      </c>
      <c r="N16" s="149"/>
      <c r="O16" s="145">
        <f t="shared" si="2"/>
        <v>50</v>
      </c>
      <c r="P16" s="146"/>
      <c r="Q16" s="146"/>
      <c r="R16" s="146"/>
      <c r="S16" s="67">
        <f t="shared" si="3"/>
        <v>157.52000000000001</v>
      </c>
      <c r="T16" s="68" t="str">
        <f t="shared" si="4"/>
        <v>OK</v>
      </c>
      <c r="U16" s="27"/>
      <c r="V16" s="27"/>
      <c r="W16" s="139">
        <v>31.04</v>
      </c>
      <c r="X16" s="27"/>
      <c r="Y16" s="27"/>
      <c r="Z16" s="139">
        <v>11.44</v>
      </c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80"/>
      <c r="B17" s="182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6">
        <f>200</f>
        <v>200</v>
      </c>
      <c r="L17" s="144">
        <f t="shared" si="0"/>
        <v>0</v>
      </c>
      <c r="M17" s="144">
        <f t="shared" si="1"/>
        <v>0</v>
      </c>
      <c r="N17" s="149"/>
      <c r="O17" s="145">
        <f t="shared" si="2"/>
        <v>50</v>
      </c>
      <c r="P17" s="146"/>
      <c r="Q17" s="146"/>
      <c r="R17" s="146"/>
      <c r="S17" s="67">
        <f t="shared" si="3"/>
        <v>200</v>
      </c>
      <c r="T17" s="68" t="str">
        <f t="shared" si="4"/>
        <v>OK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80"/>
      <c r="B18" s="182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6">
        <f>100</f>
        <v>100</v>
      </c>
      <c r="L18" s="144">
        <f t="shared" si="0"/>
        <v>0</v>
      </c>
      <c r="M18" s="144">
        <f t="shared" si="1"/>
        <v>0</v>
      </c>
      <c r="N18" s="149"/>
      <c r="O18" s="145">
        <f t="shared" si="2"/>
        <v>25</v>
      </c>
      <c r="P18" s="146"/>
      <c r="Q18" s="146"/>
      <c r="R18" s="146"/>
      <c r="S18" s="67">
        <f t="shared" si="3"/>
        <v>100</v>
      </c>
      <c r="T18" s="68" t="str">
        <f t="shared" si="4"/>
        <v>OK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80"/>
      <c r="B19" s="183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6">
        <f>100</f>
        <v>100</v>
      </c>
      <c r="L19" s="144">
        <f t="shared" si="0"/>
        <v>0</v>
      </c>
      <c r="M19" s="144">
        <f t="shared" si="1"/>
        <v>0</v>
      </c>
      <c r="N19" s="149"/>
      <c r="O19" s="145">
        <f t="shared" si="2"/>
        <v>25</v>
      </c>
      <c r="P19" s="146"/>
      <c r="Q19" s="146"/>
      <c r="R19" s="146"/>
      <c r="S19" s="67">
        <f t="shared" si="3"/>
        <v>100</v>
      </c>
      <c r="T19" s="68" t="str">
        <f t="shared" si="4"/>
        <v>OK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6">
        <f>0</f>
        <v>0</v>
      </c>
      <c r="L20" s="144">
        <f t="shared" si="0"/>
        <v>0</v>
      </c>
      <c r="M20" s="144">
        <f t="shared" si="1"/>
        <v>0</v>
      </c>
      <c r="N20" s="149"/>
      <c r="O20" s="145">
        <f t="shared" si="2"/>
        <v>0</v>
      </c>
      <c r="P20" s="146"/>
      <c r="Q20" s="146"/>
      <c r="R20" s="146"/>
      <c r="S20" s="67">
        <f t="shared" si="3"/>
        <v>0</v>
      </c>
      <c r="T20" s="68" t="str">
        <f t="shared" si="4"/>
        <v>OK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6">
        <f>0</f>
        <v>0</v>
      </c>
      <c r="L21" s="144">
        <f t="shared" si="0"/>
        <v>0</v>
      </c>
      <c r="M21" s="144">
        <f t="shared" si="1"/>
        <v>0</v>
      </c>
      <c r="N21" s="149"/>
      <c r="O21" s="145">
        <f t="shared" si="2"/>
        <v>0</v>
      </c>
      <c r="P21" s="146"/>
      <c r="Q21" s="146"/>
      <c r="R21" s="146"/>
      <c r="S21" s="67">
        <f t="shared" si="3"/>
        <v>0</v>
      </c>
      <c r="T21" s="68" t="str">
        <f t="shared" si="4"/>
        <v>OK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6">
        <f>0</f>
        <v>0</v>
      </c>
      <c r="L22" s="144">
        <f t="shared" si="0"/>
        <v>0</v>
      </c>
      <c r="M22" s="144">
        <f t="shared" si="1"/>
        <v>0</v>
      </c>
      <c r="N22" s="149"/>
      <c r="O22" s="145">
        <f t="shared" si="2"/>
        <v>0</v>
      </c>
      <c r="P22" s="146"/>
      <c r="Q22" s="146"/>
      <c r="R22" s="146"/>
      <c r="S22" s="67">
        <f t="shared" si="3"/>
        <v>0</v>
      </c>
      <c r="T22" s="68" t="str">
        <f t="shared" si="4"/>
        <v>OK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6">
        <f>0</f>
        <v>0</v>
      </c>
      <c r="L23" s="144">
        <f t="shared" si="0"/>
        <v>0</v>
      </c>
      <c r="M23" s="144">
        <f t="shared" si="1"/>
        <v>0</v>
      </c>
      <c r="N23" s="149"/>
      <c r="O23" s="145">
        <f t="shared" si="2"/>
        <v>0</v>
      </c>
      <c r="P23" s="146"/>
      <c r="Q23" s="146"/>
      <c r="R23" s="146"/>
      <c r="S23" s="67">
        <f t="shared" si="3"/>
        <v>0</v>
      </c>
      <c r="T23" s="68" t="str">
        <f t="shared" si="4"/>
        <v>OK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6">
        <f>0</f>
        <v>0</v>
      </c>
      <c r="L24" s="144">
        <f t="shared" si="0"/>
        <v>0</v>
      </c>
      <c r="M24" s="144">
        <f t="shared" si="1"/>
        <v>0</v>
      </c>
      <c r="N24" s="149"/>
      <c r="O24" s="145">
        <f t="shared" si="2"/>
        <v>0</v>
      </c>
      <c r="P24" s="146"/>
      <c r="Q24" s="146"/>
      <c r="R24" s="146"/>
      <c r="S24" s="67">
        <f t="shared" si="3"/>
        <v>0</v>
      </c>
      <c r="T24" s="68" t="str">
        <f t="shared" si="4"/>
        <v>OK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6">
        <f>0</f>
        <v>0</v>
      </c>
      <c r="L25" s="147">
        <f t="shared" si="0"/>
        <v>0</v>
      </c>
      <c r="M25" s="147">
        <f t="shared" si="1"/>
        <v>0</v>
      </c>
      <c r="N25" s="149"/>
      <c r="O25" s="145">
        <f t="shared" si="2"/>
        <v>0</v>
      </c>
      <c r="P25" s="146"/>
      <c r="Q25" s="146"/>
      <c r="R25" s="146"/>
      <c r="S25" s="67">
        <f t="shared" si="3"/>
        <v>0</v>
      </c>
      <c r="T25" s="68" t="str">
        <f t="shared" si="4"/>
        <v>OK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195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6">
        <f>0</f>
        <v>0</v>
      </c>
      <c r="L26" s="144">
        <f t="shared" si="0"/>
        <v>0</v>
      </c>
      <c r="M26" s="144">
        <f t="shared" si="1"/>
        <v>0</v>
      </c>
      <c r="N26" s="149"/>
      <c r="O26" s="145">
        <f t="shared" si="2"/>
        <v>0</v>
      </c>
      <c r="P26" s="146"/>
      <c r="Q26" s="146"/>
      <c r="R26" s="146"/>
      <c r="S26" s="67">
        <f t="shared" si="3"/>
        <v>0</v>
      </c>
      <c r="T26" s="68" t="str">
        <f t="shared" si="4"/>
        <v>OK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150">
        <f>SUMPRODUCT($J$4:$J$26,K4:K26)</f>
        <v>289582.8</v>
      </c>
      <c r="L27" s="150">
        <f t="shared" ref="L27:M27" si="5">SUMPRODUCT($J$4:$J$26,L4:L26)</f>
        <v>17648.9548</v>
      </c>
      <c r="M27" s="150">
        <f t="shared" si="5"/>
        <v>17648.9548</v>
      </c>
      <c r="U27" s="26">
        <f>SUMPRODUCT($J$4:$J$26,U4:U26)</f>
        <v>8292</v>
      </c>
      <c r="V27" s="26">
        <f t="shared" ref="V27:AL27" si="6">SUMPRODUCT($J$4:$J$26,V4:V26)</f>
        <v>3032</v>
      </c>
      <c r="W27" s="26">
        <f t="shared" si="6"/>
        <v>2793.6</v>
      </c>
      <c r="X27" s="26">
        <f t="shared" si="6"/>
        <v>1600.9059999999999</v>
      </c>
      <c r="Y27" s="26">
        <f t="shared" si="6"/>
        <v>900.84879999999987</v>
      </c>
      <c r="Z27" s="143">
        <f t="shared" si="6"/>
        <v>1029.5999999999999</v>
      </c>
      <c r="AA27" s="26">
        <f t="shared" si="6"/>
        <v>0</v>
      </c>
      <c r="AB27" s="26">
        <f t="shared" si="6"/>
        <v>0</v>
      </c>
      <c r="AC27" s="26">
        <f t="shared" si="6"/>
        <v>0</v>
      </c>
      <c r="AD27" s="26">
        <f t="shared" si="6"/>
        <v>0</v>
      </c>
      <c r="AE27" s="26">
        <f t="shared" si="6"/>
        <v>0</v>
      </c>
      <c r="AF27" s="26">
        <f t="shared" si="6"/>
        <v>0</v>
      </c>
      <c r="AG27" s="26">
        <f t="shared" si="6"/>
        <v>0</v>
      </c>
      <c r="AH27" s="26">
        <f t="shared" si="6"/>
        <v>0</v>
      </c>
      <c r="AI27" s="26">
        <f t="shared" si="6"/>
        <v>0</v>
      </c>
      <c r="AJ27" s="26">
        <f t="shared" si="6"/>
        <v>0</v>
      </c>
      <c r="AK27" s="26">
        <f t="shared" si="6"/>
        <v>0</v>
      </c>
      <c r="AL27" s="26">
        <f t="shared" si="6"/>
        <v>0</v>
      </c>
    </row>
    <row r="28" spans="1:38" x14ac:dyDescent="0.25">
      <c r="D28" s="29" t="s">
        <v>43</v>
      </c>
      <c r="L28" s="148"/>
      <c r="M28" s="148"/>
    </row>
    <row r="29" spans="1:38" x14ac:dyDescent="0.25">
      <c r="A29" s="18"/>
      <c r="B29" s="18"/>
      <c r="D29" s="65" t="s">
        <v>44</v>
      </c>
      <c r="F29" s="18"/>
      <c r="G29" s="18"/>
      <c r="H29" s="18"/>
      <c r="I29" s="18"/>
      <c r="L29" s="148"/>
      <c r="M29" s="148"/>
    </row>
    <row r="30" spans="1:38" ht="30" x14ac:dyDescent="0.25">
      <c r="D30" s="30" t="s">
        <v>106</v>
      </c>
      <c r="L30" s="148"/>
      <c r="M30" s="148"/>
    </row>
    <row r="31" spans="1:38" ht="30.75" thickBot="1" x14ac:dyDescent="0.3">
      <c r="D31" s="31" t="s">
        <v>105</v>
      </c>
      <c r="L31" s="148"/>
      <c r="M31" s="148"/>
      <c r="U31" s="93"/>
    </row>
  </sheetData>
  <autoFilter ref="A3:AL31" xr:uid="{00000000-0001-0000-0000-000000000000}"/>
  <mergeCells count="29">
    <mergeCell ref="A16:A19"/>
    <mergeCell ref="B16:B19"/>
    <mergeCell ref="A1:C1"/>
    <mergeCell ref="AC1:AC2"/>
    <mergeCell ref="A4:A8"/>
    <mergeCell ref="B4:B8"/>
    <mergeCell ref="A9:A14"/>
    <mergeCell ref="B9:B14"/>
    <mergeCell ref="U1:U2"/>
    <mergeCell ref="V1:V2"/>
    <mergeCell ref="AB1:AB2"/>
    <mergeCell ref="Y1:Y2"/>
    <mergeCell ref="W1:W2"/>
    <mergeCell ref="X1:X2"/>
    <mergeCell ref="AL1:AL2"/>
    <mergeCell ref="AG1:AG2"/>
    <mergeCell ref="AH1:AH2"/>
    <mergeCell ref="AI1:AI2"/>
    <mergeCell ref="AJ1:AJ2"/>
    <mergeCell ref="AK1:AK2"/>
    <mergeCell ref="AF1:AF2"/>
    <mergeCell ref="AD1:AD2"/>
    <mergeCell ref="AE1:AE2"/>
    <mergeCell ref="D1:J1"/>
    <mergeCell ref="K1:T1"/>
    <mergeCell ref="Z1:Z2"/>
    <mergeCell ref="AA1:AA2"/>
    <mergeCell ref="K2:T2"/>
    <mergeCell ref="A2:J2"/>
  </mergeCells>
  <conditionalFormatting sqref="AE4:AL26 AB5:AD26 V4:AA26 U5:U26">
    <cfRule type="cellIs" dxfId="128" priority="53" stopIfTrue="1" operator="greaterThan">
      <formula>0</formula>
    </cfRule>
    <cfRule type="cellIs" dxfId="127" priority="54" stopIfTrue="1" operator="greaterThan">
      <formula>0</formula>
    </cfRule>
    <cfRule type="cellIs" dxfId="126" priority="55" stopIfTrue="1" operator="greaterThan">
      <formula>0</formula>
    </cfRule>
  </conditionalFormatting>
  <conditionalFormatting sqref="AB4:AD4">
    <cfRule type="cellIs" dxfId="125" priority="29" stopIfTrue="1" operator="greaterThan">
      <formula>0</formula>
    </cfRule>
    <cfRule type="cellIs" dxfId="124" priority="30" stopIfTrue="1" operator="greaterThan">
      <formula>0</formula>
    </cfRule>
    <cfRule type="cellIs" dxfId="123" priority="31" stopIfTrue="1" operator="greaterThan">
      <formula>0</formula>
    </cfRule>
  </conditionalFormatting>
  <conditionalFormatting sqref="U4">
    <cfRule type="cellIs" dxfId="122" priority="11" stopIfTrue="1" operator="greaterThan">
      <formula>0</formula>
    </cfRule>
    <cfRule type="cellIs" dxfId="121" priority="12" stopIfTrue="1" operator="greaterThan">
      <formula>0</formula>
    </cfRule>
    <cfRule type="cellIs" dxfId="120" priority="13" stopIfTrue="1" operator="greaterThan">
      <formula>0</formula>
    </cfRule>
  </conditionalFormatting>
  <conditionalFormatting sqref="U4:AL26">
    <cfRule type="cellIs" dxfId="11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E3C6-9E63-4865-9BEB-CDA35550A863}">
  <dimension ref="A1:AL40"/>
  <sheetViews>
    <sheetView zoomScale="80" zoomScaleNormal="80" workbookViewId="0">
      <selection activeCell="F14" sqref="F14"/>
    </sheetView>
  </sheetViews>
  <sheetFormatPr defaultColWidth="9.7109375" defaultRowHeight="15" x14ac:dyDescent="0.25"/>
  <cols>
    <col min="1" max="1" width="7.140625" style="18" customWidth="1"/>
    <col min="2" max="2" width="23.42578125" style="18" customWidth="1"/>
    <col min="3" max="3" width="6" style="14" bestFit="1" customWidth="1"/>
    <col min="4" max="4" width="31.28515625" style="18" customWidth="1"/>
    <col min="5" max="5" width="19" style="18" customWidth="1"/>
    <col min="6" max="6" width="9.28515625" style="18" customWidth="1"/>
    <col min="7" max="7" width="12" style="18" bestFit="1" customWidth="1"/>
    <col min="8" max="8" width="8.85546875" style="18" customWidth="1"/>
    <col min="9" max="9" width="10.140625" style="18" bestFit="1" customWidth="1"/>
    <col min="10" max="10" width="13.42578125" style="19" bestFit="1" customWidth="1"/>
    <col min="11" max="11" width="13.7109375" style="4" bestFit="1" customWidth="1"/>
    <col min="12" max="12" width="12.7109375" style="4" customWidth="1"/>
    <col min="13" max="13" width="12.42578125" style="4" customWidth="1"/>
    <col min="14" max="18" width="11.5703125" style="4" customWidth="1"/>
    <col min="19" max="19" width="11" style="15" customWidth="1"/>
    <col min="20" max="20" width="10.85546875" style="5" customWidth="1"/>
    <col min="21" max="21" width="13.85546875" style="6" customWidth="1"/>
    <col min="22" max="22" width="13.4257812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31.7" customHeight="1" x14ac:dyDescent="0.25">
      <c r="A1" s="172" t="s">
        <v>37</v>
      </c>
      <c r="B1" s="172"/>
      <c r="C1" s="172"/>
      <c r="D1" s="172" t="s">
        <v>36</v>
      </c>
      <c r="E1" s="172"/>
      <c r="F1" s="172"/>
      <c r="G1" s="172"/>
      <c r="H1" s="172"/>
      <c r="I1" s="172"/>
      <c r="J1" s="172"/>
      <c r="K1" s="172" t="s">
        <v>38</v>
      </c>
      <c r="L1" s="172"/>
      <c r="M1" s="172"/>
      <c r="N1" s="172"/>
      <c r="O1" s="172"/>
      <c r="P1" s="172"/>
      <c r="Q1" s="172"/>
      <c r="R1" s="172"/>
      <c r="S1" s="172"/>
      <c r="T1" s="172"/>
      <c r="U1" s="189" t="s">
        <v>173</v>
      </c>
      <c r="V1" s="189" t="s">
        <v>174</v>
      </c>
      <c r="W1" s="189" t="s">
        <v>175</v>
      </c>
      <c r="X1" s="189" t="s">
        <v>176</v>
      </c>
      <c r="Y1" s="171" t="s">
        <v>39</v>
      </c>
      <c r="Z1" s="171" t="s">
        <v>39</v>
      </c>
      <c r="AA1" s="171" t="s">
        <v>39</v>
      </c>
      <c r="AB1" s="171" t="s">
        <v>39</v>
      </c>
      <c r="AC1" s="171" t="s">
        <v>39</v>
      </c>
      <c r="AD1" s="171" t="s">
        <v>39</v>
      </c>
      <c r="AE1" s="171" t="s">
        <v>39</v>
      </c>
      <c r="AF1" s="171" t="s">
        <v>39</v>
      </c>
      <c r="AG1" s="171" t="s">
        <v>39</v>
      </c>
      <c r="AH1" s="171" t="s">
        <v>39</v>
      </c>
      <c r="AI1" s="171" t="s">
        <v>39</v>
      </c>
      <c r="AJ1" s="171" t="s">
        <v>39</v>
      </c>
      <c r="AK1" s="171" t="s">
        <v>39</v>
      </c>
      <c r="AL1" s="171" t="s">
        <v>39</v>
      </c>
    </row>
    <row r="2" spans="1:38" ht="24" customHeight="1" x14ac:dyDescent="0.25">
      <c r="A2" s="177" t="s">
        <v>113</v>
      </c>
      <c r="B2" s="178"/>
      <c r="C2" s="178"/>
      <c r="D2" s="178"/>
      <c r="E2" s="178"/>
      <c r="F2" s="178"/>
      <c r="G2" s="178"/>
      <c r="H2" s="178"/>
      <c r="I2" s="178"/>
      <c r="J2" s="179"/>
      <c r="K2" s="174" t="s">
        <v>116</v>
      </c>
      <c r="L2" s="175"/>
      <c r="M2" s="175"/>
      <c r="N2" s="175"/>
      <c r="O2" s="175"/>
      <c r="P2" s="175"/>
      <c r="Q2" s="175"/>
      <c r="R2" s="175"/>
      <c r="S2" s="175"/>
      <c r="T2" s="176"/>
      <c r="U2" s="190"/>
      <c r="V2" s="190"/>
      <c r="W2" s="190"/>
      <c r="X2" s="190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</row>
    <row r="3" spans="1:38" s="3" customFormat="1" ht="75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4" t="s">
        <v>149</v>
      </c>
      <c r="M3" s="94" t="s">
        <v>150</v>
      </c>
      <c r="N3" s="94" t="s">
        <v>151</v>
      </c>
      <c r="O3" s="94" t="s">
        <v>152</v>
      </c>
      <c r="P3" s="94" t="s">
        <v>153</v>
      </c>
      <c r="Q3" s="94" t="s">
        <v>154</v>
      </c>
      <c r="R3" s="94" t="s">
        <v>155</v>
      </c>
      <c r="S3" s="12" t="s">
        <v>0</v>
      </c>
      <c r="T3" s="10" t="s">
        <v>2</v>
      </c>
      <c r="U3" s="161">
        <v>45511</v>
      </c>
      <c r="V3" s="161">
        <v>45511</v>
      </c>
      <c r="W3" s="161">
        <v>45545</v>
      </c>
      <c r="X3" s="161">
        <v>45581</v>
      </c>
      <c r="Y3" s="166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184">
        <v>1</v>
      </c>
      <c r="B4" s="188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64</f>
        <v>64</v>
      </c>
      <c r="L4" s="144">
        <f>IF(SUM(U4:AL4)&gt;K4,K4,SUM(U4:AL4))</f>
        <v>0</v>
      </c>
      <c r="M4" s="144">
        <f>SUM(U4:AL4)</f>
        <v>0</v>
      </c>
      <c r="N4" s="149"/>
      <c r="O4" s="145">
        <f>ROUND(IF(K4*0.25-0.5&lt;0,0,K4*0.25-0.5),0)-P4-R4</f>
        <v>16</v>
      </c>
      <c r="P4" s="146"/>
      <c r="Q4" s="146"/>
      <c r="R4" s="146"/>
      <c r="S4" s="168">
        <f>K4-(SUM(U4:AL4))+N4</f>
        <v>64</v>
      </c>
      <c r="T4" s="68" t="str">
        <f>IF(S4&lt;0,"ATENÇÃO","OK")</f>
        <v>OK</v>
      </c>
      <c r="U4" s="165"/>
      <c r="V4" s="165"/>
      <c r="W4" s="165"/>
      <c r="X4" s="165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184"/>
      <c r="B5" s="186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30</f>
        <v>30</v>
      </c>
      <c r="L5" s="144">
        <f t="shared" ref="L5:L26" si="0">IF(SUM(U5:AL5)&gt;K5,K5,SUM(U5:AL5))</f>
        <v>0</v>
      </c>
      <c r="M5" s="144">
        <f t="shared" ref="M5:M26" si="1">SUM(U5:AL5)</f>
        <v>0</v>
      </c>
      <c r="N5" s="149"/>
      <c r="O5" s="145">
        <f t="shared" ref="O5:O26" si="2">ROUND(IF(K5*0.25-0.5&lt;0,0,K5*0.25-0.5),0)-P5-R5</f>
        <v>7</v>
      </c>
      <c r="P5" s="146"/>
      <c r="Q5" s="146"/>
      <c r="R5" s="146"/>
      <c r="S5" s="168">
        <f t="shared" ref="S5:S26" si="3">K5-(SUM(U5:AL5))+N5</f>
        <v>30</v>
      </c>
      <c r="T5" s="68" t="str">
        <f t="shared" ref="T5:T27" si="4">IF(S5&lt;0,"ATENÇÃO","OK")</f>
        <v>OK</v>
      </c>
      <c r="U5" s="165"/>
      <c r="V5" s="165"/>
      <c r="W5" s="165"/>
      <c r="X5" s="165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184"/>
      <c r="B6" s="186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40</f>
        <v>40</v>
      </c>
      <c r="L6" s="144">
        <f t="shared" si="0"/>
        <v>0</v>
      </c>
      <c r="M6" s="144">
        <f t="shared" si="1"/>
        <v>0</v>
      </c>
      <c r="N6" s="149"/>
      <c r="O6" s="145">
        <f t="shared" si="2"/>
        <v>10</v>
      </c>
      <c r="P6" s="146"/>
      <c r="Q6" s="146"/>
      <c r="R6" s="146"/>
      <c r="S6" s="168">
        <f t="shared" si="3"/>
        <v>40</v>
      </c>
      <c r="T6" s="68" t="str">
        <f t="shared" si="4"/>
        <v>OK</v>
      </c>
      <c r="U6" s="165"/>
      <c r="V6" s="165"/>
      <c r="W6" s="165"/>
      <c r="X6" s="165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50.1" customHeight="1" x14ac:dyDescent="0.25">
      <c r="A7" s="184"/>
      <c r="B7" s="186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35</f>
        <v>35</v>
      </c>
      <c r="L7" s="144">
        <f t="shared" si="0"/>
        <v>0</v>
      </c>
      <c r="M7" s="144">
        <f t="shared" si="1"/>
        <v>0</v>
      </c>
      <c r="N7" s="149"/>
      <c r="O7" s="145">
        <f t="shared" si="2"/>
        <v>8</v>
      </c>
      <c r="P7" s="146"/>
      <c r="Q7" s="146"/>
      <c r="R7" s="146"/>
      <c r="S7" s="168">
        <f t="shared" si="3"/>
        <v>35</v>
      </c>
      <c r="T7" s="68" t="str">
        <f t="shared" si="4"/>
        <v>OK</v>
      </c>
      <c r="U7" s="165"/>
      <c r="V7" s="165"/>
      <c r="W7" s="165"/>
      <c r="X7" s="165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184"/>
      <c r="B8" s="187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20</f>
        <v>20</v>
      </c>
      <c r="L8" s="144">
        <f t="shared" si="0"/>
        <v>0</v>
      </c>
      <c r="M8" s="144">
        <f t="shared" si="1"/>
        <v>0</v>
      </c>
      <c r="N8" s="149"/>
      <c r="O8" s="145">
        <f t="shared" si="2"/>
        <v>5</v>
      </c>
      <c r="P8" s="146"/>
      <c r="Q8" s="146"/>
      <c r="R8" s="146"/>
      <c r="S8" s="168">
        <f t="shared" si="3"/>
        <v>20</v>
      </c>
      <c r="T8" s="68" t="str">
        <f t="shared" si="4"/>
        <v>OK</v>
      </c>
      <c r="U8" s="165"/>
      <c r="V8" s="165"/>
      <c r="W8" s="165"/>
      <c r="X8" s="165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80">
        <v>2</v>
      </c>
      <c r="B9" s="181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250</f>
        <v>250</v>
      </c>
      <c r="L9" s="144">
        <f t="shared" si="0"/>
        <v>16.899999999999999</v>
      </c>
      <c r="M9" s="144">
        <f t="shared" si="1"/>
        <v>16.899999999999999</v>
      </c>
      <c r="N9" s="149">
        <v>-125</v>
      </c>
      <c r="O9" s="145">
        <f t="shared" si="2"/>
        <v>62</v>
      </c>
      <c r="P9" s="146"/>
      <c r="Q9" s="146"/>
      <c r="R9" s="146"/>
      <c r="S9" s="168">
        <f t="shared" si="3"/>
        <v>108.1</v>
      </c>
      <c r="T9" s="68" t="str">
        <f t="shared" si="4"/>
        <v>OK</v>
      </c>
      <c r="U9" s="165"/>
      <c r="V9" s="165"/>
      <c r="W9" s="167">
        <v>16.899999999999999</v>
      </c>
      <c r="X9" s="165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80"/>
      <c r="B10" s="182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140</f>
        <v>140</v>
      </c>
      <c r="L10" s="144">
        <f t="shared" si="0"/>
        <v>3.4</v>
      </c>
      <c r="M10" s="144">
        <f t="shared" si="1"/>
        <v>3.4</v>
      </c>
      <c r="N10" s="149">
        <v>-70</v>
      </c>
      <c r="O10" s="145">
        <f t="shared" si="2"/>
        <v>35</v>
      </c>
      <c r="P10" s="146"/>
      <c r="Q10" s="146"/>
      <c r="R10" s="146"/>
      <c r="S10" s="168">
        <f t="shared" si="3"/>
        <v>66.599999999999994</v>
      </c>
      <c r="T10" s="68" t="str">
        <f t="shared" si="4"/>
        <v>OK</v>
      </c>
      <c r="U10" s="165"/>
      <c r="V10" s="165"/>
      <c r="W10" s="167">
        <v>3.4</v>
      </c>
      <c r="X10" s="165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80"/>
      <c r="B11" s="182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10</f>
        <v>10</v>
      </c>
      <c r="L11" s="144">
        <f t="shared" si="0"/>
        <v>1</v>
      </c>
      <c r="M11" s="144">
        <f t="shared" si="1"/>
        <v>1</v>
      </c>
      <c r="N11" s="149">
        <v>-5</v>
      </c>
      <c r="O11" s="145">
        <f t="shared" si="2"/>
        <v>2</v>
      </c>
      <c r="P11" s="146"/>
      <c r="Q11" s="146"/>
      <c r="R11" s="146"/>
      <c r="S11" s="168">
        <f t="shared" si="3"/>
        <v>4</v>
      </c>
      <c r="T11" s="68" t="str">
        <f t="shared" si="4"/>
        <v>OK</v>
      </c>
      <c r="U11" s="165"/>
      <c r="V11" s="165"/>
      <c r="W11" s="167">
        <v>1</v>
      </c>
      <c r="X11" s="165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80"/>
      <c r="B12" s="182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8</f>
        <v>8</v>
      </c>
      <c r="L12" s="144">
        <f t="shared" si="0"/>
        <v>0</v>
      </c>
      <c r="M12" s="144">
        <f t="shared" si="1"/>
        <v>0</v>
      </c>
      <c r="N12" s="149">
        <v>-4</v>
      </c>
      <c r="O12" s="145">
        <f t="shared" si="2"/>
        <v>2</v>
      </c>
      <c r="P12" s="146"/>
      <c r="Q12" s="146"/>
      <c r="R12" s="146"/>
      <c r="S12" s="168">
        <f t="shared" si="3"/>
        <v>4</v>
      </c>
      <c r="T12" s="68" t="str">
        <f t="shared" si="4"/>
        <v>OK</v>
      </c>
      <c r="U12" s="165"/>
      <c r="V12" s="165"/>
      <c r="W12" s="165"/>
      <c r="X12" s="165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80"/>
      <c r="B13" s="182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150</f>
        <v>150</v>
      </c>
      <c r="L13" s="144">
        <f t="shared" si="0"/>
        <v>59</v>
      </c>
      <c r="M13" s="144">
        <f t="shared" si="1"/>
        <v>59</v>
      </c>
      <c r="N13" s="149">
        <v>-75</v>
      </c>
      <c r="O13" s="145">
        <f t="shared" si="2"/>
        <v>37</v>
      </c>
      <c r="P13" s="146"/>
      <c r="Q13" s="146"/>
      <c r="R13" s="146"/>
      <c r="S13" s="168">
        <f t="shared" si="3"/>
        <v>16</v>
      </c>
      <c r="T13" s="68" t="str">
        <f t="shared" si="4"/>
        <v>OK</v>
      </c>
      <c r="U13" s="165"/>
      <c r="V13" s="165"/>
      <c r="W13" s="167">
        <v>59</v>
      </c>
      <c r="X13" s="165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80"/>
      <c r="B14" s="183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370</f>
        <v>370</v>
      </c>
      <c r="L14" s="144">
        <f t="shared" si="0"/>
        <v>59</v>
      </c>
      <c r="M14" s="144">
        <f t="shared" si="1"/>
        <v>59</v>
      </c>
      <c r="N14" s="149">
        <v>-185</v>
      </c>
      <c r="O14" s="145">
        <f t="shared" si="2"/>
        <v>92</v>
      </c>
      <c r="P14" s="146"/>
      <c r="Q14" s="146"/>
      <c r="R14" s="146"/>
      <c r="S14" s="168">
        <f t="shared" si="3"/>
        <v>126</v>
      </c>
      <c r="T14" s="68" t="str">
        <f t="shared" si="4"/>
        <v>OK</v>
      </c>
      <c r="U14" s="165"/>
      <c r="V14" s="165"/>
      <c r="W14" s="167">
        <v>59</v>
      </c>
      <c r="X14" s="165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180</f>
        <v>180</v>
      </c>
      <c r="L15" s="144">
        <f t="shared" si="0"/>
        <v>4.5</v>
      </c>
      <c r="M15" s="144">
        <f t="shared" si="1"/>
        <v>4.5</v>
      </c>
      <c r="N15" s="149"/>
      <c r="O15" s="145">
        <f t="shared" si="2"/>
        <v>45</v>
      </c>
      <c r="P15" s="146"/>
      <c r="Q15" s="146"/>
      <c r="R15" s="146"/>
      <c r="S15" s="168">
        <f t="shared" si="3"/>
        <v>175.5</v>
      </c>
      <c r="T15" s="68" t="str">
        <f t="shared" si="4"/>
        <v>OK</v>
      </c>
      <c r="U15" s="167">
        <v>4.5</v>
      </c>
      <c r="V15" s="165"/>
      <c r="W15" s="165"/>
      <c r="X15" s="165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65.25" customHeight="1" x14ac:dyDescent="0.25">
      <c r="A16" s="180">
        <v>4</v>
      </c>
      <c r="B16" s="181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370</f>
        <v>370</v>
      </c>
      <c r="L16" s="144">
        <f t="shared" si="0"/>
        <v>0</v>
      </c>
      <c r="M16" s="144">
        <f t="shared" si="1"/>
        <v>0</v>
      </c>
      <c r="N16" s="149"/>
      <c r="O16" s="145">
        <f t="shared" si="2"/>
        <v>92</v>
      </c>
      <c r="P16" s="146"/>
      <c r="Q16" s="146"/>
      <c r="R16" s="146"/>
      <c r="S16" s="168">
        <f t="shared" si="3"/>
        <v>370</v>
      </c>
      <c r="T16" s="68" t="str">
        <f t="shared" si="4"/>
        <v>OK</v>
      </c>
      <c r="U16" s="165"/>
      <c r="V16" s="165"/>
      <c r="W16" s="165"/>
      <c r="X16" s="165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80"/>
      <c r="B17" s="182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160</f>
        <v>160</v>
      </c>
      <c r="L17" s="144">
        <f t="shared" si="0"/>
        <v>0</v>
      </c>
      <c r="M17" s="144">
        <f t="shared" si="1"/>
        <v>0</v>
      </c>
      <c r="N17" s="149"/>
      <c r="O17" s="145">
        <f t="shared" si="2"/>
        <v>40</v>
      </c>
      <c r="P17" s="146"/>
      <c r="Q17" s="146"/>
      <c r="R17" s="146"/>
      <c r="S17" s="168">
        <f t="shared" si="3"/>
        <v>160</v>
      </c>
      <c r="T17" s="68" t="str">
        <f t="shared" si="4"/>
        <v>OK</v>
      </c>
      <c r="U17" s="165"/>
      <c r="V17" s="165"/>
      <c r="W17" s="165"/>
      <c r="X17" s="165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80"/>
      <c r="B18" s="182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205</f>
        <v>205</v>
      </c>
      <c r="L18" s="144">
        <f t="shared" si="0"/>
        <v>0</v>
      </c>
      <c r="M18" s="144">
        <f t="shared" si="1"/>
        <v>0</v>
      </c>
      <c r="N18" s="149"/>
      <c r="O18" s="145">
        <f t="shared" si="2"/>
        <v>51</v>
      </c>
      <c r="P18" s="146"/>
      <c r="Q18" s="146"/>
      <c r="R18" s="146"/>
      <c r="S18" s="168">
        <f t="shared" si="3"/>
        <v>205</v>
      </c>
      <c r="T18" s="68" t="str">
        <f t="shared" si="4"/>
        <v>OK</v>
      </c>
      <c r="U18" s="165"/>
      <c r="V18" s="165"/>
      <c r="W18" s="165"/>
      <c r="X18" s="165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80"/>
      <c r="B19" s="183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140</f>
        <v>140</v>
      </c>
      <c r="L19" s="144">
        <f t="shared" si="0"/>
        <v>0</v>
      </c>
      <c r="M19" s="144">
        <f t="shared" si="1"/>
        <v>0</v>
      </c>
      <c r="N19" s="149"/>
      <c r="O19" s="145">
        <f t="shared" si="2"/>
        <v>35</v>
      </c>
      <c r="P19" s="146"/>
      <c r="Q19" s="146"/>
      <c r="R19" s="146"/>
      <c r="S19" s="168">
        <f t="shared" si="3"/>
        <v>140</v>
      </c>
      <c r="T19" s="68" t="str">
        <f t="shared" si="4"/>
        <v>OK</v>
      </c>
      <c r="U19" s="165"/>
      <c r="V19" s="165"/>
      <c r="W19" s="165"/>
      <c r="X19" s="165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0</f>
        <v>0</v>
      </c>
      <c r="L20" s="144">
        <f t="shared" si="0"/>
        <v>0</v>
      </c>
      <c r="M20" s="144">
        <f t="shared" si="1"/>
        <v>0</v>
      </c>
      <c r="N20" s="149"/>
      <c r="O20" s="145">
        <f t="shared" si="2"/>
        <v>0</v>
      </c>
      <c r="P20" s="146"/>
      <c r="Q20" s="146"/>
      <c r="R20" s="146"/>
      <c r="S20" s="168">
        <f t="shared" si="3"/>
        <v>0</v>
      </c>
      <c r="T20" s="68" t="str">
        <f t="shared" si="4"/>
        <v>OK</v>
      </c>
      <c r="U20" s="165"/>
      <c r="V20" s="165"/>
      <c r="W20" s="165"/>
      <c r="X20" s="165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0</f>
        <v>0</v>
      </c>
      <c r="L21" s="144">
        <f t="shared" si="0"/>
        <v>0</v>
      </c>
      <c r="M21" s="144">
        <f t="shared" si="1"/>
        <v>0</v>
      </c>
      <c r="N21" s="149"/>
      <c r="O21" s="145">
        <f t="shared" si="2"/>
        <v>0</v>
      </c>
      <c r="P21" s="146"/>
      <c r="Q21" s="146"/>
      <c r="R21" s="146"/>
      <c r="S21" s="168">
        <f t="shared" si="3"/>
        <v>0</v>
      </c>
      <c r="T21" s="68" t="str">
        <f t="shared" si="4"/>
        <v>OK</v>
      </c>
      <c r="U21" s="165"/>
      <c r="V21" s="165"/>
      <c r="W21" s="165"/>
      <c r="X21" s="165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500</f>
        <v>500</v>
      </c>
      <c r="L22" s="144">
        <f t="shared" si="0"/>
        <v>0</v>
      </c>
      <c r="M22" s="144">
        <f t="shared" si="1"/>
        <v>0</v>
      </c>
      <c r="N22" s="149"/>
      <c r="O22" s="145">
        <f t="shared" si="2"/>
        <v>125</v>
      </c>
      <c r="P22" s="146"/>
      <c r="Q22" s="146"/>
      <c r="R22" s="146"/>
      <c r="S22" s="168">
        <f t="shared" si="3"/>
        <v>500</v>
      </c>
      <c r="T22" s="68" t="str">
        <f t="shared" si="4"/>
        <v>OK</v>
      </c>
      <c r="U22" s="165"/>
      <c r="V22" s="165"/>
      <c r="W22" s="165"/>
      <c r="X22" s="165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550</f>
        <v>550</v>
      </c>
      <c r="L23" s="144">
        <f t="shared" si="0"/>
        <v>0</v>
      </c>
      <c r="M23" s="144">
        <f t="shared" si="1"/>
        <v>0</v>
      </c>
      <c r="N23" s="149"/>
      <c r="O23" s="145">
        <f t="shared" si="2"/>
        <v>137</v>
      </c>
      <c r="P23" s="146"/>
      <c r="Q23" s="146"/>
      <c r="R23" s="146"/>
      <c r="S23" s="168">
        <f t="shared" si="3"/>
        <v>550</v>
      </c>
      <c r="T23" s="68" t="str">
        <f t="shared" si="4"/>
        <v>OK</v>
      </c>
      <c r="U23" s="165"/>
      <c r="V23" s="165"/>
      <c r="W23" s="165"/>
      <c r="X23" s="165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450</f>
        <v>450</v>
      </c>
      <c r="L24" s="144">
        <f t="shared" si="0"/>
        <v>0</v>
      </c>
      <c r="M24" s="144">
        <f t="shared" si="1"/>
        <v>0</v>
      </c>
      <c r="N24" s="149"/>
      <c r="O24" s="145">
        <f t="shared" si="2"/>
        <v>112</v>
      </c>
      <c r="P24" s="146"/>
      <c r="Q24" s="146"/>
      <c r="R24" s="146"/>
      <c r="S24" s="168">
        <f t="shared" si="3"/>
        <v>450</v>
      </c>
      <c r="T24" s="68" t="str">
        <f t="shared" si="4"/>
        <v>OK</v>
      </c>
      <c r="U24" s="165"/>
      <c r="V24" s="165"/>
      <c r="W24" s="165"/>
      <c r="X24" s="165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900</f>
        <v>900</v>
      </c>
      <c r="L25" s="147">
        <f t="shared" si="0"/>
        <v>269</v>
      </c>
      <c r="M25" s="147">
        <f t="shared" si="1"/>
        <v>269</v>
      </c>
      <c r="N25" s="149"/>
      <c r="O25" s="145">
        <f t="shared" si="2"/>
        <v>225</v>
      </c>
      <c r="P25" s="146"/>
      <c r="Q25" s="146"/>
      <c r="R25" s="146"/>
      <c r="S25" s="168">
        <f t="shared" si="3"/>
        <v>631</v>
      </c>
      <c r="T25" s="68" t="str">
        <f t="shared" si="4"/>
        <v>OK</v>
      </c>
      <c r="U25" s="165"/>
      <c r="V25" s="167">
        <v>212</v>
      </c>
      <c r="W25" s="165"/>
      <c r="X25" s="167">
        <v>57</v>
      </c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105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40</f>
        <v>40</v>
      </c>
      <c r="L26" s="144">
        <f t="shared" si="0"/>
        <v>40</v>
      </c>
      <c r="M26" s="144">
        <f t="shared" si="1"/>
        <v>40</v>
      </c>
      <c r="N26" s="149"/>
      <c r="O26" s="145">
        <f t="shared" si="2"/>
        <v>10</v>
      </c>
      <c r="P26" s="146"/>
      <c r="Q26" s="146"/>
      <c r="R26" s="146"/>
      <c r="S26" s="168">
        <f t="shared" si="3"/>
        <v>0</v>
      </c>
      <c r="T26" s="68" t="str">
        <f t="shared" si="4"/>
        <v>OK</v>
      </c>
      <c r="U26" s="165"/>
      <c r="V26" s="167">
        <v>40</v>
      </c>
      <c r="W26" s="165"/>
      <c r="X26" s="165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4">
        <f>SUM(K4:K26)</f>
        <v>4612</v>
      </c>
      <c r="S27" s="170">
        <f>SUM(S4:S26)</f>
        <v>3695.2</v>
      </c>
      <c r="T27" s="22" t="str">
        <f t="shared" si="4"/>
        <v>OK</v>
      </c>
      <c r="U27" s="26">
        <f t="shared" ref="U27:AL27" si="5">SUMPRODUCT($J$4:$J$26,U4:U26)</f>
        <v>225.67499999999998</v>
      </c>
      <c r="V27" s="26">
        <f t="shared" si="5"/>
        <v>31841.559999999998</v>
      </c>
      <c r="W27" s="26">
        <f t="shared" si="5"/>
        <v>6005.2</v>
      </c>
      <c r="X27" s="26">
        <f t="shared" si="5"/>
        <v>2110.71</v>
      </c>
      <c r="Y27" s="26">
        <f t="shared" si="5"/>
        <v>0</v>
      </c>
      <c r="Z27" s="26">
        <f t="shared" si="5"/>
        <v>0</v>
      </c>
      <c r="AA27" s="26">
        <f t="shared" si="5"/>
        <v>0</v>
      </c>
      <c r="AB27" s="26">
        <f t="shared" si="5"/>
        <v>0</v>
      </c>
      <c r="AC27" s="26">
        <f t="shared" si="5"/>
        <v>0</v>
      </c>
      <c r="AD27" s="26">
        <f t="shared" si="5"/>
        <v>0</v>
      </c>
      <c r="AE27" s="26">
        <f t="shared" si="5"/>
        <v>0</v>
      </c>
      <c r="AF27" s="26">
        <f t="shared" si="5"/>
        <v>0</v>
      </c>
      <c r="AG27" s="26">
        <f t="shared" si="5"/>
        <v>0</v>
      </c>
      <c r="AH27" s="26">
        <f t="shared" si="5"/>
        <v>0</v>
      </c>
      <c r="AI27" s="26">
        <f t="shared" si="5"/>
        <v>0</v>
      </c>
      <c r="AJ27" s="26">
        <f t="shared" si="5"/>
        <v>0</v>
      </c>
      <c r="AK27" s="26">
        <f t="shared" si="5"/>
        <v>0</v>
      </c>
      <c r="AL27" s="26">
        <f t="shared" si="5"/>
        <v>0</v>
      </c>
    </row>
    <row r="28" spans="1:38" x14ac:dyDescent="0.25">
      <c r="D28" s="29" t="s">
        <v>43</v>
      </c>
      <c r="K28" s="150">
        <f>SUMPRODUCT($J$4:$J$26,K4:K26)</f>
        <v>378818.85000000003</v>
      </c>
      <c r="L28" s="150">
        <f>SUMPRODUCT($J$4:$J$26,L4:L26)</f>
        <v>40183.144999999997</v>
      </c>
      <c r="M28" s="150">
        <f>SUMPRODUCT($J$4:$J$26,M4:M26)</f>
        <v>40183.144999999997</v>
      </c>
      <c r="U28" s="5"/>
      <c r="V28" s="5"/>
      <c r="W28" s="5"/>
      <c r="X28" s="5"/>
    </row>
    <row r="29" spans="1:38" x14ac:dyDescent="0.25">
      <c r="D29" s="65" t="s">
        <v>44</v>
      </c>
      <c r="U29" s="5"/>
      <c r="V29" s="5"/>
      <c r="W29" s="5"/>
      <c r="X29" s="5"/>
    </row>
    <row r="30" spans="1:38" x14ac:dyDescent="0.25">
      <c r="D30" s="30" t="s">
        <v>106</v>
      </c>
      <c r="U30" s="5"/>
      <c r="V30" s="5"/>
      <c r="W30" s="5"/>
      <c r="X30" s="5"/>
    </row>
    <row r="31" spans="1:38" ht="15.75" thickBot="1" x14ac:dyDescent="0.3">
      <c r="D31" s="31" t="s">
        <v>105</v>
      </c>
      <c r="U31" s="5"/>
      <c r="V31" s="5"/>
      <c r="W31" s="5"/>
      <c r="X31" s="5"/>
    </row>
    <row r="32" spans="1:38" x14ac:dyDescent="0.25">
      <c r="U32" s="5"/>
      <c r="V32" s="5"/>
      <c r="W32" s="5"/>
      <c r="X32" s="5"/>
    </row>
    <row r="33" spans="21:24" x14ac:dyDescent="0.25">
      <c r="U33" s="5"/>
      <c r="V33" s="5"/>
      <c r="W33" s="5"/>
      <c r="X33" s="5"/>
    </row>
    <row r="34" spans="21:24" x14ac:dyDescent="0.25">
      <c r="U34" s="5"/>
      <c r="V34" s="5"/>
      <c r="W34" s="5"/>
      <c r="X34" s="5"/>
    </row>
    <row r="35" spans="21:24" x14ac:dyDescent="0.25">
      <c r="U35" s="5"/>
      <c r="V35" s="5"/>
      <c r="W35" s="5"/>
      <c r="X35" s="5"/>
    </row>
    <row r="36" spans="21:24" x14ac:dyDescent="0.25">
      <c r="U36" s="5"/>
      <c r="V36" s="5"/>
      <c r="W36" s="5"/>
      <c r="X36" s="5"/>
    </row>
    <row r="37" spans="21:24" x14ac:dyDescent="0.25">
      <c r="U37" s="5"/>
      <c r="V37" s="5"/>
      <c r="W37" s="5"/>
      <c r="X37" s="5"/>
    </row>
    <row r="38" spans="21:24" x14ac:dyDescent="0.25">
      <c r="U38" s="5"/>
      <c r="V38" s="5"/>
      <c r="W38" s="5"/>
      <c r="X38" s="5"/>
    </row>
    <row r="39" spans="21:24" x14ac:dyDescent="0.25">
      <c r="U39" s="5"/>
      <c r="V39" s="5"/>
      <c r="W39" s="5"/>
      <c r="X39" s="5"/>
    </row>
    <row r="40" spans="21:24" x14ac:dyDescent="0.25">
      <c r="U40" s="5"/>
      <c r="V40" s="5"/>
      <c r="W40" s="5"/>
      <c r="X40" s="5"/>
    </row>
  </sheetData>
  <mergeCells count="29"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</mergeCells>
  <conditionalFormatting sqref="AE4:AL26 AB5:AD26 Y4:AA26">
    <cfRule type="cellIs" dxfId="43" priority="8" stopIfTrue="1" operator="greaterThan">
      <formula>0</formula>
    </cfRule>
    <cfRule type="cellIs" dxfId="42" priority="9" stopIfTrue="1" operator="greaterThan">
      <formula>0</formula>
    </cfRule>
    <cfRule type="cellIs" dxfId="41" priority="10" stopIfTrue="1" operator="greaterThan">
      <formula>0</formula>
    </cfRule>
  </conditionalFormatting>
  <conditionalFormatting sqref="AB4:AD4">
    <cfRule type="cellIs" dxfId="40" priority="5" stopIfTrue="1" operator="greaterThan">
      <formula>0</formula>
    </cfRule>
    <cfRule type="cellIs" dxfId="39" priority="6" stopIfTrue="1" operator="greaterThan">
      <formula>0</formula>
    </cfRule>
    <cfRule type="cellIs" dxfId="38" priority="7" stopIfTrue="1" operator="greaterThan">
      <formula>0</formula>
    </cfRule>
  </conditionalFormatting>
  <conditionalFormatting sqref="Y4:AL26">
    <cfRule type="cellIs" dxfId="37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O36"/>
  <sheetViews>
    <sheetView tabSelected="1" topLeftCell="A16" zoomScale="80" zoomScaleNormal="80" workbookViewId="0">
      <selection activeCell="G37" sqref="G37"/>
    </sheetView>
  </sheetViews>
  <sheetFormatPr defaultColWidth="9.7109375" defaultRowHeight="36.75" customHeight="1" x14ac:dyDescent="0.25"/>
  <cols>
    <col min="1" max="1" width="7.42578125" style="18" customWidth="1"/>
    <col min="2" max="2" width="25.28515625" style="18" customWidth="1"/>
    <col min="3" max="3" width="7.140625" style="14" customWidth="1"/>
    <col min="4" max="4" width="24.85546875" style="18" customWidth="1"/>
    <col min="5" max="5" width="15.42578125" style="18" customWidth="1"/>
    <col min="6" max="6" width="15.42578125" style="3" customWidth="1"/>
    <col min="7" max="8" width="15" style="4" customWidth="1"/>
    <col min="9" max="11" width="13.28515625" style="15" customWidth="1"/>
    <col min="12" max="12" width="15" style="5" bestFit="1" customWidth="1"/>
    <col min="13" max="14" width="17.5703125" style="2" customWidth="1"/>
    <col min="15" max="15" width="18.85546875" style="2" bestFit="1" customWidth="1"/>
    <col min="16" max="16384" width="9.7109375" style="2"/>
  </cols>
  <sheetData>
    <row r="1" spans="1:15" ht="44.85" customHeight="1" x14ac:dyDescent="0.25">
      <c r="A1" s="172" t="s">
        <v>37</v>
      </c>
      <c r="B1" s="172"/>
      <c r="C1" s="172"/>
      <c r="D1" s="172" t="s">
        <v>36</v>
      </c>
      <c r="E1" s="172"/>
      <c r="F1" s="172"/>
      <c r="G1" s="197" t="s">
        <v>114</v>
      </c>
      <c r="H1" s="197"/>
      <c r="I1" s="197"/>
      <c r="J1" s="197"/>
      <c r="K1" s="197"/>
      <c r="L1" s="197"/>
      <c r="M1" s="197"/>
      <c r="N1" s="197"/>
      <c r="O1" s="197"/>
    </row>
    <row r="2" spans="1:15" ht="22.7" customHeight="1" x14ac:dyDescent="0.25">
      <c r="A2" s="196" t="s">
        <v>115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</row>
    <row r="3" spans="1:15" s="3" customFormat="1" ht="45" x14ac:dyDescent="0.2">
      <c r="A3" s="71" t="s">
        <v>40</v>
      </c>
      <c r="B3" s="72" t="s">
        <v>27</v>
      </c>
      <c r="C3" s="71" t="s">
        <v>3</v>
      </c>
      <c r="D3" s="73" t="s">
        <v>28</v>
      </c>
      <c r="E3" s="73" t="s">
        <v>29</v>
      </c>
      <c r="F3" s="70" t="s">
        <v>41</v>
      </c>
      <c r="G3" s="11" t="s">
        <v>6</v>
      </c>
      <c r="H3" s="96" t="s">
        <v>156</v>
      </c>
      <c r="I3" s="12" t="s">
        <v>13</v>
      </c>
      <c r="J3" s="12" t="s">
        <v>157</v>
      </c>
      <c r="K3" s="12" t="s">
        <v>158</v>
      </c>
      <c r="L3" s="10" t="s">
        <v>5</v>
      </c>
      <c r="M3" s="16" t="s">
        <v>7</v>
      </c>
      <c r="N3" s="16" t="s">
        <v>159</v>
      </c>
      <c r="O3" s="16" t="s">
        <v>8</v>
      </c>
    </row>
    <row r="4" spans="1:15" ht="14.25" customHeight="1" x14ac:dyDescent="0.25">
      <c r="A4" s="184">
        <v>1</v>
      </c>
      <c r="B4" s="188" t="s">
        <v>80</v>
      </c>
      <c r="C4" s="38">
        <v>1</v>
      </c>
      <c r="D4" s="39" t="s">
        <v>88</v>
      </c>
      <c r="E4" s="40" t="s">
        <v>45</v>
      </c>
      <c r="F4" s="74">
        <v>100</v>
      </c>
      <c r="G4" s="9">
        <f>REITORIA_SEMS!K4+REITORIA_MUSEU!K4+CESFI!K4+CEAD!K4+FAED!K4+CERES!K4+CEFID!K4+CEAVI!K4+ESAG!K4+CEART!K4</f>
        <v>476</v>
      </c>
      <c r="H4" s="151">
        <f>REITORIA_SEMS!L4+REITORIA_MUSEU!L4+CESFI!L4+CEAD!L4+FAED!L4+CERES!L4+CEFID!L4+CEAVI!L4+ESAG!L4+CEART!L4</f>
        <v>12</v>
      </c>
      <c r="I4" s="23">
        <f>REITORIA_SEMS!K4-REITORIA_SEMS!S4+REITORIA_MUSEU!K4-REITORIA_MUSEU!S4+CESFI!K4-CESFI!S4+CEAD!K4-CEAD!S4+FAED!K4-FAED!S4+CERES!K4-CERES!S4+CEFID!K4-CEFID!S4+CEAVI!K4-CEAVI!S4+ESAG!K4-ESAG!S4+CEART!K4-CEART!S4</f>
        <v>12</v>
      </c>
      <c r="J4" s="152">
        <f>REITORIA_SEMS!O4+REITORIA_MUSEU!O4+CESFI!O4+CEAD!O4+FAED!O4+CERES!O4+CEFID!O4+CEAVI!O4+ESAG!O4+CEART!O4</f>
        <v>117</v>
      </c>
      <c r="K4" s="152">
        <f>REITORIA_SEMS!P4+REITORIA_MUSEU!P4+CESFI!P4+CEAD!P4+FAED!P4+CERES!P4+CEFID!P4+CEAVI!P4+ESAG!P4+CEART!P4+REITORIA_SEMS!Q4+REITORIA_MUSEU!Q4+CESFI!Q4+CEAD!Q4+FAED!Q4+CERES!Q4+CEFID!Q4+CEAVI!Q4+ESAG!Q4+CEART!Q4</f>
        <v>0</v>
      </c>
      <c r="L4" s="17">
        <f>G4-I4+K4</f>
        <v>464</v>
      </c>
      <c r="M4" s="7">
        <f t="shared" ref="M4:M26" si="0">G4*F4</f>
        <v>47600</v>
      </c>
      <c r="N4" s="7">
        <f>F4*K4</f>
        <v>0</v>
      </c>
      <c r="O4" s="8">
        <f t="shared" ref="O4:O26" si="1">F4*I4</f>
        <v>1200</v>
      </c>
    </row>
    <row r="5" spans="1:15" ht="14.25" customHeight="1" x14ac:dyDescent="0.25">
      <c r="A5" s="184"/>
      <c r="B5" s="186"/>
      <c r="C5" s="38">
        <v>2</v>
      </c>
      <c r="D5" s="44" t="s">
        <v>89</v>
      </c>
      <c r="E5" s="45" t="s">
        <v>47</v>
      </c>
      <c r="F5" s="74">
        <v>70.44</v>
      </c>
      <c r="G5" s="9">
        <f>REITORIA_SEMS!K5+REITORIA_MUSEU!K5+CESFI!K5+CEAD!K5+FAED!K5+CERES!K5+CEFID!K5+CEAVI!K5+ESAG!K5+CEART!K5</f>
        <v>105</v>
      </c>
      <c r="H5" s="151">
        <f>REITORIA_SEMS!L5+REITORIA_MUSEU!L5+CESFI!L5+CEAD!L5+FAED!L5+CERES!L5+CEFID!L5+CEAVI!L5+ESAG!L5+CEART!L5</f>
        <v>0</v>
      </c>
      <c r="I5" s="23">
        <f>REITORIA_SEMS!K5-REITORIA_SEMS!S5+REITORIA_MUSEU!K5-REITORIA_MUSEU!S5+CESFI!K5-CESFI!S5+CEAD!K5-CEAD!S5+FAED!K5-FAED!S5+CERES!K5-CERES!S5+CEFID!K5-CEFID!S5+CEAVI!K5-CEAVI!S5+ESAG!K5-ESAG!S5+CEART!K5-CEART!S5</f>
        <v>0</v>
      </c>
      <c r="J5" s="152">
        <f>REITORIA_SEMS!O5+REITORIA_MUSEU!O5+CESFI!O5+CEAD!O5+FAED!O5+CERES!O5+CEFID!O5+CEAVI!O5+ESAG!O5+CEART!O5</f>
        <v>24</v>
      </c>
      <c r="K5" s="152">
        <f>REITORIA_SEMS!P5+REITORIA_MUSEU!P5+CESFI!P5+CEAD!P5+FAED!P5+CERES!P5+CEFID!P5+CEAVI!P5+ESAG!P5+CEART!P5+REITORIA_SEMS!Q5+REITORIA_MUSEU!Q5+CESFI!Q5+CEAD!Q5+FAED!Q5+CERES!Q5+CEFID!Q5+CEAVI!Q5+ESAG!Q5+CEART!Q5</f>
        <v>0</v>
      </c>
      <c r="L5" s="17">
        <f t="shared" ref="L5:L26" si="2">G5-I5+K5</f>
        <v>105</v>
      </c>
      <c r="M5" s="7">
        <f t="shared" si="0"/>
        <v>7396.2</v>
      </c>
      <c r="N5" s="7">
        <f t="shared" ref="N5:N26" si="3">F5*K5</f>
        <v>0</v>
      </c>
      <c r="O5" s="8">
        <f t="shared" si="1"/>
        <v>0</v>
      </c>
    </row>
    <row r="6" spans="1:15" ht="51" customHeight="1" x14ac:dyDescent="0.25">
      <c r="A6" s="184"/>
      <c r="B6" s="186"/>
      <c r="C6" s="38">
        <v>3</v>
      </c>
      <c r="D6" s="39" t="s">
        <v>90</v>
      </c>
      <c r="E6" s="45" t="s">
        <v>47</v>
      </c>
      <c r="F6" s="74">
        <v>70.819999999999993</v>
      </c>
      <c r="G6" s="9">
        <f>REITORIA_SEMS!K6+REITORIA_MUSEU!K6+CESFI!K6+CEAD!K6+FAED!K6+CERES!K6+CEFID!K6+CEAVI!K6+ESAG!K6+CEART!K6</f>
        <v>205</v>
      </c>
      <c r="H6" s="151">
        <f>REITORIA_SEMS!L6+REITORIA_MUSEU!L6+CESFI!L6+CEAD!L6+FAED!L6+CERES!L6+CEFID!L6+CEAVI!L6+ESAG!L6+CEART!L6</f>
        <v>5</v>
      </c>
      <c r="I6" s="23">
        <f>REITORIA_SEMS!K6-REITORIA_SEMS!S6+REITORIA_MUSEU!K6-REITORIA_MUSEU!S6+CESFI!K6-CESFI!S6+CEAD!K6-CEAD!S6+FAED!K6-FAED!S6+CERES!K6-CERES!S6+CEFID!K6-CEFID!S6+CEAVI!K6-CEAVI!S6+ESAG!K6-ESAG!S6+CEART!K6-CEART!S6</f>
        <v>5</v>
      </c>
      <c r="J6" s="152">
        <f>REITORIA_SEMS!O6+REITORIA_MUSEU!O6+CESFI!O6+CEAD!O6+FAED!O6+CERES!O6+CEFID!O6+CEAVI!O6+ESAG!O6+CEART!O6</f>
        <v>50</v>
      </c>
      <c r="K6" s="152">
        <f>REITORIA_SEMS!P6+REITORIA_MUSEU!P6+CESFI!P6+CEAD!P6+FAED!P6+CERES!P6+CEFID!P6+CEAVI!P6+ESAG!P6+CEART!P6+REITORIA_SEMS!Q6+REITORIA_MUSEU!Q6+CESFI!Q6+CEAD!Q6+FAED!Q6+CERES!Q6+CEFID!Q6+CEAVI!Q6+ESAG!Q6+CEART!Q6</f>
        <v>0</v>
      </c>
      <c r="L6" s="17">
        <f t="shared" si="2"/>
        <v>200</v>
      </c>
      <c r="M6" s="7">
        <f t="shared" si="0"/>
        <v>14518.099999999999</v>
      </c>
      <c r="N6" s="7">
        <f t="shared" si="3"/>
        <v>0</v>
      </c>
      <c r="O6" s="8">
        <f t="shared" si="1"/>
        <v>354.09999999999997</v>
      </c>
    </row>
    <row r="7" spans="1:15" ht="49.7" customHeight="1" x14ac:dyDescent="0.25">
      <c r="A7" s="184"/>
      <c r="B7" s="186"/>
      <c r="C7" s="38">
        <v>4</v>
      </c>
      <c r="D7" s="39" t="s">
        <v>91</v>
      </c>
      <c r="E7" s="45" t="s">
        <v>47</v>
      </c>
      <c r="F7" s="74">
        <v>135.66999999999999</v>
      </c>
      <c r="G7" s="9">
        <f>REITORIA_SEMS!K7+REITORIA_MUSEU!K7+CESFI!K7+CEAD!K7+FAED!K7+CERES!K7+CEFID!K7+CEAVI!K7+ESAG!K7+CEART!K7</f>
        <v>425</v>
      </c>
      <c r="H7" s="151">
        <f>REITORIA_SEMS!L7+REITORIA_MUSEU!L7+CESFI!L7+CEAD!L7+FAED!L7+CERES!L7+CEFID!L7+CEAVI!L7+ESAG!L7+CEART!L7</f>
        <v>88.19</v>
      </c>
      <c r="I7" s="23">
        <f>REITORIA_SEMS!K7-REITORIA_SEMS!S7+REITORIA_MUSEU!K7-REITORIA_MUSEU!S7+CESFI!K7-CESFI!S7+CEAD!K7-CEAD!S7+FAED!K7-FAED!S7+CERES!K7-CERES!S7+CEFID!K7-CEFID!S7+CEAVI!K7-CEAVI!S7+ESAG!K7-ESAG!S7+CEART!K7-CEART!S7</f>
        <v>88.19</v>
      </c>
      <c r="J7" s="152">
        <f>REITORIA_SEMS!O7+REITORIA_MUSEU!O7+CESFI!O7+CEAD!O7+FAED!O7+CERES!O7+CEFID!O7+CEAVI!O7+ESAG!O7+CEART!O7</f>
        <v>105</v>
      </c>
      <c r="K7" s="152">
        <f>REITORIA_SEMS!P7+REITORIA_MUSEU!P7+CESFI!P7+CEAD!P7+FAED!P7+CERES!P7+CEFID!P7+CEAVI!P7+ESAG!P7+CEART!P7+REITORIA_SEMS!Q7+REITORIA_MUSEU!Q7+CESFI!Q7+CEAD!Q7+FAED!Q7+CERES!Q7+CEFID!Q7+CEAVI!Q7+ESAG!Q7+CEART!Q7</f>
        <v>0</v>
      </c>
      <c r="L7" s="17">
        <f t="shared" si="2"/>
        <v>336.81</v>
      </c>
      <c r="M7" s="7">
        <f t="shared" si="0"/>
        <v>57659.749999999993</v>
      </c>
      <c r="N7" s="7">
        <f t="shared" si="3"/>
        <v>0</v>
      </c>
      <c r="O7" s="8">
        <f t="shared" si="1"/>
        <v>11964.737299999999</v>
      </c>
    </row>
    <row r="8" spans="1:15" ht="45.75" customHeight="1" x14ac:dyDescent="0.25">
      <c r="A8" s="184"/>
      <c r="B8" s="187"/>
      <c r="C8" s="38">
        <v>5</v>
      </c>
      <c r="D8" s="39" t="s">
        <v>92</v>
      </c>
      <c r="E8" s="45" t="s">
        <v>47</v>
      </c>
      <c r="F8" s="74">
        <v>111.99</v>
      </c>
      <c r="G8" s="9">
        <f>REITORIA_SEMS!K8+REITORIA_MUSEU!K8+CESFI!K8+CEAD!K8+FAED!K8+CERES!K8+CEFID!K8+CEAVI!K8+ESAG!K8+CEART!K8</f>
        <v>425</v>
      </c>
      <c r="H8" s="151">
        <f>REITORIA_SEMS!L8+REITORIA_MUSEU!L8+CESFI!L8+CEAD!L8+FAED!L8+CERES!L8+CEFID!L8+CEAVI!L8+ESAG!L8+CEART!L8</f>
        <v>33</v>
      </c>
      <c r="I8" s="23">
        <f>REITORIA_SEMS!K8-REITORIA_SEMS!S8+REITORIA_MUSEU!K8-REITORIA_MUSEU!S8+CESFI!K8-CESFI!S8+CEAD!K8-CEAD!S8+FAED!K8-FAED!S8+CERES!K8-CERES!S8+CEFID!K8-CEFID!S8+CEAVI!K8-CEAVI!S8+ESAG!K8-ESAG!S8+CEART!K8-CEART!S8</f>
        <v>33</v>
      </c>
      <c r="J8" s="152">
        <f>REITORIA_SEMS!O8+REITORIA_MUSEU!O8+CESFI!O8+CEAD!O8+FAED!O8+CERES!O8+CEFID!O8+CEAVI!O8+ESAG!O8+CEART!O8</f>
        <v>106</v>
      </c>
      <c r="K8" s="152">
        <f>REITORIA_SEMS!P8+REITORIA_MUSEU!P8+CESFI!P8+CEAD!P8+FAED!P8+CERES!P8+CEFID!P8+CEAVI!P8+ESAG!P8+CEART!P8+REITORIA_SEMS!Q8+REITORIA_MUSEU!Q8+CESFI!Q8+CEAD!Q8+FAED!Q8+CERES!Q8+CEFID!Q8+CEAVI!Q8+ESAG!Q8+CEART!Q8</f>
        <v>0</v>
      </c>
      <c r="L8" s="17">
        <f t="shared" si="2"/>
        <v>392</v>
      </c>
      <c r="M8" s="7">
        <f t="shared" si="0"/>
        <v>47595.75</v>
      </c>
      <c r="N8" s="7">
        <f t="shared" si="3"/>
        <v>0</v>
      </c>
      <c r="O8" s="8">
        <f t="shared" si="1"/>
        <v>3695.6699999999996</v>
      </c>
    </row>
    <row r="9" spans="1:15" ht="14.25" customHeight="1" x14ac:dyDescent="0.25">
      <c r="A9" s="180">
        <v>2</v>
      </c>
      <c r="B9" s="181" t="s">
        <v>81</v>
      </c>
      <c r="C9" s="47">
        <v>6</v>
      </c>
      <c r="D9" s="21" t="s">
        <v>93</v>
      </c>
      <c r="E9" s="25" t="s">
        <v>48</v>
      </c>
      <c r="F9" s="75">
        <v>130</v>
      </c>
      <c r="G9" s="9">
        <f>REITORIA_SEMS!K9+REITORIA_MUSEU!K9+CESFI!K9+CEAD!K9+FAED!K9+CERES!K9+CEFID!K9+CEAVI!K9+ESAG!K9+CEART!K9</f>
        <v>1810</v>
      </c>
      <c r="H9" s="151">
        <f>REITORIA_SEMS!L9+REITORIA_MUSEU!L9+CESFI!L9+CEAD!L9+FAED!L9+CERES!L9+CEFID!L9+CEAVI!L9+ESAG!L9+CEART!L9</f>
        <v>300.7</v>
      </c>
      <c r="I9" s="23">
        <f>REITORIA_SEMS!K9-REITORIA_SEMS!S9+REITORIA_MUSEU!K9-REITORIA_MUSEU!S9+CESFI!K9-CESFI!S9+CEAD!K9-CEAD!S9+FAED!K9-FAED!S9+CERES!K9-CERES!S9+CEFID!K9-CEFID!S9+CEAVI!K9-CEAVI!S9+ESAG!K9-ESAG!S9+CEART!K9-CEART!S9</f>
        <v>300.69999999999993</v>
      </c>
      <c r="J9" s="152">
        <f>REITORIA_SEMS!O9+REITORIA_MUSEU!O9+CESFI!O9+CEAD!O9+FAED!O9+CERES!O9+CEFID!O9+CEAVI!O9+ESAG!O9+CEART!O9</f>
        <v>449</v>
      </c>
      <c r="K9" s="152">
        <f>REITORIA_SEMS!P9+REITORIA_MUSEU!P9+CESFI!P9+CEAD!P9+FAED!P9+CERES!P9+CEFID!P9+CEAVI!P9+ESAG!P9+CEART!P9+REITORIA_SEMS!Q9+REITORIA_MUSEU!Q9+CESFI!Q9+CEAD!Q9+FAED!Q9+CERES!Q9+CEFID!Q9+CEAVI!Q9+ESAG!Q9+CEART!Q9</f>
        <v>0</v>
      </c>
      <c r="L9" s="17">
        <f t="shared" si="2"/>
        <v>1509.3000000000002</v>
      </c>
      <c r="M9" s="7">
        <f t="shared" si="0"/>
        <v>235300</v>
      </c>
      <c r="N9" s="7">
        <f t="shared" si="3"/>
        <v>0</v>
      </c>
      <c r="O9" s="8">
        <f t="shared" si="1"/>
        <v>39090.999999999993</v>
      </c>
    </row>
    <row r="10" spans="1:15" ht="14.25" customHeight="1" x14ac:dyDescent="0.25">
      <c r="A10" s="180"/>
      <c r="B10" s="182"/>
      <c r="C10" s="47">
        <v>7</v>
      </c>
      <c r="D10" s="21" t="s">
        <v>94</v>
      </c>
      <c r="E10" s="25" t="s">
        <v>48</v>
      </c>
      <c r="F10" s="75">
        <v>158</v>
      </c>
      <c r="G10" s="9">
        <f>REITORIA_SEMS!K10+REITORIA_MUSEU!K10+CESFI!K10+CEAD!K10+FAED!K10+CERES!K10+CEFID!K10+CEAVI!K10+ESAG!K10+CEART!K10</f>
        <v>1270</v>
      </c>
      <c r="H10" s="151">
        <f>REITORIA_SEMS!L10+REITORIA_MUSEU!L10+CESFI!L10+CEAD!L10+FAED!L10+CERES!L10+CEFID!L10+CEAVI!L10+ESAG!L10+CEART!L10</f>
        <v>247.4</v>
      </c>
      <c r="I10" s="23">
        <f>REITORIA_SEMS!K10-REITORIA_SEMS!S10+REITORIA_MUSEU!K10-REITORIA_MUSEU!S10+CESFI!K10-CESFI!S10+CEAD!K10-CEAD!S10+FAED!K10-FAED!S10+CERES!K10-CERES!S10+CEFID!K10-CEFID!S10+CEAVI!K10-CEAVI!S10+ESAG!K10-ESAG!S10+CEART!K10-CEART!S10</f>
        <v>247.4</v>
      </c>
      <c r="J10" s="152">
        <f>REITORIA_SEMS!O10+REITORIA_MUSEU!O10+CESFI!O10+CEAD!O10+FAED!O10+CERES!O10+CEFID!O10+CEAVI!O10+ESAG!O10+CEART!O10</f>
        <v>316</v>
      </c>
      <c r="K10" s="152">
        <f>REITORIA_SEMS!P10+REITORIA_MUSEU!P10+CESFI!P10+CEAD!P10+FAED!P10+CERES!P10+CEFID!P10+CEAVI!P10+ESAG!P10+CEART!P10+REITORIA_SEMS!Q10+REITORIA_MUSEU!Q10+CESFI!Q10+CEAD!Q10+FAED!Q10+CERES!Q10+CEFID!Q10+CEAVI!Q10+ESAG!Q10+CEART!Q10</f>
        <v>0</v>
      </c>
      <c r="L10" s="17">
        <f t="shared" si="2"/>
        <v>1022.6</v>
      </c>
      <c r="M10" s="7">
        <f t="shared" si="0"/>
        <v>200660</v>
      </c>
      <c r="N10" s="7">
        <f t="shared" si="3"/>
        <v>0</v>
      </c>
      <c r="O10" s="8">
        <f t="shared" si="1"/>
        <v>39089.200000000004</v>
      </c>
    </row>
    <row r="11" spans="1:15" ht="14.25" customHeight="1" x14ac:dyDescent="0.25">
      <c r="A11" s="180"/>
      <c r="B11" s="182"/>
      <c r="C11" s="47">
        <v>8</v>
      </c>
      <c r="D11" s="50" t="s">
        <v>95</v>
      </c>
      <c r="E11" s="25" t="s">
        <v>48</v>
      </c>
      <c r="F11" s="75">
        <v>380</v>
      </c>
      <c r="G11" s="9">
        <f>REITORIA_SEMS!K11+REITORIA_MUSEU!K11+CESFI!K11+CEAD!K11+FAED!K11+CERES!K11+CEFID!K11+CEAVI!K11+ESAG!K11+CEART!K11</f>
        <v>95</v>
      </c>
      <c r="H11" s="151">
        <f>REITORIA_SEMS!L11+REITORIA_MUSEU!L11+CESFI!L11+CEAD!L11+FAED!L11+CERES!L11+CEFID!L11+CEAVI!L11+ESAG!L11+CEART!L11</f>
        <v>19</v>
      </c>
      <c r="I11" s="23">
        <f>REITORIA_SEMS!K11-REITORIA_SEMS!S11+REITORIA_MUSEU!K11-REITORIA_MUSEU!S11+CESFI!K11-CESFI!S11+CEAD!K11-CEAD!S11+FAED!K11-FAED!S11+CERES!K11-CERES!S11+CEFID!K11-CEFID!S11+CEAVI!K11-CEAVI!S11+ESAG!K11-ESAG!S11+CEART!K11-CEART!S11</f>
        <v>19</v>
      </c>
      <c r="J11" s="152">
        <f>REITORIA_SEMS!O11+REITORIA_MUSEU!O11+CESFI!O11+CEAD!O11+FAED!O11+CERES!O11+CEFID!O11+CEAVI!O11+ESAG!O11+CEART!O11</f>
        <v>21</v>
      </c>
      <c r="K11" s="152">
        <f>REITORIA_SEMS!P11+REITORIA_MUSEU!P11+CESFI!P11+CEAD!P11+FAED!P11+CERES!P11+CEFID!P11+CEAVI!P11+ESAG!P11+CEART!P11+REITORIA_SEMS!Q11+REITORIA_MUSEU!Q11+CESFI!Q11+CEAD!Q11+FAED!Q11+CERES!Q11+CEFID!Q11+CEAVI!Q11+ESAG!Q11+CEART!Q11</f>
        <v>0</v>
      </c>
      <c r="L11" s="17">
        <f t="shared" si="2"/>
        <v>76</v>
      </c>
      <c r="M11" s="7">
        <f t="shared" si="0"/>
        <v>36100</v>
      </c>
      <c r="N11" s="7">
        <f t="shared" si="3"/>
        <v>0</v>
      </c>
      <c r="O11" s="8">
        <f t="shared" si="1"/>
        <v>7220</v>
      </c>
    </row>
    <row r="12" spans="1:15" ht="14.25" customHeight="1" x14ac:dyDescent="0.25">
      <c r="A12" s="180"/>
      <c r="B12" s="182"/>
      <c r="C12" s="47">
        <v>9</v>
      </c>
      <c r="D12" s="50" t="s">
        <v>96</v>
      </c>
      <c r="E12" s="25" t="s">
        <v>48</v>
      </c>
      <c r="F12" s="76">
        <v>293.85000000000002</v>
      </c>
      <c r="G12" s="9">
        <f>REITORIA_SEMS!K12+REITORIA_MUSEU!K12+CESFI!K12+CEAD!K12+FAED!K12+CERES!K12+CEFID!K12+CEAVI!K12+ESAG!K12+CEART!K12</f>
        <v>93</v>
      </c>
      <c r="H12" s="151">
        <f>REITORIA_SEMS!L12+REITORIA_MUSEU!L12+CESFI!L12+CEAD!L12+FAED!L12+CERES!L12+CEFID!L12+CEAVI!L12+ESAG!L12+CEART!L12</f>
        <v>19</v>
      </c>
      <c r="I12" s="23">
        <f>REITORIA_SEMS!K12-REITORIA_SEMS!S12+REITORIA_MUSEU!K12-REITORIA_MUSEU!S12+CESFI!K12-CESFI!S12+CEAD!K12-CEAD!S12+FAED!K12-FAED!S12+CERES!K12-CERES!S12+CEFID!K12-CEFID!S12+CEAVI!K12-CEAVI!S12+ESAG!K12-ESAG!S12+CEART!K12-CEART!S12</f>
        <v>19</v>
      </c>
      <c r="J12" s="152">
        <f>REITORIA_SEMS!O12+REITORIA_MUSEU!O12+CESFI!O12+CEAD!O12+FAED!O12+CERES!O12+CEFID!O12+CEAVI!O12+ESAG!O12+CEART!O12</f>
        <v>21</v>
      </c>
      <c r="K12" s="152">
        <f>REITORIA_SEMS!P12+REITORIA_MUSEU!P12+CESFI!P12+CEAD!P12+FAED!P12+CERES!P12+CEFID!P12+CEAVI!P12+ESAG!P12+CEART!P12+REITORIA_SEMS!Q12+REITORIA_MUSEU!Q12+CESFI!Q12+CEAD!Q12+FAED!Q12+CERES!Q12+CEFID!Q12+CEAVI!Q12+ESAG!Q12+CEART!Q12</f>
        <v>0</v>
      </c>
      <c r="L12" s="17">
        <f t="shared" si="2"/>
        <v>74</v>
      </c>
      <c r="M12" s="7">
        <f t="shared" si="0"/>
        <v>27328.050000000003</v>
      </c>
      <c r="N12" s="7">
        <f t="shared" si="3"/>
        <v>0</v>
      </c>
      <c r="O12" s="8">
        <f t="shared" si="1"/>
        <v>5583.1500000000005</v>
      </c>
    </row>
    <row r="13" spans="1:15" ht="14.25" customHeight="1" x14ac:dyDescent="0.25">
      <c r="A13" s="180"/>
      <c r="B13" s="182"/>
      <c r="C13" s="47">
        <v>10</v>
      </c>
      <c r="D13" s="21" t="s">
        <v>33</v>
      </c>
      <c r="E13" s="25" t="s">
        <v>48</v>
      </c>
      <c r="F13" s="76">
        <v>24</v>
      </c>
      <c r="G13" s="9">
        <f>REITORIA_SEMS!K13+REITORIA_MUSEU!K13+CESFI!K13+CEAD!K13+FAED!K13+CERES!K13+CEFID!K13+CEAVI!K13+ESAG!K13+CEART!K13</f>
        <v>1640</v>
      </c>
      <c r="H13" s="151">
        <f>REITORIA_SEMS!L13+REITORIA_MUSEU!L13+CESFI!L13+CEAD!L13+FAED!L13+CERES!L13+CEFID!L13+CEAVI!L13+ESAG!L13+CEART!L13</f>
        <v>284</v>
      </c>
      <c r="I13" s="23">
        <f>REITORIA_SEMS!K13-REITORIA_SEMS!S13+REITORIA_MUSEU!K13-REITORIA_MUSEU!S13+CESFI!K13-CESFI!S13+CEAD!K13-CEAD!S13+FAED!K13-FAED!S13+CERES!K13-CERES!S13+CEFID!K13-CEFID!S13+CEAVI!K13-CEAVI!S13+ESAG!K13-ESAG!S13+CEART!K13-CEART!S13</f>
        <v>284</v>
      </c>
      <c r="J13" s="152">
        <f>REITORIA_SEMS!O13+REITORIA_MUSEU!O13+CESFI!O13+CEAD!O13+FAED!O13+CERES!O13+CEFID!O13+CEAVI!O13+ESAG!O13+CEART!O13</f>
        <v>408</v>
      </c>
      <c r="K13" s="152">
        <f>REITORIA_SEMS!P13+REITORIA_MUSEU!P13+CESFI!P13+CEAD!P13+FAED!P13+CERES!P13+CEFID!P13+CEAVI!P13+ESAG!P13+CEART!P13+REITORIA_SEMS!Q13+REITORIA_MUSEU!Q13+CESFI!Q13+CEAD!Q13+FAED!Q13+CERES!Q13+CEFID!Q13+CEAVI!Q13+ESAG!Q13+CEART!Q13</f>
        <v>0</v>
      </c>
      <c r="L13" s="17">
        <f t="shared" si="2"/>
        <v>1356</v>
      </c>
      <c r="M13" s="7">
        <f t="shared" si="0"/>
        <v>39360</v>
      </c>
      <c r="N13" s="7">
        <f t="shared" si="3"/>
        <v>0</v>
      </c>
      <c r="O13" s="8">
        <f t="shared" si="1"/>
        <v>6816</v>
      </c>
    </row>
    <row r="14" spans="1:15" ht="14.25" customHeight="1" x14ac:dyDescent="0.25">
      <c r="A14" s="180"/>
      <c r="B14" s="183"/>
      <c r="C14" s="47">
        <v>11</v>
      </c>
      <c r="D14" s="21" t="s">
        <v>34</v>
      </c>
      <c r="E14" s="25" t="s">
        <v>48</v>
      </c>
      <c r="F14" s="76">
        <v>25</v>
      </c>
      <c r="G14" s="9">
        <f>REITORIA_SEMS!K14+REITORIA_MUSEU!K14+CESFI!K14+CEAD!K14+FAED!K14+CERES!K14+CEFID!K14+CEAVI!K14+ESAG!K14+CEART!K14</f>
        <v>1930</v>
      </c>
      <c r="H14" s="151">
        <f>REITORIA_SEMS!L14+REITORIA_MUSEU!L14+CESFI!L14+CEAD!L14+FAED!L14+CERES!L14+CEFID!L14+CEAVI!L14+ESAG!L14+CEART!L14</f>
        <v>243</v>
      </c>
      <c r="I14" s="23">
        <f>REITORIA_SEMS!K14-REITORIA_SEMS!S14+REITORIA_MUSEU!K14-REITORIA_MUSEU!S14+CESFI!K14-CESFI!S14+CEAD!K14-CEAD!S14+FAED!K14-FAED!S14+CERES!K14-CERES!S14+CEFID!K14-CEFID!S14+CEAVI!K14-CEAVI!S14+ESAG!K14-ESAG!S14+CEART!K14-CEART!S14</f>
        <v>243</v>
      </c>
      <c r="J14" s="152">
        <f>REITORIA_SEMS!O14+REITORIA_MUSEU!O14+CESFI!O14+CEAD!O14+FAED!O14+CERES!O14+CEFID!O14+CEAVI!O14+ESAG!O14+CEART!O14</f>
        <v>480</v>
      </c>
      <c r="K14" s="152">
        <f>REITORIA_SEMS!P14+REITORIA_MUSEU!P14+CESFI!P14+CEAD!P14+FAED!P14+CERES!P14+CEFID!P14+CEAVI!P14+ESAG!P14+CEART!P14+REITORIA_SEMS!Q14+REITORIA_MUSEU!Q14+CESFI!Q14+CEAD!Q14+FAED!Q14+CERES!Q14+CEFID!Q14+CEAVI!Q14+ESAG!Q14+CEART!Q14</f>
        <v>0</v>
      </c>
      <c r="L14" s="17">
        <f t="shared" si="2"/>
        <v>1687</v>
      </c>
      <c r="M14" s="7">
        <f t="shared" si="0"/>
        <v>48250</v>
      </c>
      <c r="N14" s="7">
        <f t="shared" si="3"/>
        <v>0</v>
      </c>
      <c r="O14" s="8">
        <f t="shared" si="1"/>
        <v>6075</v>
      </c>
    </row>
    <row r="15" spans="1:15" ht="45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58">
        <v>50.15</v>
      </c>
      <c r="G15" s="9">
        <f>REITORIA_SEMS!K15+REITORIA_MUSEU!K15+CESFI!K15+CEAD!K15+FAED!K15+CERES!K15+CEFID!K15+CEAVI!K15+ESAG!K15+CEART!K15</f>
        <v>2961</v>
      </c>
      <c r="H15" s="151">
        <f>REITORIA_SEMS!L15+REITORIA_MUSEU!L15+CESFI!L15+CEAD!L15+FAED!L15+CERES!L15+CEFID!L15+CEAVI!L15+ESAG!L15+CEART!L15</f>
        <v>688.5</v>
      </c>
      <c r="I15" s="23">
        <f>REITORIA_SEMS!K15-REITORIA_SEMS!S15+REITORIA_MUSEU!K15-REITORIA_MUSEU!S15+CESFI!K15-CESFI!S15+CEAD!K15-CEAD!S15+FAED!K15-FAED!S15+CERES!K15-CERES!S15+CEFID!K15-CEFID!S15+CEAVI!K15-CEAVI!S15+ESAG!K15-ESAG!S15+CEART!K15-CEART!S15</f>
        <v>688.5</v>
      </c>
      <c r="J15" s="152">
        <f>REITORIA_SEMS!O15+REITORIA_MUSEU!O15+CESFI!O15+CEAD!O15+FAED!O15+CERES!O15+CEFID!O15+CEAVI!O15+ESAG!O15+CEART!O15</f>
        <v>738</v>
      </c>
      <c r="K15" s="152">
        <f>REITORIA_SEMS!P15+REITORIA_MUSEU!P15+CESFI!P15+CEAD!P15+FAED!P15+CERES!P15+CEFID!P15+CEAVI!P15+ESAG!P15+CEART!P15+REITORIA_SEMS!Q15+REITORIA_MUSEU!Q15+CESFI!Q15+CEAD!Q15+FAED!Q15+CERES!Q15+CEFID!Q15+CEAVI!Q15+ESAG!Q15+CEART!Q15</f>
        <v>0</v>
      </c>
      <c r="L15" s="17">
        <f t="shared" si="2"/>
        <v>2272.5</v>
      </c>
      <c r="M15" s="7">
        <f t="shared" si="0"/>
        <v>148494.15</v>
      </c>
      <c r="N15" s="7">
        <f t="shared" si="3"/>
        <v>0</v>
      </c>
      <c r="O15" s="8">
        <f t="shared" si="1"/>
        <v>34528.275000000001</v>
      </c>
    </row>
    <row r="16" spans="1:15" ht="14.25" customHeight="1" x14ac:dyDescent="0.25">
      <c r="A16" s="180">
        <v>4</v>
      </c>
      <c r="B16" s="181" t="s">
        <v>83</v>
      </c>
      <c r="C16" s="47">
        <v>13</v>
      </c>
      <c r="D16" s="21" t="s">
        <v>98</v>
      </c>
      <c r="E16" s="25" t="s">
        <v>53</v>
      </c>
      <c r="F16" s="75">
        <v>90</v>
      </c>
      <c r="G16" s="9">
        <f>REITORIA_SEMS!K16+REITORIA_MUSEU!K16+CESFI!K16+CEAD!K16+FAED!K16+CERES!K16+CEFID!K16+CEAVI!K16+ESAG!K16+CEART!K16</f>
        <v>1510</v>
      </c>
      <c r="H16" s="151">
        <f>REITORIA_SEMS!L16+REITORIA_MUSEU!L16+CESFI!L16+CEAD!L16+FAED!L16+CERES!L16+CEFID!L16+CEAVI!L16+ESAG!L16+CEART!L16</f>
        <v>160.255</v>
      </c>
      <c r="I16" s="23">
        <f>REITORIA_SEMS!K16-REITORIA_SEMS!S16+REITORIA_MUSEU!K16-REITORIA_MUSEU!S16+CESFI!K16-CESFI!S16+CEAD!K16-CEAD!S16+FAED!K16-FAED!S16+CERES!K16-CERES!S16+CEFID!K16-CEFID!S16+CEAVI!K16-CEAVI!S16+ESAG!K16-ESAG!S16+CEART!K16-CEART!S16</f>
        <v>160.255</v>
      </c>
      <c r="J16" s="152">
        <f>REITORIA_SEMS!O16+REITORIA_MUSEU!O16+CESFI!O16+CEAD!O16+FAED!O16+CERES!O16+CEFID!O16+CEAVI!O16+ESAG!O16+CEART!O16</f>
        <v>375</v>
      </c>
      <c r="K16" s="152">
        <f>REITORIA_SEMS!P16+REITORIA_MUSEU!P16+CESFI!P16+CEAD!P16+FAED!P16+CERES!P16+CEFID!P16+CEAVI!P16+ESAG!P16+CEART!P16+REITORIA_SEMS!Q16+REITORIA_MUSEU!Q16+CESFI!Q16+CEAD!Q16+FAED!Q16+CERES!Q16+CEFID!Q16+CEAVI!Q16+ESAG!Q16+CEART!Q16</f>
        <v>0</v>
      </c>
      <c r="L16" s="17">
        <f t="shared" si="2"/>
        <v>1349.7449999999999</v>
      </c>
      <c r="M16" s="7">
        <f t="shared" si="0"/>
        <v>135900</v>
      </c>
      <c r="N16" s="7">
        <f t="shared" si="3"/>
        <v>0</v>
      </c>
      <c r="O16" s="8">
        <f t="shared" si="1"/>
        <v>14422.949999999999</v>
      </c>
    </row>
    <row r="17" spans="1:15" ht="14.25" customHeight="1" x14ac:dyDescent="0.25">
      <c r="A17" s="180"/>
      <c r="B17" s="182"/>
      <c r="C17" s="47">
        <v>14</v>
      </c>
      <c r="D17" s="21" t="s">
        <v>99</v>
      </c>
      <c r="E17" s="25" t="s">
        <v>55</v>
      </c>
      <c r="F17" s="75">
        <v>60</v>
      </c>
      <c r="G17" s="9">
        <f>REITORIA_SEMS!K17+REITORIA_MUSEU!K17+CESFI!K17+CEAD!K17+FAED!K17+CERES!K17+CEFID!K17+CEAVI!K17+ESAG!K17+CEART!K17</f>
        <v>830</v>
      </c>
      <c r="H17" s="151">
        <f>REITORIA_SEMS!L17+REITORIA_MUSEU!L17+CESFI!L17+CEAD!L17+FAED!L17+CERES!L17+CEFID!L17+CEAVI!L17+ESAG!L17+CEART!L17</f>
        <v>0</v>
      </c>
      <c r="I17" s="23">
        <f>REITORIA_SEMS!K17-REITORIA_SEMS!S17+REITORIA_MUSEU!K17-REITORIA_MUSEU!S17+CESFI!K17-CESFI!S17+CEAD!K17-CEAD!S17+FAED!K17-FAED!S17+CERES!K17-CERES!S17+CEFID!K17-CEFID!S17+CEAVI!K17-CEAVI!S17+ESAG!K17-ESAG!S17+CEART!K17-CEART!S17</f>
        <v>0</v>
      </c>
      <c r="J17" s="152">
        <f>REITORIA_SEMS!O17+REITORIA_MUSEU!O17+CESFI!O17+CEAD!O17+FAED!O17+CERES!O17+CEFID!O17+CEAVI!O17+ESAG!O17+CEART!O17</f>
        <v>206</v>
      </c>
      <c r="K17" s="152">
        <f>REITORIA_SEMS!P17+REITORIA_MUSEU!P17+CESFI!P17+CEAD!P17+FAED!P17+CERES!P17+CEFID!P17+CEAVI!P17+ESAG!P17+CEART!P17+REITORIA_SEMS!Q17+REITORIA_MUSEU!Q17+CESFI!Q17+CEAD!Q17+FAED!Q17+CERES!Q17+CEFID!Q17+CEAVI!Q17+ESAG!Q17+CEART!Q17</f>
        <v>0</v>
      </c>
      <c r="L17" s="17">
        <f t="shared" si="2"/>
        <v>830</v>
      </c>
      <c r="M17" s="7">
        <f t="shared" si="0"/>
        <v>49800</v>
      </c>
      <c r="N17" s="7">
        <f t="shared" si="3"/>
        <v>0</v>
      </c>
      <c r="O17" s="8">
        <f t="shared" si="1"/>
        <v>0</v>
      </c>
    </row>
    <row r="18" spans="1:15" ht="14.25" customHeight="1" x14ac:dyDescent="0.25">
      <c r="A18" s="180"/>
      <c r="B18" s="182"/>
      <c r="C18" s="47">
        <v>15</v>
      </c>
      <c r="D18" s="21" t="s">
        <v>100</v>
      </c>
      <c r="E18" s="25" t="s">
        <v>56</v>
      </c>
      <c r="F18" s="75">
        <v>236</v>
      </c>
      <c r="G18" s="9">
        <f>REITORIA_SEMS!K18+REITORIA_MUSEU!K18+CESFI!K18+CEAD!K18+FAED!K18+CERES!K18+CEFID!K18+CEAVI!K18+ESAG!K18+CEART!K18</f>
        <v>575</v>
      </c>
      <c r="H18" s="151">
        <f>REITORIA_SEMS!L18+REITORIA_MUSEU!L18+CESFI!L18+CEAD!L18+FAED!L18+CERES!L18+CEFID!L18+CEAVI!L18+ESAG!L18+CEART!L18</f>
        <v>0</v>
      </c>
      <c r="I18" s="23">
        <f>REITORIA_SEMS!K18-REITORIA_SEMS!S18+REITORIA_MUSEU!K18-REITORIA_MUSEU!S18+CESFI!K18-CESFI!S18+CEAD!K18-CEAD!S18+FAED!K18-FAED!S18+CERES!K18-CERES!S18+CEFID!K18-CEFID!S18+CEAVI!K18-CEAVI!S18+ESAG!K18-ESAG!S18+CEART!K18-CEART!S18</f>
        <v>0</v>
      </c>
      <c r="J18" s="152">
        <f>REITORIA_SEMS!O18+REITORIA_MUSEU!O18+CESFI!O18+CEAD!O18+FAED!O18+CERES!O18+CEFID!O18+CEAVI!O18+ESAG!O18+CEART!O18</f>
        <v>142</v>
      </c>
      <c r="K18" s="152">
        <f>REITORIA_SEMS!P18+REITORIA_MUSEU!P18+CESFI!P18+CEAD!P18+FAED!P18+CERES!P18+CEFID!P18+CEAVI!P18+ESAG!P18+CEART!P18+REITORIA_SEMS!Q18+REITORIA_MUSEU!Q18+CESFI!Q18+CEAD!Q18+FAED!Q18+CERES!Q18+CEFID!Q18+CEAVI!Q18+ESAG!Q18+CEART!Q18</f>
        <v>0</v>
      </c>
      <c r="L18" s="17">
        <f t="shared" si="2"/>
        <v>575</v>
      </c>
      <c r="M18" s="7">
        <f t="shared" si="0"/>
        <v>135700</v>
      </c>
      <c r="N18" s="7">
        <f t="shared" si="3"/>
        <v>0</v>
      </c>
      <c r="O18" s="8">
        <f t="shared" si="1"/>
        <v>0</v>
      </c>
    </row>
    <row r="19" spans="1:15" ht="14.25" customHeight="1" x14ac:dyDescent="0.25">
      <c r="A19" s="180"/>
      <c r="B19" s="183"/>
      <c r="C19" s="47">
        <v>16</v>
      </c>
      <c r="D19" s="21" t="s">
        <v>101</v>
      </c>
      <c r="E19" s="25" t="s">
        <v>57</v>
      </c>
      <c r="F19" s="75">
        <v>238.94</v>
      </c>
      <c r="G19" s="9">
        <f>REITORIA_SEMS!K19+REITORIA_MUSEU!K19+CESFI!K19+CEAD!K19+FAED!K19+CERES!K19+CEFID!K19+CEAVI!K19+ESAG!K19+CEART!K19</f>
        <v>760</v>
      </c>
      <c r="H19" s="151">
        <f>REITORIA_SEMS!L19+REITORIA_MUSEU!L19+CESFI!L19+CEAD!L19+FAED!L19+CERES!L19+CEFID!L19+CEAVI!L19+ESAG!L19+CEART!L19</f>
        <v>34</v>
      </c>
      <c r="I19" s="23">
        <f>REITORIA_SEMS!K19-REITORIA_SEMS!S19+REITORIA_MUSEU!K19-REITORIA_MUSEU!S19+CESFI!K19-CESFI!S19+CEAD!K19-CEAD!S19+FAED!K19-FAED!S19+CERES!K19-CERES!S19+CEFID!K19-CEFID!S19+CEAVI!K19-CEAVI!S19+ESAG!K19-ESAG!S19+CEART!K19-CEART!S19</f>
        <v>34</v>
      </c>
      <c r="J19" s="152">
        <f>REITORIA_SEMS!O19+REITORIA_MUSEU!O19+CESFI!O19+CEAD!O19+FAED!O19+CERES!O19+CEFID!O19+CEAVI!O19+ESAG!O19+CEART!O19</f>
        <v>189</v>
      </c>
      <c r="K19" s="152">
        <f>REITORIA_SEMS!P19+REITORIA_MUSEU!P19+CESFI!P19+CEAD!P19+FAED!P19+CERES!P19+CEFID!P19+CEAVI!P19+ESAG!P19+CEART!P19+REITORIA_SEMS!Q19+REITORIA_MUSEU!Q19+CESFI!Q19+CEAD!Q19+FAED!Q19+CERES!Q19+CEFID!Q19+CEAVI!Q19+ESAG!Q19+CEART!Q19</f>
        <v>0</v>
      </c>
      <c r="L19" s="17">
        <f t="shared" si="2"/>
        <v>726</v>
      </c>
      <c r="M19" s="7">
        <f t="shared" si="0"/>
        <v>181594.4</v>
      </c>
      <c r="N19" s="7">
        <f t="shared" si="3"/>
        <v>0</v>
      </c>
      <c r="O19" s="8">
        <f t="shared" si="1"/>
        <v>8123.96</v>
      </c>
    </row>
    <row r="20" spans="1:15" ht="42.75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77">
        <v>79</v>
      </c>
      <c r="G20" s="9">
        <f>REITORIA_SEMS!K20+REITORIA_MUSEU!K20+CESFI!K20+CEAD!K20+FAED!K20+CERES!K20+CEFID!K20+CEAVI!K20+ESAG!K20+CEART!K20</f>
        <v>200</v>
      </c>
      <c r="H20" s="151">
        <f>REITORIA_SEMS!L20+REITORIA_MUSEU!L20+CESFI!L20+CEAD!L20+FAED!L20+CERES!L20+CEFID!L20+CEAVI!L20+ESAG!L20+CEART!L20</f>
        <v>190</v>
      </c>
      <c r="I20" s="23">
        <f>REITORIA_SEMS!K20-REITORIA_SEMS!S20+REITORIA_MUSEU!K20-REITORIA_MUSEU!S20+CESFI!K20-CESFI!S20+CEAD!K20-CEAD!S20+FAED!K20-FAED!S20+CERES!K20-CERES!S20+CEFID!K20-CEFID!S20+CEAVI!K20-CEAVI!S20+ESAG!K20-ESAG!S20+CEART!K20-CEART!S20</f>
        <v>190</v>
      </c>
      <c r="J20" s="152">
        <f>REITORIA_SEMS!O20+REITORIA_MUSEU!O20+CESFI!O20+CEAD!O20+FAED!O20+CERES!O20+CEFID!O20+CEAVI!O20+ESAG!O20+CEART!O20</f>
        <v>50</v>
      </c>
      <c r="K20" s="152">
        <f>REITORIA_SEMS!P20+REITORIA_MUSEU!P20+CESFI!P20+CEAD!P20+FAED!P20+CERES!P20+CEFID!P20+CEAVI!P20+ESAG!P20+CEART!P20+REITORIA_SEMS!Q20+REITORIA_MUSEU!Q20+CESFI!Q20+CEAD!Q20+FAED!Q20+CERES!Q20+CEFID!Q20+CEAVI!Q20+ESAG!Q20+CEART!Q20</f>
        <v>0</v>
      </c>
      <c r="L20" s="17">
        <f t="shared" si="2"/>
        <v>10</v>
      </c>
      <c r="M20" s="7">
        <f t="shared" si="0"/>
        <v>15800</v>
      </c>
      <c r="N20" s="7">
        <f t="shared" si="3"/>
        <v>0</v>
      </c>
      <c r="O20" s="8">
        <f t="shared" si="1"/>
        <v>15010</v>
      </c>
    </row>
    <row r="21" spans="1:15" ht="43.5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78">
        <v>128.33000000000001</v>
      </c>
      <c r="G21" s="9">
        <f>REITORIA_SEMS!K21+REITORIA_MUSEU!K21+CESFI!K21+CEAD!K21+FAED!K21+CERES!K21+CEFID!K21+CEAVI!K21+ESAG!K21+CEART!K21</f>
        <v>120</v>
      </c>
      <c r="H21" s="151">
        <f>REITORIA_SEMS!L21+REITORIA_MUSEU!L21+CESFI!L21+CEAD!L21+FAED!L21+CERES!L21+CEFID!L21+CEAVI!L21+ESAG!L21+CEART!L21</f>
        <v>84</v>
      </c>
      <c r="I21" s="23">
        <f>REITORIA_SEMS!K21-REITORIA_SEMS!S21+REITORIA_MUSEU!K21-REITORIA_MUSEU!S21+CESFI!K21-CESFI!S21+CEAD!K21-CEAD!S21+FAED!K21-FAED!S21+CERES!K21-CERES!S21+CEFID!K21-CEFID!S21+CEAVI!K21-CEAVI!S21+ESAG!K21-ESAG!S21+CEART!K21-CEART!S21</f>
        <v>84</v>
      </c>
      <c r="J21" s="152">
        <f>REITORIA_SEMS!O21+REITORIA_MUSEU!O21+CESFI!O21+CEAD!O21+FAED!O21+CERES!O21+CEFID!O21+CEAVI!O21+ESAG!O21+CEART!O21</f>
        <v>30</v>
      </c>
      <c r="K21" s="152">
        <f>REITORIA_SEMS!P21+REITORIA_MUSEU!P21+CESFI!P21+CEAD!P21+FAED!P21+CERES!P21+CEFID!P21+CEAVI!P21+ESAG!P21+CEART!P21+REITORIA_SEMS!Q21+REITORIA_MUSEU!Q21+CESFI!Q21+CEAD!Q21+FAED!Q21+CERES!Q21+CEFID!Q21+CEAVI!Q21+ESAG!Q21+CEART!Q21</f>
        <v>0</v>
      </c>
      <c r="L21" s="17">
        <f t="shared" si="2"/>
        <v>36</v>
      </c>
      <c r="M21" s="7">
        <f t="shared" si="0"/>
        <v>15399.600000000002</v>
      </c>
      <c r="N21" s="7">
        <f t="shared" si="3"/>
        <v>0</v>
      </c>
      <c r="O21" s="8">
        <f t="shared" si="1"/>
        <v>10779.720000000001</v>
      </c>
    </row>
    <row r="22" spans="1:15" ht="41.25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77">
        <v>39.99</v>
      </c>
      <c r="G22" s="9">
        <f>REITORIA_SEMS!K22+REITORIA_MUSEU!K22+CESFI!K22+CEAD!K22+FAED!K22+CERES!K22+CEFID!K22+CEAVI!K22+ESAG!K22+CEART!K22</f>
        <v>500</v>
      </c>
      <c r="H22" s="151">
        <f>REITORIA_SEMS!L22+REITORIA_MUSEU!L22+CESFI!L22+CEAD!L22+FAED!L22+CERES!L22+CEFID!L22+CEAVI!L22+ESAG!L22+CEART!L22</f>
        <v>0</v>
      </c>
      <c r="I22" s="23">
        <f>REITORIA_SEMS!K22-REITORIA_SEMS!S22+REITORIA_MUSEU!K22-REITORIA_MUSEU!S22+CESFI!K22-CESFI!S22+CEAD!K22-CEAD!S22+FAED!K22-FAED!S22+CERES!K22-CERES!S22+CEFID!K22-CEFID!S22+CEAVI!K22-CEAVI!S22+ESAG!K22-ESAG!S22+CEART!K22-CEART!S22</f>
        <v>0</v>
      </c>
      <c r="J22" s="152">
        <f>REITORIA_SEMS!O22+REITORIA_MUSEU!O22+CESFI!O22+CEAD!O22+FAED!O22+CERES!O22+CEFID!O22+CEAVI!O22+ESAG!O22+CEART!O22</f>
        <v>125</v>
      </c>
      <c r="K22" s="152">
        <f>REITORIA_SEMS!P22+REITORIA_MUSEU!P22+CESFI!P22+CEAD!P22+FAED!P22+CERES!P22+CEFID!P22+CEAVI!P22+ESAG!P22+CEART!P22+REITORIA_SEMS!Q22+REITORIA_MUSEU!Q22+CESFI!Q22+CEAD!Q22+FAED!Q22+CERES!Q22+CEFID!Q22+CEAVI!Q22+ESAG!Q22+CEART!Q22</f>
        <v>0</v>
      </c>
      <c r="L22" s="17">
        <f t="shared" si="2"/>
        <v>500</v>
      </c>
      <c r="M22" s="7">
        <f t="shared" si="0"/>
        <v>19995</v>
      </c>
      <c r="N22" s="7">
        <f t="shared" si="3"/>
        <v>0</v>
      </c>
      <c r="O22" s="8">
        <f t="shared" si="1"/>
        <v>0</v>
      </c>
    </row>
    <row r="23" spans="1:15" ht="34.5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75">
        <v>39.99</v>
      </c>
      <c r="G23" s="9">
        <f>REITORIA_SEMS!K23+REITORIA_MUSEU!K23+CESFI!K23+CEAD!K23+FAED!K23+CERES!K23+CEFID!K23+CEAVI!K23+ESAG!K23+CEART!K23</f>
        <v>550</v>
      </c>
      <c r="H23" s="151">
        <f>REITORIA_SEMS!L23+REITORIA_MUSEU!L23+CESFI!L23+CEAD!L23+FAED!L23+CERES!L23+CEFID!L23+CEAVI!L23+ESAG!L23+CEART!L23</f>
        <v>0</v>
      </c>
      <c r="I23" s="23">
        <f>REITORIA_SEMS!K23-REITORIA_SEMS!S23+REITORIA_MUSEU!K23-REITORIA_MUSEU!S23+CESFI!K23-CESFI!S23+CEAD!K23-CEAD!S23+FAED!K23-FAED!S23+CERES!K23-CERES!S23+CEFID!K23-CEFID!S23+CEAVI!K23-CEAVI!S23+ESAG!K23-ESAG!S23+CEART!K23-CEART!S23</f>
        <v>0</v>
      </c>
      <c r="J23" s="152">
        <f>REITORIA_SEMS!O23+REITORIA_MUSEU!O23+CESFI!O23+CEAD!O23+FAED!O23+CERES!O23+CEFID!O23+CEAVI!O23+ESAG!O23+CEART!O23</f>
        <v>137</v>
      </c>
      <c r="K23" s="152">
        <f>REITORIA_SEMS!P23+REITORIA_MUSEU!P23+CESFI!P23+CEAD!P23+FAED!P23+CERES!P23+CEFID!P23+CEAVI!P23+ESAG!P23+CEART!P23+REITORIA_SEMS!Q23+REITORIA_MUSEU!Q23+CESFI!Q23+CEAD!Q23+FAED!Q23+CERES!Q23+CEFID!Q23+CEAVI!Q23+ESAG!Q23+CEART!Q23</f>
        <v>0</v>
      </c>
      <c r="L23" s="17">
        <f t="shared" si="2"/>
        <v>550</v>
      </c>
      <c r="M23" s="7">
        <f t="shared" si="0"/>
        <v>21994.5</v>
      </c>
      <c r="N23" s="7">
        <f t="shared" si="3"/>
        <v>0</v>
      </c>
      <c r="O23" s="8">
        <f t="shared" si="1"/>
        <v>0</v>
      </c>
    </row>
    <row r="24" spans="1:15" ht="52.5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75">
        <v>119.55</v>
      </c>
      <c r="G24" s="9">
        <f>REITORIA_SEMS!K24+REITORIA_MUSEU!K24+CESFI!K24+CEAD!K24+FAED!K24+CERES!K24+CEFID!K24+CEAVI!K24+ESAG!K24+CEART!K24</f>
        <v>450</v>
      </c>
      <c r="H24" s="151">
        <f>REITORIA_SEMS!L24+REITORIA_MUSEU!L24+CESFI!L24+CEAD!L24+FAED!L24+CERES!L24+CEFID!L24+CEAVI!L24+ESAG!L24+CEART!L24</f>
        <v>0</v>
      </c>
      <c r="I24" s="23">
        <f>REITORIA_SEMS!K24-REITORIA_SEMS!S24+REITORIA_MUSEU!K24-REITORIA_MUSEU!S24+CESFI!K24-CESFI!S24+CEAD!K24-CEAD!S24+FAED!K24-FAED!S24+CERES!K24-CERES!S24+CEFID!K24-CEFID!S24+CEAVI!K24-CEAVI!S24+ESAG!K24-ESAG!S24+CEART!K24-CEART!S24</f>
        <v>0</v>
      </c>
      <c r="J24" s="152">
        <f>REITORIA_SEMS!O24+REITORIA_MUSEU!O24+CESFI!O24+CEAD!O24+FAED!O24+CERES!O24+CEFID!O24+CEAVI!O24+ESAG!O24+CEART!O24</f>
        <v>112</v>
      </c>
      <c r="K24" s="152">
        <f>REITORIA_SEMS!P24+REITORIA_MUSEU!P24+CESFI!P24+CEAD!P24+FAED!P24+CERES!P24+CEFID!P24+CEAVI!P24+ESAG!P24+CEART!P24+REITORIA_SEMS!Q24+REITORIA_MUSEU!Q24+CESFI!Q24+CEAD!Q24+FAED!Q24+CERES!Q24+CEFID!Q24+CEAVI!Q24+ESAG!Q24+CEART!Q24</f>
        <v>0</v>
      </c>
      <c r="L24" s="17">
        <f t="shared" si="2"/>
        <v>450</v>
      </c>
      <c r="M24" s="7">
        <f t="shared" si="0"/>
        <v>53797.5</v>
      </c>
      <c r="N24" s="7">
        <f t="shared" si="3"/>
        <v>0</v>
      </c>
      <c r="O24" s="8">
        <f t="shared" si="1"/>
        <v>0</v>
      </c>
    </row>
    <row r="25" spans="1:15" ht="36.75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79">
        <v>37.03</v>
      </c>
      <c r="G25" s="9">
        <f>REITORIA_SEMS!K25+REITORIA_MUSEU!K25+CESFI!K25+CEAD!K25+FAED!K25+CERES!K25+CEFID!K25+CEAVI!K25+ESAG!K25+CEART!K25</f>
        <v>900</v>
      </c>
      <c r="H25" s="151">
        <f>REITORIA_SEMS!L25+REITORIA_MUSEU!L25+CESFI!L25+CEAD!L25+FAED!L25+CERES!L25+CEFID!L25+CEAVI!L25+ESAG!L25+CEART!L25</f>
        <v>269</v>
      </c>
      <c r="I25" s="23">
        <f>REITORIA_SEMS!K25-REITORIA_SEMS!S25+REITORIA_MUSEU!K25-REITORIA_MUSEU!S25+CESFI!K25-CESFI!S25+CEAD!K25-CEAD!S25+FAED!K25-FAED!S25+CERES!K25-CERES!S25+CEFID!K25-CEFID!S25+CEAVI!K25-CEAVI!S25+ESAG!K25-ESAG!S25+CEART!K25-CEART!S25</f>
        <v>269</v>
      </c>
      <c r="J25" s="152">
        <f>REITORIA_SEMS!O25+REITORIA_MUSEU!O25+CESFI!O25+CEAD!O25+FAED!O25+CERES!O25+CEFID!O25+CEAVI!O25+ESAG!O25+CEART!O25</f>
        <v>225</v>
      </c>
      <c r="K25" s="152">
        <f>REITORIA_SEMS!P25+REITORIA_MUSEU!P25+CESFI!P25+CEAD!P25+FAED!P25+CERES!P25+CEFID!P25+CEAVI!P25+ESAG!P25+CEART!P25+REITORIA_SEMS!Q25+REITORIA_MUSEU!Q25+CESFI!Q25+CEAD!Q25+FAED!Q25+CERES!Q25+CEFID!Q25+CEAVI!Q25+ESAG!Q25+CEART!Q25</f>
        <v>0</v>
      </c>
      <c r="L25" s="17">
        <f t="shared" si="2"/>
        <v>631</v>
      </c>
      <c r="M25" s="7">
        <f t="shared" si="0"/>
        <v>33327</v>
      </c>
      <c r="N25" s="7">
        <f t="shared" si="3"/>
        <v>0</v>
      </c>
      <c r="O25" s="8">
        <f t="shared" si="1"/>
        <v>9961.07</v>
      </c>
    </row>
    <row r="26" spans="1:15" ht="54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80">
        <v>599.78</v>
      </c>
      <c r="G26" s="9">
        <f>REITORIA_SEMS!K26+REITORIA_MUSEU!K26+CESFI!K26+CEAD!K26+FAED!K26+CERES!K26+CEFID!K26+CEAVI!K26+ESAG!K26+CEART!K26</f>
        <v>46</v>
      </c>
      <c r="H26" s="151">
        <f>REITORIA_SEMS!L26+REITORIA_MUSEU!L26+CESFI!L26+CEAD!L26+FAED!L26+CERES!L26+CEFID!L26+CEAVI!L26+ESAG!L26+CEART!L26</f>
        <v>46</v>
      </c>
      <c r="I26" s="23">
        <f>REITORIA_SEMS!K26-REITORIA_SEMS!S26+REITORIA_MUSEU!K26-REITORIA_MUSEU!S26+CESFI!K26-CESFI!S26+CEAD!K26-CEAD!S26+FAED!K26-FAED!S26+CERES!K26-CERES!S26+CEFID!K26-CEFID!S26+CEAVI!K26-CEAVI!S26+ESAG!K26-ESAG!S26+CEART!K26-CEART!S26</f>
        <v>46</v>
      </c>
      <c r="J26" s="152">
        <f>REITORIA_SEMS!O26+REITORIA_MUSEU!O26+CESFI!O26+CEAD!O26+FAED!O26+CERES!O26+CEFID!O26+CEAVI!O26+ESAG!O26+CEART!O26</f>
        <v>11</v>
      </c>
      <c r="K26" s="152">
        <f>REITORIA_SEMS!P26+REITORIA_MUSEU!P26+CESFI!P26+CEAD!P26+FAED!P26+CERES!P26+CEFID!P26+CEAVI!P26+ESAG!P26+CEART!P26+REITORIA_SEMS!Q26+REITORIA_MUSEU!Q26+CESFI!Q26+CEAD!Q26+FAED!Q26+CERES!Q26+CEFID!Q26+CEAVI!Q26+ESAG!Q26+CEART!Q26</f>
        <v>0</v>
      </c>
      <c r="L26" s="17">
        <f t="shared" si="2"/>
        <v>0</v>
      </c>
      <c r="M26" s="7">
        <f t="shared" si="0"/>
        <v>27589.879999999997</v>
      </c>
      <c r="N26" s="7">
        <f t="shared" si="3"/>
        <v>0</v>
      </c>
      <c r="O26" s="8">
        <f t="shared" si="1"/>
        <v>27589.879999999997</v>
      </c>
    </row>
    <row r="27" spans="1:15" ht="36.75" customHeight="1" x14ac:dyDescent="0.25">
      <c r="G27" s="22">
        <f>SUM(G4:G26)</f>
        <v>17876</v>
      </c>
      <c r="H27" s="22"/>
      <c r="I27" s="91">
        <f>SUM(I4:I26)</f>
        <v>2723.0450000000001</v>
      </c>
      <c r="J27" s="91"/>
      <c r="K27" s="91"/>
      <c r="L27" s="22">
        <f>SUM(L4:L26)</f>
        <v>15152.954999999998</v>
      </c>
      <c r="M27" s="20">
        <f>SUM(M4:M26)</f>
        <v>1601159.88</v>
      </c>
      <c r="N27" s="20">
        <f>SUM(N4:N26)</f>
        <v>0</v>
      </c>
      <c r="O27" s="20">
        <f>SUM(O4:O26)</f>
        <v>241504.71230000001</v>
      </c>
    </row>
    <row r="28" spans="1:15" ht="15" x14ac:dyDescent="0.25"/>
    <row r="29" spans="1:15" ht="15" x14ac:dyDescent="0.25">
      <c r="G29" s="191" t="str">
        <f>A1</f>
        <v>PE 0654/2024 SRP - (SGPE DE ORIGEM: 8475/2024)</v>
      </c>
      <c r="H29" s="191"/>
      <c r="I29" s="191"/>
      <c r="J29" s="191"/>
      <c r="K29" s="191"/>
      <c r="L29" s="191"/>
      <c r="M29" s="191"/>
      <c r="N29" s="191"/>
      <c r="O29" s="191"/>
    </row>
    <row r="30" spans="1:15" ht="42.75" customHeight="1" x14ac:dyDescent="0.25">
      <c r="G30" s="192" t="str">
        <f>D1</f>
        <v>OBJETO: AQUISIÇÃO DE DIVISÓRIAS, VIDROS, CORTINAS E SIMILARES PARA O CAMPUS I, CERES, CESFI E CEAVI PARA ATENDER ÀS NECESSIDADES DA UNIVERSIDADE DO ESTADO DE SANTA CATARINA (UDESC)</v>
      </c>
      <c r="H30" s="192"/>
      <c r="I30" s="192"/>
      <c r="J30" s="192"/>
      <c r="K30" s="192"/>
      <c r="L30" s="192"/>
      <c r="M30" s="192"/>
      <c r="N30" s="192"/>
      <c r="O30" s="192"/>
    </row>
    <row r="31" spans="1:15" ht="15" x14ac:dyDescent="0.25">
      <c r="G31" s="191" t="str">
        <f>G1</f>
        <v>VIGÊNCIA DA ATA: 14/05/2024 a 14/05/2025</v>
      </c>
      <c r="H31" s="191"/>
      <c r="I31" s="191"/>
      <c r="J31" s="191"/>
      <c r="K31" s="191"/>
      <c r="L31" s="191"/>
      <c r="M31" s="191"/>
      <c r="N31" s="191"/>
      <c r="O31" s="191"/>
    </row>
    <row r="32" spans="1:15" ht="15" x14ac:dyDescent="0.25">
      <c r="G32" s="81" t="s">
        <v>9</v>
      </c>
      <c r="H32" s="82"/>
      <c r="I32" s="82"/>
      <c r="J32" s="82"/>
      <c r="K32" s="82"/>
      <c r="L32" s="82"/>
      <c r="M32" s="82"/>
      <c r="N32" s="82"/>
      <c r="O32" s="83">
        <f>M27</f>
        <v>1601159.88</v>
      </c>
    </row>
    <row r="33" spans="7:15" ht="15" x14ac:dyDescent="0.25">
      <c r="G33" s="84" t="s">
        <v>10</v>
      </c>
      <c r="H33" s="85"/>
      <c r="I33" s="85"/>
      <c r="J33" s="85"/>
      <c r="K33" s="85"/>
      <c r="L33" s="85"/>
      <c r="M33" s="85"/>
      <c r="N33" s="85"/>
      <c r="O33" s="86">
        <f>O27</f>
        <v>241504.71230000001</v>
      </c>
    </row>
    <row r="34" spans="7:15" ht="15" x14ac:dyDescent="0.25">
      <c r="G34" s="84" t="s">
        <v>11</v>
      </c>
      <c r="H34" s="85"/>
      <c r="I34" s="85"/>
      <c r="J34" s="85"/>
      <c r="K34" s="85"/>
      <c r="L34" s="85"/>
      <c r="M34" s="85"/>
      <c r="N34" s="85"/>
      <c r="O34" s="87"/>
    </row>
    <row r="35" spans="7:15" ht="15" x14ac:dyDescent="0.25">
      <c r="G35" s="88" t="s">
        <v>12</v>
      </c>
      <c r="H35" s="89"/>
      <c r="I35" s="89"/>
      <c r="J35" s="89"/>
      <c r="K35" s="89"/>
      <c r="L35" s="89"/>
      <c r="M35" s="89"/>
      <c r="N35" s="89"/>
      <c r="O35" s="90">
        <f>O33/O32</f>
        <v>0.15083110394946944</v>
      </c>
    </row>
    <row r="36" spans="7:15" ht="15" x14ac:dyDescent="0.25">
      <c r="G36" s="193" t="s">
        <v>193</v>
      </c>
      <c r="H36" s="194"/>
      <c r="I36" s="194"/>
      <c r="J36" s="194"/>
      <c r="K36" s="194"/>
      <c r="L36" s="194"/>
      <c r="M36" s="194"/>
      <c r="N36" s="194"/>
      <c r="O36" s="195"/>
    </row>
  </sheetData>
  <mergeCells count="14">
    <mergeCell ref="G31:O31"/>
    <mergeCell ref="G29:O29"/>
    <mergeCell ref="G30:O30"/>
    <mergeCell ref="G36:O36"/>
    <mergeCell ref="A1:C1"/>
    <mergeCell ref="A2:O2"/>
    <mergeCell ref="D1:F1"/>
    <mergeCell ref="G1:O1"/>
    <mergeCell ref="A4:A8"/>
    <mergeCell ref="B4:B8"/>
    <mergeCell ref="A9:A14"/>
    <mergeCell ref="B9:B14"/>
    <mergeCell ref="A16:A19"/>
    <mergeCell ref="B16:B1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0A36-BAD6-4BAA-91F7-75BA8C80DC34}">
  <sheetPr>
    <tabColor rgb="FF00B0F0"/>
  </sheetPr>
  <dimension ref="A1:Y45"/>
  <sheetViews>
    <sheetView zoomScale="90" zoomScaleNormal="90" workbookViewId="0">
      <selection activeCell="D10" sqref="D10"/>
    </sheetView>
  </sheetViews>
  <sheetFormatPr defaultColWidth="9.7109375" defaultRowHeight="15" x14ac:dyDescent="0.25"/>
  <cols>
    <col min="1" max="1" width="18.28515625" style="2" customWidth="1"/>
    <col min="2" max="2" width="9.7109375" style="2" customWidth="1"/>
    <col min="3" max="3" width="42.7109375" style="2" customWidth="1"/>
    <col min="4" max="4" width="15" style="109" customWidth="1"/>
    <col min="5" max="5" width="11.140625" style="109" customWidth="1"/>
    <col min="6" max="6" width="11.85546875" style="109" customWidth="1"/>
    <col min="7" max="7" width="13.7109375" style="109" customWidth="1"/>
    <col min="8" max="8" width="9.140625" style="110" customWidth="1"/>
    <col min="9" max="9" width="11.85546875" style="110" customWidth="1"/>
    <col min="10" max="10" width="15" style="5" customWidth="1"/>
    <col min="11" max="11" width="13.85546875" style="2" customWidth="1"/>
    <col min="12" max="12" width="13.42578125" style="2" customWidth="1"/>
    <col min="13" max="13" width="15.28515625" style="2" customWidth="1"/>
    <col min="14" max="14" width="16.85546875" style="2" customWidth="1"/>
    <col min="15" max="15" width="15.7109375" style="2" customWidth="1"/>
    <col min="16" max="17" width="13.28515625" style="2" customWidth="1"/>
    <col min="18" max="18" width="13.7109375" style="2" customWidth="1"/>
    <col min="19" max="19" width="12.5703125" style="2" customWidth="1"/>
    <col min="20" max="25" width="12.42578125" style="2" customWidth="1"/>
    <col min="26" max="16384" width="9.7109375" style="2"/>
  </cols>
  <sheetData>
    <row r="1" spans="1:25" ht="44.25" customHeight="1" x14ac:dyDescent="0.25">
      <c r="A1" s="211" t="s">
        <v>130</v>
      </c>
      <c r="B1" s="212"/>
      <c r="C1" s="213" t="s">
        <v>131</v>
      </c>
      <c r="D1" s="214"/>
      <c r="E1" s="136"/>
      <c r="F1" s="213" t="s">
        <v>114</v>
      </c>
      <c r="G1" s="214"/>
      <c r="H1" s="214"/>
      <c r="I1" s="214"/>
      <c r="J1" s="214"/>
      <c r="K1" s="209" t="s">
        <v>139</v>
      </c>
      <c r="L1" s="209" t="s">
        <v>139</v>
      </c>
      <c r="M1" s="209" t="s">
        <v>139</v>
      </c>
      <c r="N1" s="209" t="s">
        <v>139</v>
      </c>
      <c r="O1" s="206" t="s">
        <v>118</v>
      </c>
      <c r="P1" s="206" t="s">
        <v>118</v>
      </c>
      <c r="Q1" s="206" t="s">
        <v>118</v>
      </c>
      <c r="R1" s="206" t="s">
        <v>118</v>
      </c>
      <c r="S1" s="206" t="s">
        <v>118</v>
      </c>
      <c r="T1" s="206" t="s">
        <v>118</v>
      </c>
      <c r="U1" s="206" t="s">
        <v>118</v>
      </c>
      <c r="V1" s="206" t="s">
        <v>118</v>
      </c>
      <c r="W1" s="206" t="s">
        <v>118</v>
      </c>
      <c r="X1" s="206" t="s">
        <v>118</v>
      </c>
      <c r="Y1" s="206" t="s">
        <v>118</v>
      </c>
    </row>
    <row r="2" spans="1:25" ht="28.5" customHeight="1" x14ac:dyDescent="0.25">
      <c r="A2" s="208" t="s">
        <v>119</v>
      </c>
      <c r="B2" s="208"/>
      <c r="C2" s="208"/>
      <c r="D2" s="208"/>
      <c r="E2" s="208"/>
      <c r="F2" s="208"/>
      <c r="G2" s="208"/>
      <c r="H2" s="208"/>
      <c r="I2" s="208"/>
      <c r="J2" s="208"/>
      <c r="K2" s="210"/>
      <c r="L2" s="210"/>
      <c r="M2" s="210"/>
      <c r="N2" s="210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</row>
    <row r="3" spans="1:25" ht="58.5" customHeight="1" x14ac:dyDescent="0.25">
      <c r="A3" s="94" t="s">
        <v>27</v>
      </c>
      <c r="B3" s="94" t="s">
        <v>3</v>
      </c>
      <c r="C3" s="94" t="s">
        <v>120</v>
      </c>
      <c r="D3" s="94" t="s">
        <v>121</v>
      </c>
      <c r="E3" s="95" t="s">
        <v>4</v>
      </c>
      <c r="F3" s="96" t="s">
        <v>122</v>
      </c>
      <c r="G3" s="97" t="s">
        <v>123</v>
      </c>
      <c r="H3" s="98" t="s">
        <v>124</v>
      </c>
      <c r="I3" s="99" t="s">
        <v>125</v>
      </c>
      <c r="J3" s="100" t="s">
        <v>7</v>
      </c>
      <c r="K3" s="92" t="s">
        <v>145</v>
      </c>
      <c r="L3" s="92" t="s">
        <v>144</v>
      </c>
      <c r="M3" s="92" t="s">
        <v>146</v>
      </c>
      <c r="N3" s="140" t="s">
        <v>160</v>
      </c>
      <c r="O3" s="92" t="s">
        <v>126</v>
      </c>
      <c r="P3" s="92" t="s">
        <v>126</v>
      </c>
      <c r="Q3" s="92" t="s">
        <v>126</v>
      </c>
      <c r="R3" s="92" t="s">
        <v>126</v>
      </c>
      <c r="S3" s="92" t="s">
        <v>126</v>
      </c>
      <c r="T3" s="92" t="s">
        <v>126</v>
      </c>
      <c r="U3" s="92" t="s">
        <v>126</v>
      </c>
      <c r="V3" s="92" t="s">
        <v>126</v>
      </c>
      <c r="W3" s="92" t="s">
        <v>126</v>
      </c>
      <c r="X3" s="92" t="s">
        <v>126</v>
      </c>
      <c r="Y3" s="92" t="s">
        <v>126</v>
      </c>
    </row>
    <row r="4" spans="1:25" ht="35.450000000000003" customHeight="1" x14ac:dyDescent="0.25">
      <c r="A4" s="201" t="s">
        <v>80</v>
      </c>
      <c r="B4" s="131">
        <v>1</v>
      </c>
      <c r="C4" s="128" t="s">
        <v>88</v>
      </c>
      <c r="D4" s="128" t="s">
        <v>45</v>
      </c>
      <c r="E4" s="134" t="s">
        <v>14</v>
      </c>
      <c r="F4" s="137">
        <v>476</v>
      </c>
      <c r="G4" s="101">
        <f>F4*2</f>
        <v>952</v>
      </c>
      <c r="H4" s="102">
        <f t="shared" ref="H4:H26" si="0">G4-(SUM(K4:Y4))</f>
        <v>952</v>
      </c>
      <c r="I4" s="103">
        <v>100</v>
      </c>
      <c r="J4" s="104">
        <f>F4*I4</f>
        <v>47600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ht="44.85" customHeight="1" x14ac:dyDescent="0.25">
      <c r="A5" s="202"/>
      <c r="B5" s="131">
        <v>2</v>
      </c>
      <c r="C5" s="128" t="s">
        <v>132</v>
      </c>
      <c r="D5" s="128" t="s">
        <v>47</v>
      </c>
      <c r="E5" s="134" t="s">
        <v>14</v>
      </c>
      <c r="F5" s="137">
        <v>105</v>
      </c>
      <c r="G5" s="101">
        <f t="shared" ref="G5:G26" si="1">F5*2</f>
        <v>210</v>
      </c>
      <c r="H5" s="102">
        <f t="shared" si="0"/>
        <v>210</v>
      </c>
      <c r="I5" s="103">
        <v>70.44</v>
      </c>
      <c r="J5" s="104">
        <f t="shared" ref="J5:J26" si="2">F5*I5</f>
        <v>7396.2</v>
      </c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</row>
    <row r="6" spans="1:25" ht="41.25" customHeight="1" x14ac:dyDescent="0.25">
      <c r="A6" s="202"/>
      <c r="B6" s="129">
        <v>3</v>
      </c>
      <c r="C6" s="130" t="s">
        <v>133</v>
      </c>
      <c r="D6" s="130" t="s">
        <v>47</v>
      </c>
      <c r="E6" s="134" t="s">
        <v>14</v>
      </c>
      <c r="F6" s="137">
        <v>205</v>
      </c>
      <c r="G6" s="101">
        <f t="shared" si="1"/>
        <v>410</v>
      </c>
      <c r="H6" s="102">
        <f t="shared" si="0"/>
        <v>410</v>
      </c>
      <c r="I6" s="103">
        <v>70.819999999999993</v>
      </c>
      <c r="J6" s="104">
        <f t="shared" si="2"/>
        <v>14518.099999999999</v>
      </c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</row>
    <row r="7" spans="1:25" ht="47.25" customHeight="1" x14ac:dyDescent="0.25">
      <c r="A7" s="202"/>
      <c r="B7" s="131">
        <v>4</v>
      </c>
      <c r="C7" s="128" t="s">
        <v>134</v>
      </c>
      <c r="D7" s="128" t="s">
        <v>47</v>
      </c>
      <c r="E7" s="134" t="s">
        <v>14</v>
      </c>
      <c r="F7" s="137">
        <v>425</v>
      </c>
      <c r="G7" s="101">
        <f t="shared" si="1"/>
        <v>850</v>
      </c>
      <c r="H7" s="102">
        <f t="shared" si="0"/>
        <v>850</v>
      </c>
      <c r="I7" s="103">
        <v>135.66999999999999</v>
      </c>
      <c r="J7" s="104">
        <f t="shared" si="2"/>
        <v>57659.749999999993</v>
      </c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</row>
    <row r="8" spans="1:25" ht="49.5" customHeight="1" x14ac:dyDescent="0.25">
      <c r="A8" s="203"/>
      <c r="B8" s="131">
        <v>5</v>
      </c>
      <c r="C8" s="130" t="s">
        <v>135</v>
      </c>
      <c r="D8" s="130" t="s">
        <v>47</v>
      </c>
      <c r="E8" s="134" t="s">
        <v>14</v>
      </c>
      <c r="F8" s="137">
        <v>425</v>
      </c>
      <c r="G8" s="101">
        <f t="shared" si="1"/>
        <v>850</v>
      </c>
      <c r="H8" s="102">
        <f t="shared" si="0"/>
        <v>850</v>
      </c>
      <c r="I8" s="103">
        <v>111.99</v>
      </c>
      <c r="J8" s="104">
        <f t="shared" si="2"/>
        <v>47595.75</v>
      </c>
      <c r="K8" s="105"/>
      <c r="L8" s="105"/>
      <c r="M8" s="105"/>
      <c r="N8" s="105"/>
      <c r="O8" s="105"/>
      <c r="P8" s="105"/>
      <c r="Q8" s="108"/>
      <c r="R8" s="105"/>
      <c r="S8" s="105"/>
      <c r="T8" s="105"/>
      <c r="U8" s="105"/>
      <c r="V8" s="105"/>
      <c r="W8" s="105"/>
      <c r="X8" s="105"/>
      <c r="Y8" s="105"/>
    </row>
    <row r="9" spans="1:25" ht="90" x14ac:dyDescent="0.25">
      <c r="A9" s="204" t="s">
        <v>81</v>
      </c>
      <c r="B9" s="153">
        <v>6</v>
      </c>
      <c r="C9" s="154" t="s">
        <v>136</v>
      </c>
      <c r="D9" s="154" t="s">
        <v>48</v>
      </c>
      <c r="E9" s="155" t="s">
        <v>14</v>
      </c>
      <c r="F9" s="137">
        <v>1810</v>
      </c>
      <c r="G9" s="101">
        <f t="shared" si="1"/>
        <v>3620</v>
      </c>
      <c r="H9" s="102">
        <f t="shared" si="0"/>
        <v>3097.9</v>
      </c>
      <c r="I9" s="103">
        <v>130</v>
      </c>
      <c r="J9" s="104">
        <f t="shared" si="2"/>
        <v>235300</v>
      </c>
      <c r="K9" s="105">
        <v>23.6</v>
      </c>
      <c r="L9" s="105">
        <v>255</v>
      </c>
      <c r="M9" s="105">
        <v>22</v>
      </c>
      <c r="N9" s="105">
        <v>221.5</v>
      </c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</row>
    <row r="10" spans="1:25" ht="102" customHeight="1" x14ac:dyDescent="0.25">
      <c r="A10" s="202"/>
      <c r="B10" s="156">
        <v>7</v>
      </c>
      <c r="C10" s="157" t="s">
        <v>137</v>
      </c>
      <c r="D10" s="157" t="s">
        <v>48</v>
      </c>
      <c r="E10" s="155" t="s">
        <v>14</v>
      </c>
      <c r="F10" s="137">
        <v>1270</v>
      </c>
      <c r="G10" s="101">
        <f t="shared" si="1"/>
        <v>2540</v>
      </c>
      <c r="H10" s="102">
        <f t="shared" si="0"/>
        <v>2486.3200000000002</v>
      </c>
      <c r="I10" s="103">
        <v>158</v>
      </c>
      <c r="J10" s="104">
        <f t="shared" si="2"/>
        <v>200660</v>
      </c>
      <c r="K10" s="105">
        <v>15.12</v>
      </c>
      <c r="L10" s="105">
        <v>28</v>
      </c>
      <c r="M10" s="105">
        <v>3</v>
      </c>
      <c r="N10" s="105">
        <v>7.56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80.25" customHeight="1" x14ac:dyDescent="0.25">
      <c r="A11" s="202"/>
      <c r="B11" s="156">
        <v>8</v>
      </c>
      <c r="C11" s="154" t="s">
        <v>95</v>
      </c>
      <c r="D11" s="154" t="s">
        <v>48</v>
      </c>
      <c r="E11" s="155" t="s">
        <v>24</v>
      </c>
      <c r="F11" s="137">
        <v>95</v>
      </c>
      <c r="G11" s="101">
        <f t="shared" si="1"/>
        <v>190</v>
      </c>
      <c r="H11" s="102">
        <f t="shared" si="0"/>
        <v>163</v>
      </c>
      <c r="I11" s="103">
        <v>380</v>
      </c>
      <c r="J11" s="104">
        <f t="shared" si="2"/>
        <v>36100</v>
      </c>
      <c r="K11" s="105">
        <v>4</v>
      </c>
      <c r="L11" s="105">
        <v>10</v>
      </c>
      <c r="M11" s="105"/>
      <c r="N11" s="105">
        <v>13</v>
      </c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24.95" customHeight="1" x14ac:dyDescent="0.25">
      <c r="A12" s="202"/>
      <c r="B12" s="129">
        <v>9</v>
      </c>
      <c r="C12" s="130" t="s">
        <v>96</v>
      </c>
      <c r="D12" s="130" t="s">
        <v>48</v>
      </c>
      <c r="E12" s="134" t="s">
        <v>24</v>
      </c>
      <c r="F12" s="137">
        <v>93</v>
      </c>
      <c r="G12" s="101">
        <f t="shared" si="1"/>
        <v>186</v>
      </c>
      <c r="H12" s="102">
        <f t="shared" si="0"/>
        <v>186</v>
      </c>
      <c r="I12" s="103">
        <v>293.85000000000002</v>
      </c>
      <c r="J12" s="104">
        <f t="shared" si="2"/>
        <v>27328.050000000003</v>
      </c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45" x14ac:dyDescent="0.25">
      <c r="A13" s="202"/>
      <c r="B13" s="141">
        <v>10</v>
      </c>
      <c r="C13" s="142" t="s">
        <v>33</v>
      </c>
      <c r="D13" s="142" t="s">
        <v>48</v>
      </c>
      <c r="E13" s="46" t="s">
        <v>14</v>
      </c>
      <c r="F13" s="137">
        <v>1640</v>
      </c>
      <c r="G13" s="101">
        <f t="shared" si="1"/>
        <v>3280</v>
      </c>
      <c r="H13" s="102">
        <f t="shared" si="0"/>
        <v>3165.86</v>
      </c>
      <c r="I13" s="103">
        <v>24</v>
      </c>
      <c r="J13" s="104">
        <f t="shared" si="2"/>
        <v>39360</v>
      </c>
      <c r="K13" s="105">
        <v>49.14</v>
      </c>
      <c r="L13" s="105">
        <v>30</v>
      </c>
      <c r="M13" s="105">
        <v>35</v>
      </c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</row>
    <row r="14" spans="1:25" ht="45" x14ac:dyDescent="0.25">
      <c r="A14" s="203"/>
      <c r="B14" s="141">
        <v>11</v>
      </c>
      <c r="C14" s="142" t="s">
        <v>34</v>
      </c>
      <c r="D14" s="142" t="s">
        <v>48</v>
      </c>
      <c r="E14" s="46" t="s">
        <v>14</v>
      </c>
      <c r="F14" s="137">
        <v>1930</v>
      </c>
      <c r="G14" s="101">
        <f t="shared" si="1"/>
        <v>3860</v>
      </c>
      <c r="H14" s="102">
        <f t="shared" si="0"/>
        <v>3785.33</v>
      </c>
      <c r="I14" s="103">
        <v>25</v>
      </c>
      <c r="J14" s="104">
        <f t="shared" si="2"/>
        <v>48250</v>
      </c>
      <c r="K14" s="105">
        <v>46.67</v>
      </c>
      <c r="L14" s="105"/>
      <c r="M14" s="105">
        <v>28</v>
      </c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25" ht="37.5" customHeight="1" x14ac:dyDescent="0.25">
      <c r="A15" s="132" t="s">
        <v>82</v>
      </c>
      <c r="B15" s="129">
        <v>12</v>
      </c>
      <c r="C15" s="130" t="s">
        <v>97</v>
      </c>
      <c r="D15" s="130" t="s">
        <v>51</v>
      </c>
      <c r="E15" s="134" t="s">
        <v>14</v>
      </c>
      <c r="F15" s="137">
        <v>2961</v>
      </c>
      <c r="G15" s="101">
        <f t="shared" si="1"/>
        <v>5922</v>
      </c>
      <c r="H15" s="102">
        <f t="shared" si="0"/>
        <v>5922</v>
      </c>
      <c r="I15" s="103">
        <v>50.15</v>
      </c>
      <c r="J15" s="104">
        <f t="shared" si="2"/>
        <v>148494.15</v>
      </c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</row>
    <row r="16" spans="1:25" ht="24.95" customHeight="1" x14ac:dyDescent="0.25">
      <c r="A16" s="201" t="s">
        <v>83</v>
      </c>
      <c r="B16" s="131">
        <v>13</v>
      </c>
      <c r="C16" s="130" t="s">
        <v>98</v>
      </c>
      <c r="D16" s="130" t="s">
        <v>53</v>
      </c>
      <c r="E16" s="134" t="s">
        <v>14</v>
      </c>
      <c r="F16" s="137">
        <v>1510</v>
      </c>
      <c r="G16" s="101">
        <f t="shared" si="1"/>
        <v>3020</v>
      </c>
      <c r="H16" s="102">
        <f t="shared" si="0"/>
        <v>3020</v>
      </c>
      <c r="I16" s="103">
        <v>90</v>
      </c>
      <c r="J16" s="104">
        <f t="shared" si="2"/>
        <v>135900</v>
      </c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</row>
    <row r="17" spans="1:25" ht="24.95" customHeight="1" x14ac:dyDescent="0.25">
      <c r="A17" s="202"/>
      <c r="B17" s="131">
        <v>14</v>
      </c>
      <c r="C17" s="130" t="s">
        <v>99</v>
      </c>
      <c r="D17" s="130" t="s">
        <v>55</v>
      </c>
      <c r="E17" s="134" t="s">
        <v>14</v>
      </c>
      <c r="F17" s="137">
        <v>830</v>
      </c>
      <c r="G17" s="101">
        <f t="shared" si="1"/>
        <v>1660</v>
      </c>
      <c r="H17" s="102">
        <f t="shared" si="0"/>
        <v>1660</v>
      </c>
      <c r="I17" s="103">
        <v>60</v>
      </c>
      <c r="J17" s="104">
        <f t="shared" si="2"/>
        <v>49800</v>
      </c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</row>
    <row r="18" spans="1:25" ht="24.95" customHeight="1" x14ac:dyDescent="0.25">
      <c r="A18" s="202"/>
      <c r="B18" s="129">
        <v>15</v>
      </c>
      <c r="C18" s="130" t="s">
        <v>100</v>
      </c>
      <c r="D18" s="130" t="s">
        <v>56</v>
      </c>
      <c r="E18" s="134" t="s">
        <v>14</v>
      </c>
      <c r="F18" s="137">
        <v>575</v>
      </c>
      <c r="G18" s="101">
        <f t="shared" si="1"/>
        <v>1150</v>
      </c>
      <c r="H18" s="102">
        <f t="shared" si="0"/>
        <v>1150</v>
      </c>
      <c r="I18" s="103">
        <v>236</v>
      </c>
      <c r="J18" s="104">
        <f t="shared" si="2"/>
        <v>135700</v>
      </c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</row>
    <row r="19" spans="1:25" ht="24.95" customHeight="1" x14ac:dyDescent="0.25">
      <c r="A19" s="203"/>
      <c r="B19" s="131">
        <v>16</v>
      </c>
      <c r="C19" s="130" t="s">
        <v>101</v>
      </c>
      <c r="D19" s="130" t="s">
        <v>57</v>
      </c>
      <c r="E19" s="134" t="s">
        <v>14</v>
      </c>
      <c r="F19" s="137">
        <v>760</v>
      </c>
      <c r="G19" s="101">
        <f t="shared" si="1"/>
        <v>1520</v>
      </c>
      <c r="H19" s="102">
        <f t="shared" si="0"/>
        <v>1520</v>
      </c>
      <c r="I19" s="103">
        <v>238.94</v>
      </c>
      <c r="J19" s="104">
        <f t="shared" si="2"/>
        <v>181594.4</v>
      </c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</row>
    <row r="20" spans="1:25" ht="24.95" customHeight="1" x14ac:dyDescent="0.25">
      <c r="A20" s="132" t="s">
        <v>84</v>
      </c>
      <c r="B20" s="131">
        <v>17</v>
      </c>
      <c r="C20" s="130" t="s">
        <v>58</v>
      </c>
      <c r="D20" s="130" t="s">
        <v>59</v>
      </c>
      <c r="E20" s="134" t="s">
        <v>14</v>
      </c>
      <c r="F20" s="137">
        <v>200</v>
      </c>
      <c r="G20" s="101">
        <f t="shared" si="1"/>
        <v>400</v>
      </c>
      <c r="H20" s="102">
        <f t="shared" si="0"/>
        <v>400</v>
      </c>
      <c r="I20" s="103">
        <v>79</v>
      </c>
      <c r="J20" s="104">
        <f t="shared" si="2"/>
        <v>15800</v>
      </c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</row>
    <row r="21" spans="1:25" ht="24.95" customHeight="1" x14ac:dyDescent="0.25">
      <c r="A21" s="132" t="s">
        <v>85</v>
      </c>
      <c r="B21" s="129">
        <v>18</v>
      </c>
      <c r="C21" s="130" t="s">
        <v>61</v>
      </c>
      <c r="D21" s="130" t="s">
        <v>62</v>
      </c>
      <c r="E21" s="134" t="s">
        <v>14</v>
      </c>
      <c r="F21" s="137">
        <v>120</v>
      </c>
      <c r="G21" s="101">
        <f t="shared" si="1"/>
        <v>240</v>
      </c>
      <c r="H21" s="102">
        <f t="shared" si="0"/>
        <v>240</v>
      </c>
      <c r="I21" s="103">
        <v>128.33000000000001</v>
      </c>
      <c r="J21" s="104">
        <f t="shared" si="2"/>
        <v>15399.600000000002</v>
      </c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</row>
    <row r="22" spans="1:25" ht="24.95" customHeight="1" x14ac:dyDescent="0.25">
      <c r="A22" s="132" t="s">
        <v>86</v>
      </c>
      <c r="B22" s="131">
        <v>20</v>
      </c>
      <c r="C22" s="130" t="s">
        <v>64</v>
      </c>
      <c r="D22" s="130" t="s">
        <v>65</v>
      </c>
      <c r="E22" s="128" t="s">
        <v>14</v>
      </c>
      <c r="F22" s="137">
        <v>500</v>
      </c>
      <c r="G22" s="101">
        <f t="shared" si="1"/>
        <v>1000</v>
      </c>
      <c r="H22" s="102">
        <f t="shared" si="0"/>
        <v>1000</v>
      </c>
      <c r="I22" s="103">
        <v>39.99</v>
      </c>
      <c r="J22" s="104">
        <f t="shared" si="2"/>
        <v>19995</v>
      </c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</row>
    <row r="23" spans="1:25" ht="24.95" customHeight="1" x14ac:dyDescent="0.25">
      <c r="A23" s="132" t="s">
        <v>86</v>
      </c>
      <c r="B23" s="131">
        <v>21</v>
      </c>
      <c r="C23" s="130" t="s">
        <v>67</v>
      </c>
      <c r="D23" s="130" t="s">
        <v>68</v>
      </c>
      <c r="E23" s="128" t="s">
        <v>14</v>
      </c>
      <c r="F23" s="137">
        <v>550</v>
      </c>
      <c r="G23" s="101">
        <f t="shared" si="1"/>
        <v>1100</v>
      </c>
      <c r="H23" s="102">
        <f t="shared" si="0"/>
        <v>1100</v>
      </c>
      <c r="I23" s="103">
        <v>39.99</v>
      </c>
      <c r="J23" s="104">
        <f t="shared" si="2"/>
        <v>21994.5</v>
      </c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</row>
    <row r="24" spans="1:25" ht="24.95" customHeight="1" x14ac:dyDescent="0.25">
      <c r="A24" s="132" t="s">
        <v>86</v>
      </c>
      <c r="B24" s="131">
        <v>22</v>
      </c>
      <c r="C24" s="130" t="s">
        <v>69</v>
      </c>
      <c r="D24" s="130" t="s">
        <v>70</v>
      </c>
      <c r="E24" s="128" t="s">
        <v>14</v>
      </c>
      <c r="F24" s="137">
        <v>450</v>
      </c>
      <c r="G24" s="101">
        <f t="shared" si="1"/>
        <v>900</v>
      </c>
      <c r="H24" s="102">
        <f t="shared" si="0"/>
        <v>900</v>
      </c>
      <c r="I24" s="103">
        <v>119.55</v>
      </c>
      <c r="J24" s="104">
        <f t="shared" si="2"/>
        <v>53797.5</v>
      </c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</row>
    <row r="25" spans="1:25" ht="57" customHeight="1" x14ac:dyDescent="0.25">
      <c r="A25" s="138" t="s">
        <v>87</v>
      </c>
      <c r="B25" s="135">
        <v>23</v>
      </c>
      <c r="C25" s="107" t="s">
        <v>35</v>
      </c>
      <c r="D25" s="107" t="s">
        <v>72</v>
      </c>
      <c r="E25" s="106" t="s">
        <v>24</v>
      </c>
      <c r="F25" s="137">
        <v>900</v>
      </c>
      <c r="G25" s="101">
        <f t="shared" si="1"/>
        <v>1800</v>
      </c>
      <c r="H25" s="102">
        <f t="shared" si="0"/>
        <v>1670</v>
      </c>
      <c r="I25" s="103">
        <v>37.03</v>
      </c>
      <c r="J25" s="104">
        <f t="shared" si="2"/>
        <v>33327</v>
      </c>
      <c r="K25" s="105"/>
      <c r="L25" s="105">
        <v>130</v>
      </c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</row>
    <row r="26" spans="1:25" ht="24.95" customHeight="1" x14ac:dyDescent="0.25">
      <c r="A26" s="133" t="s">
        <v>87</v>
      </c>
      <c r="B26" s="131">
        <v>24</v>
      </c>
      <c r="C26" s="130" t="s">
        <v>76</v>
      </c>
      <c r="D26" s="130" t="s">
        <v>77</v>
      </c>
      <c r="E26" s="128" t="s">
        <v>24</v>
      </c>
      <c r="F26" s="137">
        <v>46</v>
      </c>
      <c r="G26" s="101">
        <f t="shared" si="1"/>
        <v>92</v>
      </c>
      <c r="H26" s="102">
        <f t="shared" si="0"/>
        <v>92</v>
      </c>
      <c r="I26" s="103">
        <v>599.78</v>
      </c>
      <c r="J26" s="104">
        <f t="shared" si="2"/>
        <v>27589.879999999997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</row>
    <row r="27" spans="1:25" x14ac:dyDescent="0.25">
      <c r="I27" s="111">
        <f>SUM(I4:I26)</f>
        <v>3218.5299999999997</v>
      </c>
      <c r="J27" s="112">
        <f>SUM(J4:J26)</f>
        <v>1601159.88</v>
      </c>
      <c r="K27" s="113">
        <f t="shared" ref="K27:Y27" si="3">SUMPRODUCT($I$4:$I$26,K4:K26)</f>
        <v>9323.07</v>
      </c>
      <c r="L27" s="113">
        <f t="shared" si="3"/>
        <v>46907.9</v>
      </c>
      <c r="M27" s="113">
        <f t="shared" si="3"/>
        <v>4874</v>
      </c>
      <c r="N27" s="114">
        <f t="shared" si="3"/>
        <v>34929.479999999996</v>
      </c>
      <c r="O27" s="115">
        <f t="shared" si="3"/>
        <v>0</v>
      </c>
      <c r="P27" s="113">
        <f t="shared" si="3"/>
        <v>0</v>
      </c>
      <c r="Q27" s="113">
        <f t="shared" si="3"/>
        <v>0</v>
      </c>
      <c r="R27" s="113">
        <f t="shared" si="3"/>
        <v>0</v>
      </c>
      <c r="S27" s="113">
        <f t="shared" si="3"/>
        <v>0</v>
      </c>
      <c r="T27" s="113">
        <f t="shared" si="3"/>
        <v>0</v>
      </c>
      <c r="U27" s="113">
        <f t="shared" si="3"/>
        <v>0</v>
      </c>
      <c r="V27" s="113">
        <f t="shared" si="3"/>
        <v>0</v>
      </c>
      <c r="W27" s="113">
        <f t="shared" si="3"/>
        <v>0</v>
      </c>
      <c r="X27" s="113">
        <f t="shared" si="3"/>
        <v>0</v>
      </c>
      <c r="Y27" s="113">
        <f t="shared" si="3"/>
        <v>0</v>
      </c>
    </row>
    <row r="28" spans="1:25" x14ac:dyDescent="0.25">
      <c r="J28" s="116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</row>
    <row r="29" spans="1:25" x14ac:dyDescent="0.25">
      <c r="J29" s="116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</row>
    <row r="30" spans="1:25" x14ac:dyDescent="0.25">
      <c r="E30" s="2"/>
      <c r="G30" s="191" t="str">
        <f>A1</f>
        <v>PE 0654/2024 SRP - (SGPE DE ORIGEM: 8475/2024)</v>
      </c>
      <c r="H30" s="191"/>
      <c r="I30" s="191"/>
      <c r="J30" s="191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</row>
    <row r="31" spans="1:25" x14ac:dyDescent="0.25">
      <c r="E31" s="2"/>
      <c r="G31" s="191" t="str">
        <f>C1</f>
        <v>OBJETO: AQUISIÇÃO DE DIVISÓRIAS, VIDROS, CORTINAS E SIMILARES PARA O CAMPUS I, CERES, CESFI E CEAVI PARA ATENDER ÀS NECESSIDADES DA UNIVERSIDADE DO ESTADO DE SANTA CATARINA (UDESC)</v>
      </c>
      <c r="H31" s="191"/>
      <c r="I31" s="191"/>
      <c r="J31" s="191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</row>
    <row r="32" spans="1:25" x14ac:dyDescent="0.25">
      <c r="E32" s="2"/>
      <c r="G32" s="191" t="str">
        <f>F1</f>
        <v>VIGÊNCIA DA ATA: 14/05/2024 a 14/05/2025</v>
      </c>
      <c r="H32" s="191"/>
      <c r="I32" s="191"/>
      <c r="J32" s="191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</row>
    <row r="33" spans="4:25" ht="14.25" customHeight="1" x14ac:dyDescent="0.25">
      <c r="D33" s="2"/>
      <c r="E33" s="2"/>
      <c r="G33" s="118" t="s">
        <v>127</v>
      </c>
      <c r="H33" s="119"/>
      <c r="I33" s="205">
        <f>J27</f>
        <v>1601159.88</v>
      </c>
      <c r="J33" s="205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</row>
    <row r="34" spans="4:25" ht="14.25" customHeight="1" x14ac:dyDescent="0.25">
      <c r="D34" s="2"/>
      <c r="E34" s="2"/>
      <c r="G34" s="120" t="s">
        <v>128</v>
      </c>
      <c r="H34" s="121"/>
      <c r="I34" s="198">
        <f>SUM(K27:T27)</f>
        <v>96034.45</v>
      </c>
      <c r="J34" s="198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</row>
    <row r="35" spans="4:25" x14ac:dyDescent="0.25">
      <c r="D35" s="2"/>
      <c r="E35" s="2"/>
      <c r="G35" s="122"/>
      <c r="H35" s="123"/>
      <c r="I35" s="123"/>
      <c r="J35" s="124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</row>
    <row r="36" spans="4:25" x14ac:dyDescent="0.25">
      <c r="D36" s="2"/>
      <c r="E36" s="2"/>
      <c r="G36" s="88" t="s">
        <v>129</v>
      </c>
      <c r="H36" s="125"/>
      <c r="I36" s="125"/>
      <c r="J36" s="126">
        <f>I34/I33</f>
        <v>5.9978051660899721E-2</v>
      </c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</row>
    <row r="37" spans="4:25" x14ac:dyDescent="0.25">
      <c r="D37" s="2"/>
      <c r="E37" s="2"/>
      <c r="G37" s="199" t="s">
        <v>138</v>
      </c>
      <c r="H37" s="200"/>
      <c r="I37" s="200"/>
      <c r="J37" s="200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</row>
    <row r="38" spans="4:25" x14ac:dyDescent="0.25">
      <c r="D38" s="2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</row>
    <row r="39" spans="4:25" x14ac:dyDescent="0.25">
      <c r="D39" s="2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</row>
    <row r="40" spans="4:25" x14ac:dyDescent="0.25">
      <c r="D40" s="2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</row>
    <row r="41" spans="4:25" x14ac:dyDescent="0.25"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</row>
    <row r="42" spans="4:25" x14ac:dyDescent="0.25"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</row>
    <row r="43" spans="4:25" x14ac:dyDescent="0.25"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</row>
    <row r="44" spans="4:25" x14ac:dyDescent="0.25"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</row>
    <row r="45" spans="4:25" x14ac:dyDescent="0.25"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</row>
  </sheetData>
  <autoFilter ref="A3:Y27" xr:uid="{3EA90A36-BAD6-4BAA-91F7-75BA8C80DC34}"/>
  <mergeCells count="28">
    <mergeCell ref="R1:R2"/>
    <mergeCell ref="A1:B1"/>
    <mergeCell ref="C1:D1"/>
    <mergeCell ref="F1:J1"/>
    <mergeCell ref="K1:K2"/>
    <mergeCell ref="L1:L2"/>
    <mergeCell ref="Y1:Y2"/>
    <mergeCell ref="A2:J2"/>
    <mergeCell ref="G30:J30"/>
    <mergeCell ref="G31:J31"/>
    <mergeCell ref="G32:J3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P1:P2"/>
    <mergeCell ref="Q1:Q2"/>
    <mergeCell ref="I34:J34"/>
    <mergeCell ref="G37:J37"/>
    <mergeCell ref="A4:A8"/>
    <mergeCell ref="A9:A14"/>
    <mergeCell ref="A16:A19"/>
    <mergeCell ref="I33:J33"/>
  </mergeCells>
  <phoneticPr fontId="24" type="noConversion"/>
  <conditionalFormatting sqref="K28:T44">
    <cfRule type="cellIs" dxfId="36" priority="36" stopIfTrue="1" operator="greaterThan">
      <formula>0</formula>
    </cfRule>
    <cfRule type="cellIs" dxfId="35" priority="37" stopIfTrue="1" operator="greaterThan">
      <formula>0</formula>
    </cfRule>
    <cfRule type="cellIs" dxfId="34" priority="38" stopIfTrue="1" operator="greaterThan">
      <formula>0</formula>
    </cfRule>
  </conditionalFormatting>
  <conditionalFormatting sqref="K28:T44">
    <cfRule type="cellIs" dxfId="33" priority="35" operator="greaterThan">
      <formula>0</formula>
    </cfRule>
  </conditionalFormatting>
  <conditionalFormatting sqref="K28">
    <cfRule type="cellIs" dxfId="32" priority="34" operator="greaterThan">
      <formula>#REF!/2</formula>
    </cfRule>
  </conditionalFormatting>
  <conditionalFormatting sqref="K29 P28:T41 M28:O29 M38:O41 K30:O37 M43:T44">
    <cfRule type="cellIs" dxfId="31" priority="33" operator="greaterThan">
      <formula>#REF!/2</formula>
    </cfRule>
  </conditionalFormatting>
  <conditionalFormatting sqref="K38">
    <cfRule type="cellIs" dxfId="30" priority="32" operator="greaterThan">
      <formula>#REF!/2</formula>
    </cfRule>
  </conditionalFormatting>
  <conditionalFormatting sqref="K39">
    <cfRule type="cellIs" dxfId="29" priority="31" operator="greaterThan">
      <formula>#REF!/2</formula>
    </cfRule>
  </conditionalFormatting>
  <conditionalFormatting sqref="K40">
    <cfRule type="cellIs" dxfId="28" priority="30" operator="greaterThan">
      <formula>#REF!/2</formula>
    </cfRule>
  </conditionalFormatting>
  <conditionalFormatting sqref="K41">
    <cfRule type="cellIs" dxfId="27" priority="29" operator="greaterThan">
      <formula>#REF!/2</formula>
    </cfRule>
  </conditionalFormatting>
  <conditionalFormatting sqref="K42 M42:T42">
    <cfRule type="cellIs" dxfId="26" priority="27" operator="greaterThan">
      <formula>#REF!/2</formula>
    </cfRule>
    <cfRule type="cellIs" dxfId="25" priority="28" operator="greaterThan">
      <formula>#REF!/2</formula>
    </cfRule>
  </conditionalFormatting>
  <conditionalFormatting sqref="K43">
    <cfRule type="cellIs" dxfId="24" priority="26" operator="greaterThan">
      <formula>#REF!/2</formula>
    </cfRule>
  </conditionalFormatting>
  <conditionalFormatting sqref="K44">
    <cfRule type="cellIs" dxfId="23" priority="25" operator="greaterThan">
      <formula>#REF!/2</formula>
    </cfRule>
  </conditionalFormatting>
  <conditionalFormatting sqref="L28">
    <cfRule type="cellIs" dxfId="22" priority="24" operator="greaterThan">
      <formula>#REF!/2</formula>
    </cfRule>
  </conditionalFormatting>
  <conditionalFormatting sqref="L29">
    <cfRule type="cellIs" dxfId="21" priority="23" operator="greaterThan">
      <formula>#REF!/2</formula>
    </cfRule>
  </conditionalFormatting>
  <conditionalFormatting sqref="L38">
    <cfRule type="cellIs" dxfId="20" priority="22" operator="greaterThan">
      <formula>#REF!/2</formula>
    </cfRule>
  </conditionalFormatting>
  <conditionalFormatting sqref="L39">
    <cfRule type="cellIs" dxfId="19" priority="21" operator="greaterThan">
      <formula>#REF!/2</formula>
    </cfRule>
  </conditionalFormatting>
  <conditionalFormatting sqref="L40">
    <cfRule type="cellIs" dxfId="18" priority="20" operator="greaterThan">
      <formula>#REF!/2</formula>
    </cfRule>
  </conditionalFormatting>
  <conditionalFormatting sqref="L41">
    <cfRule type="cellIs" dxfId="17" priority="19" operator="greaterThan">
      <formula>#REF!/2</formula>
    </cfRule>
  </conditionalFormatting>
  <conditionalFormatting sqref="L42">
    <cfRule type="cellIs" dxfId="16" priority="17" operator="greaterThan">
      <formula>#REF!/2</formula>
    </cfRule>
    <cfRule type="cellIs" dxfId="15" priority="18" operator="greaterThan">
      <formula>#REF!/2</formula>
    </cfRule>
  </conditionalFormatting>
  <conditionalFormatting sqref="L43">
    <cfRule type="cellIs" dxfId="14" priority="16" operator="greaterThan">
      <formula>#REF!/2</formula>
    </cfRule>
  </conditionalFormatting>
  <conditionalFormatting sqref="L44">
    <cfRule type="cellIs" dxfId="13" priority="15" operator="greaterThan">
      <formula>#REF!/2</formula>
    </cfRule>
  </conditionalFormatting>
  <conditionalFormatting sqref="K4:Y26">
    <cfRule type="cellIs" dxfId="12" priority="14" operator="greaterThan">
      <formula>0</formula>
    </cfRule>
  </conditionalFormatting>
  <conditionalFormatting sqref="M7:T7">
    <cfRule type="cellIs" dxfId="11" priority="13" operator="greaterThan">
      <formula>125.5</formula>
    </cfRule>
  </conditionalFormatting>
  <conditionalFormatting sqref="K5:T5">
    <cfRule type="cellIs" dxfId="10" priority="12" operator="greaterThan">
      <formula>428</formula>
    </cfRule>
  </conditionalFormatting>
  <conditionalFormatting sqref="H4:H26">
    <cfRule type="cellIs" dxfId="9" priority="11" operator="lessThan">
      <formula>0</formula>
    </cfRule>
  </conditionalFormatting>
  <conditionalFormatting sqref="U28:Y44">
    <cfRule type="cellIs" dxfId="8" priority="8" stopIfTrue="1" operator="greaterThan">
      <formula>0</formula>
    </cfRule>
    <cfRule type="cellIs" dxfId="7" priority="9" stopIfTrue="1" operator="greaterThan">
      <formula>0</formula>
    </cfRule>
    <cfRule type="cellIs" dxfId="6" priority="10" stopIfTrue="1" operator="greaterThan">
      <formula>0</formula>
    </cfRule>
  </conditionalFormatting>
  <conditionalFormatting sqref="U28:Y44">
    <cfRule type="cellIs" dxfId="5" priority="7" operator="greaterThan">
      <formula>0</formula>
    </cfRule>
  </conditionalFormatting>
  <conditionalFormatting sqref="U43:Y44 U28:Y41">
    <cfRule type="cellIs" dxfId="4" priority="6" operator="greaterThan">
      <formula>#REF!/2</formula>
    </cfRule>
  </conditionalFormatting>
  <conditionalFormatting sqref="U42:Y42">
    <cfRule type="cellIs" dxfId="3" priority="4" operator="greaterThan">
      <formula>#REF!/2</formula>
    </cfRule>
    <cfRule type="cellIs" dxfId="2" priority="5" operator="greaterThan">
      <formula>#REF!/2</formula>
    </cfRule>
  </conditionalFormatting>
  <conditionalFormatting sqref="U7:Y7">
    <cfRule type="cellIs" dxfId="1" priority="2" operator="greaterThan">
      <formula>125.5</formula>
    </cfRule>
  </conditionalFormatting>
  <conditionalFormatting sqref="U5:Y5">
    <cfRule type="cellIs" dxfId="0" priority="1" operator="greaterThan">
      <formula>428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9E113-9BDA-4A76-883F-D2BE752868A9}">
  <dimension ref="A1:AL31"/>
  <sheetViews>
    <sheetView topLeftCell="A19" zoomScale="80" zoomScaleNormal="80" workbookViewId="0">
      <selection activeCell="S4" sqref="S4:S26"/>
    </sheetView>
  </sheetViews>
  <sheetFormatPr defaultColWidth="9.7109375" defaultRowHeight="15" x14ac:dyDescent="0.25"/>
  <cols>
    <col min="1" max="1" width="7.140625" style="18" customWidth="1"/>
    <col min="2" max="2" width="23.42578125" style="18" customWidth="1"/>
    <col min="3" max="3" width="6" style="14" bestFit="1" customWidth="1"/>
    <col min="4" max="4" width="48.42578125" style="18" customWidth="1"/>
    <col min="5" max="5" width="19" style="18" customWidth="1"/>
    <col min="6" max="6" width="9.28515625" style="18" customWidth="1"/>
    <col min="7" max="7" width="12" style="18" bestFit="1" customWidth="1"/>
    <col min="8" max="8" width="8.85546875" style="18" customWidth="1"/>
    <col min="9" max="9" width="10.140625" style="18" bestFit="1" customWidth="1"/>
    <col min="10" max="10" width="13.42578125" style="19" bestFit="1" customWidth="1"/>
    <col min="11" max="18" width="11.5703125" style="4" customWidth="1"/>
    <col min="19" max="19" width="11" style="15" customWidth="1"/>
    <col min="20" max="20" width="10.85546875" style="5" customWidth="1"/>
    <col min="21" max="21" width="13.85546875" style="6" customWidth="1"/>
    <col min="22" max="22" width="12.710937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31.7" customHeight="1" x14ac:dyDescent="0.25">
      <c r="A1" s="172" t="s">
        <v>37</v>
      </c>
      <c r="B1" s="172"/>
      <c r="C1" s="172"/>
      <c r="D1" s="172" t="s">
        <v>36</v>
      </c>
      <c r="E1" s="172"/>
      <c r="F1" s="172"/>
      <c r="G1" s="172"/>
      <c r="H1" s="172"/>
      <c r="I1" s="172"/>
      <c r="J1" s="172"/>
      <c r="K1" s="172" t="s">
        <v>38</v>
      </c>
      <c r="L1" s="172"/>
      <c r="M1" s="172"/>
      <c r="N1" s="172"/>
      <c r="O1" s="172"/>
      <c r="P1" s="172"/>
      <c r="Q1" s="172"/>
      <c r="R1" s="172"/>
      <c r="S1" s="172"/>
      <c r="T1" s="172"/>
      <c r="U1" s="171" t="s">
        <v>141</v>
      </c>
      <c r="V1" s="171" t="s">
        <v>39</v>
      </c>
      <c r="W1" s="171" t="s">
        <v>39</v>
      </c>
      <c r="X1" s="171" t="s">
        <v>39</v>
      </c>
      <c r="Y1" s="171" t="s">
        <v>39</v>
      </c>
      <c r="Z1" s="171" t="s">
        <v>39</v>
      </c>
      <c r="AA1" s="171" t="s">
        <v>39</v>
      </c>
      <c r="AB1" s="171" t="s">
        <v>39</v>
      </c>
      <c r="AC1" s="171" t="s">
        <v>39</v>
      </c>
      <c r="AD1" s="171" t="s">
        <v>39</v>
      </c>
      <c r="AE1" s="171" t="s">
        <v>39</v>
      </c>
      <c r="AF1" s="171" t="s">
        <v>39</v>
      </c>
      <c r="AG1" s="171" t="s">
        <v>39</v>
      </c>
      <c r="AH1" s="171" t="s">
        <v>39</v>
      </c>
      <c r="AI1" s="171" t="s">
        <v>39</v>
      </c>
      <c r="AJ1" s="171" t="s">
        <v>39</v>
      </c>
      <c r="AK1" s="171" t="s">
        <v>39</v>
      </c>
      <c r="AL1" s="171" t="s">
        <v>39</v>
      </c>
    </row>
    <row r="2" spans="1:38" ht="24" customHeight="1" x14ac:dyDescent="0.25">
      <c r="A2" s="177" t="s">
        <v>102</v>
      </c>
      <c r="B2" s="178"/>
      <c r="C2" s="178"/>
      <c r="D2" s="178"/>
      <c r="E2" s="178"/>
      <c r="F2" s="178"/>
      <c r="G2" s="178"/>
      <c r="H2" s="178"/>
      <c r="I2" s="178"/>
      <c r="J2" s="179"/>
      <c r="K2" s="174" t="s">
        <v>116</v>
      </c>
      <c r="L2" s="175"/>
      <c r="M2" s="175"/>
      <c r="N2" s="175"/>
      <c r="O2" s="175"/>
      <c r="P2" s="175"/>
      <c r="Q2" s="175"/>
      <c r="R2" s="175"/>
      <c r="S2" s="175"/>
      <c r="T2" s="176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</row>
    <row r="3" spans="1:38" s="3" customFormat="1" ht="75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4" t="s">
        <v>149</v>
      </c>
      <c r="M3" s="94" t="s">
        <v>150</v>
      </c>
      <c r="N3" s="94" t="s">
        <v>151</v>
      </c>
      <c r="O3" s="94" t="s">
        <v>152</v>
      </c>
      <c r="P3" s="94" t="s">
        <v>153</v>
      </c>
      <c r="Q3" s="94" t="s">
        <v>154</v>
      </c>
      <c r="R3" s="94" t="s">
        <v>155</v>
      </c>
      <c r="S3" s="12" t="s">
        <v>0</v>
      </c>
      <c r="T3" s="10" t="s">
        <v>2</v>
      </c>
      <c r="U3" s="92">
        <v>45558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184">
        <v>1</v>
      </c>
      <c r="B4" s="188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2</f>
        <v>2</v>
      </c>
      <c r="L4" s="144">
        <f>IF(SUM(U4:AL4)&gt;K4,K4,SUM(U4:AL4))</f>
        <v>0</v>
      </c>
      <c r="M4" s="144">
        <f>SUM(U4:AL4)</f>
        <v>0</v>
      </c>
      <c r="N4" s="149"/>
      <c r="O4" s="145">
        <f>ROUND(IF(K4*0.25-0.5&lt;0,0,K4*0.25-0.5),0)-P4-R4</f>
        <v>0</v>
      </c>
      <c r="P4" s="146"/>
      <c r="Q4" s="146"/>
      <c r="R4" s="146"/>
      <c r="S4" s="67">
        <f>K4-(SUM(U4:AL4))+N4</f>
        <v>2</v>
      </c>
      <c r="T4" s="68" t="str">
        <f>IF(S4&lt;0,"ATENÇÃO","OK")</f>
        <v>OK</v>
      </c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184"/>
      <c r="B5" s="186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0</f>
        <v>0</v>
      </c>
      <c r="L5" s="144">
        <f t="shared" ref="L5:L26" si="0">IF(SUM(U5:AL5)&gt;K5,K5,SUM(U5:AL5))</f>
        <v>0</v>
      </c>
      <c r="M5" s="144">
        <f t="shared" ref="M5:M26" si="1">SUM(U5:AL5)</f>
        <v>0</v>
      </c>
      <c r="N5" s="149"/>
      <c r="O5" s="145">
        <f t="shared" ref="O5:O26" si="2">ROUND(IF(K5*0.25-0.5&lt;0,0,K5*0.25-0.5),0)-P5-R5</f>
        <v>0</v>
      </c>
      <c r="P5" s="146"/>
      <c r="Q5" s="146"/>
      <c r="R5" s="146"/>
      <c r="S5" s="67">
        <f t="shared" ref="S5:S26" si="3">K5-(SUM(U5:AL5))+N5</f>
        <v>0</v>
      </c>
      <c r="T5" s="68" t="str">
        <f t="shared" ref="T5:T26" si="4">IF(S5&lt;0,"ATENÇÃO","OK")</f>
        <v>OK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184"/>
      <c r="B6" s="186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5</f>
        <v>5</v>
      </c>
      <c r="L6" s="144">
        <f t="shared" si="0"/>
        <v>0</v>
      </c>
      <c r="M6" s="144">
        <f t="shared" si="1"/>
        <v>0</v>
      </c>
      <c r="N6" s="149"/>
      <c r="O6" s="145">
        <f t="shared" si="2"/>
        <v>1</v>
      </c>
      <c r="P6" s="146"/>
      <c r="Q6" s="146"/>
      <c r="R6" s="146"/>
      <c r="S6" s="67">
        <f t="shared" si="3"/>
        <v>5</v>
      </c>
      <c r="T6" s="68" t="str">
        <f t="shared" si="4"/>
        <v>OK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50.1" customHeight="1" x14ac:dyDescent="0.25">
      <c r="A7" s="184"/>
      <c r="B7" s="186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5</f>
        <v>5</v>
      </c>
      <c r="L7" s="144">
        <f t="shared" si="0"/>
        <v>0</v>
      </c>
      <c r="M7" s="144">
        <f t="shared" si="1"/>
        <v>0</v>
      </c>
      <c r="N7" s="149"/>
      <c r="O7" s="145">
        <f t="shared" si="2"/>
        <v>1</v>
      </c>
      <c r="P7" s="146"/>
      <c r="Q7" s="146"/>
      <c r="R7" s="146"/>
      <c r="S7" s="67">
        <f t="shared" si="3"/>
        <v>5</v>
      </c>
      <c r="T7" s="68" t="str">
        <f t="shared" si="4"/>
        <v>OK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184"/>
      <c r="B8" s="187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0</f>
        <v>0</v>
      </c>
      <c r="L8" s="144">
        <f t="shared" si="0"/>
        <v>0</v>
      </c>
      <c r="M8" s="144">
        <f t="shared" si="1"/>
        <v>0</v>
      </c>
      <c r="N8" s="149"/>
      <c r="O8" s="145">
        <f t="shared" si="2"/>
        <v>0</v>
      </c>
      <c r="P8" s="146"/>
      <c r="Q8" s="146"/>
      <c r="R8" s="146"/>
      <c r="S8" s="67">
        <f t="shared" si="3"/>
        <v>0</v>
      </c>
      <c r="T8" s="68" t="str">
        <f t="shared" si="4"/>
        <v>OK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80">
        <v>2</v>
      </c>
      <c r="B9" s="181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0+24.4</f>
        <v>24.4</v>
      </c>
      <c r="L9" s="144">
        <f t="shared" si="0"/>
        <v>24.4</v>
      </c>
      <c r="M9" s="144">
        <f t="shared" si="1"/>
        <v>24.4</v>
      </c>
      <c r="N9" s="149"/>
      <c r="O9" s="145">
        <f t="shared" si="2"/>
        <v>6</v>
      </c>
      <c r="P9" s="146"/>
      <c r="Q9" s="146"/>
      <c r="R9" s="146"/>
      <c r="S9" s="67">
        <f t="shared" si="3"/>
        <v>0</v>
      </c>
      <c r="T9" s="68" t="str">
        <f t="shared" si="4"/>
        <v>OK</v>
      </c>
      <c r="U9" s="139">
        <v>24.4</v>
      </c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80"/>
      <c r="B10" s="182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0</f>
        <v>0</v>
      </c>
      <c r="L10" s="144">
        <f t="shared" si="0"/>
        <v>0</v>
      </c>
      <c r="M10" s="144">
        <f t="shared" si="1"/>
        <v>0</v>
      </c>
      <c r="N10" s="149"/>
      <c r="O10" s="145">
        <f t="shared" si="2"/>
        <v>0</v>
      </c>
      <c r="P10" s="146"/>
      <c r="Q10" s="146"/>
      <c r="R10" s="146"/>
      <c r="S10" s="67">
        <f t="shared" si="3"/>
        <v>0</v>
      </c>
      <c r="T10" s="68" t="str">
        <f t="shared" si="4"/>
        <v>OK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80"/>
      <c r="B11" s="182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0</f>
        <v>0</v>
      </c>
      <c r="L11" s="144">
        <f t="shared" si="0"/>
        <v>0</v>
      </c>
      <c r="M11" s="144">
        <f t="shared" si="1"/>
        <v>0</v>
      </c>
      <c r="N11" s="149"/>
      <c r="O11" s="145">
        <f t="shared" si="2"/>
        <v>0</v>
      </c>
      <c r="P11" s="146"/>
      <c r="Q11" s="146"/>
      <c r="R11" s="146"/>
      <c r="S11" s="67">
        <f t="shared" si="3"/>
        <v>0</v>
      </c>
      <c r="T11" s="68" t="str">
        <f t="shared" si="4"/>
        <v>OK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80"/>
      <c r="B12" s="182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0</f>
        <v>0</v>
      </c>
      <c r="L12" s="144">
        <f t="shared" si="0"/>
        <v>0</v>
      </c>
      <c r="M12" s="144">
        <f t="shared" si="1"/>
        <v>0</v>
      </c>
      <c r="N12" s="149"/>
      <c r="O12" s="145">
        <f t="shared" si="2"/>
        <v>0</v>
      </c>
      <c r="P12" s="146"/>
      <c r="Q12" s="146"/>
      <c r="R12" s="146"/>
      <c r="S12" s="67">
        <f t="shared" si="3"/>
        <v>0</v>
      </c>
      <c r="T12" s="68" t="str">
        <f t="shared" si="4"/>
        <v>OK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80"/>
      <c r="B13" s="182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0</f>
        <v>0</v>
      </c>
      <c r="L13" s="144">
        <f t="shared" si="0"/>
        <v>0</v>
      </c>
      <c r="M13" s="144">
        <f t="shared" si="1"/>
        <v>0</v>
      </c>
      <c r="N13" s="149"/>
      <c r="O13" s="145">
        <f t="shared" si="2"/>
        <v>0</v>
      </c>
      <c r="P13" s="146"/>
      <c r="Q13" s="146"/>
      <c r="R13" s="146"/>
      <c r="S13" s="67">
        <f t="shared" si="3"/>
        <v>0</v>
      </c>
      <c r="T13" s="68" t="str">
        <f t="shared" si="4"/>
        <v>OK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80"/>
      <c r="B14" s="183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0</f>
        <v>0</v>
      </c>
      <c r="L14" s="144">
        <f t="shared" si="0"/>
        <v>0</v>
      </c>
      <c r="M14" s="144">
        <f t="shared" si="1"/>
        <v>0</v>
      </c>
      <c r="N14" s="149"/>
      <c r="O14" s="145">
        <f t="shared" si="2"/>
        <v>0</v>
      </c>
      <c r="P14" s="146"/>
      <c r="Q14" s="146"/>
      <c r="R14" s="146"/>
      <c r="S14" s="67">
        <f t="shared" si="3"/>
        <v>0</v>
      </c>
      <c r="T14" s="68" t="str">
        <f t="shared" si="4"/>
        <v>OK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0</f>
        <v>0</v>
      </c>
      <c r="L15" s="144">
        <f t="shared" si="0"/>
        <v>0</v>
      </c>
      <c r="M15" s="144">
        <f t="shared" si="1"/>
        <v>0</v>
      </c>
      <c r="N15" s="149"/>
      <c r="O15" s="145">
        <f t="shared" si="2"/>
        <v>0</v>
      </c>
      <c r="P15" s="146"/>
      <c r="Q15" s="146"/>
      <c r="R15" s="146"/>
      <c r="S15" s="67">
        <f t="shared" si="3"/>
        <v>0</v>
      </c>
      <c r="T15" s="68" t="str">
        <f t="shared" si="4"/>
        <v>OK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65.25" customHeight="1" x14ac:dyDescent="0.25">
      <c r="A16" s="180">
        <v>4</v>
      </c>
      <c r="B16" s="181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0</f>
        <v>0</v>
      </c>
      <c r="L16" s="144">
        <f t="shared" si="0"/>
        <v>0</v>
      </c>
      <c r="M16" s="144">
        <f t="shared" si="1"/>
        <v>0</v>
      </c>
      <c r="N16" s="149"/>
      <c r="O16" s="145">
        <f t="shared" si="2"/>
        <v>0</v>
      </c>
      <c r="P16" s="146"/>
      <c r="Q16" s="146"/>
      <c r="R16" s="146"/>
      <c r="S16" s="67">
        <f t="shared" si="3"/>
        <v>0</v>
      </c>
      <c r="T16" s="68" t="str">
        <f t="shared" si="4"/>
        <v>OK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80"/>
      <c r="B17" s="182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0</f>
        <v>0</v>
      </c>
      <c r="L17" s="144">
        <f t="shared" si="0"/>
        <v>0</v>
      </c>
      <c r="M17" s="144">
        <f t="shared" si="1"/>
        <v>0</v>
      </c>
      <c r="N17" s="149"/>
      <c r="O17" s="145">
        <f t="shared" si="2"/>
        <v>0</v>
      </c>
      <c r="P17" s="146"/>
      <c r="Q17" s="146"/>
      <c r="R17" s="146"/>
      <c r="S17" s="67">
        <f t="shared" si="3"/>
        <v>0</v>
      </c>
      <c r="T17" s="68" t="str">
        <f t="shared" si="4"/>
        <v>OK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80"/>
      <c r="B18" s="182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0</f>
        <v>0</v>
      </c>
      <c r="L18" s="144">
        <f t="shared" si="0"/>
        <v>0</v>
      </c>
      <c r="M18" s="144">
        <f t="shared" si="1"/>
        <v>0</v>
      </c>
      <c r="N18" s="149"/>
      <c r="O18" s="145">
        <f t="shared" si="2"/>
        <v>0</v>
      </c>
      <c r="P18" s="146"/>
      <c r="Q18" s="146"/>
      <c r="R18" s="146"/>
      <c r="S18" s="67">
        <f t="shared" si="3"/>
        <v>0</v>
      </c>
      <c r="T18" s="68" t="str">
        <f t="shared" si="4"/>
        <v>OK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80"/>
      <c r="B19" s="183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0</f>
        <v>0</v>
      </c>
      <c r="L19" s="144">
        <f t="shared" si="0"/>
        <v>0</v>
      </c>
      <c r="M19" s="144">
        <f t="shared" si="1"/>
        <v>0</v>
      </c>
      <c r="N19" s="149"/>
      <c r="O19" s="145">
        <f t="shared" si="2"/>
        <v>0</v>
      </c>
      <c r="P19" s="146"/>
      <c r="Q19" s="146"/>
      <c r="R19" s="146"/>
      <c r="S19" s="67">
        <f t="shared" si="3"/>
        <v>0</v>
      </c>
      <c r="T19" s="68" t="str">
        <f t="shared" si="4"/>
        <v>OK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0</f>
        <v>0</v>
      </c>
      <c r="L20" s="144">
        <f t="shared" si="0"/>
        <v>0</v>
      </c>
      <c r="M20" s="144">
        <f t="shared" si="1"/>
        <v>0</v>
      </c>
      <c r="N20" s="149"/>
      <c r="O20" s="145">
        <f t="shared" si="2"/>
        <v>0</v>
      </c>
      <c r="P20" s="146"/>
      <c r="Q20" s="146"/>
      <c r="R20" s="146"/>
      <c r="S20" s="67">
        <f t="shared" si="3"/>
        <v>0</v>
      </c>
      <c r="T20" s="68" t="str">
        <f t="shared" si="4"/>
        <v>OK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0</f>
        <v>0</v>
      </c>
      <c r="L21" s="144">
        <f t="shared" si="0"/>
        <v>0</v>
      </c>
      <c r="M21" s="144">
        <f t="shared" si="1"/>
        <v>0</v>
      </c>
      <c r="N21" s="149"/>
      <c r="O21" s="145">
        <f t="shared" si="2"/>
        <v>0</v>
      </c>
      <c r="P21" s="146"/>
      <c r="Q21" s="146"/>
      <c r="R21" s="146"/>
      <c r="S21" s="67">
        <f t="shared" si="3"/>
        <v>0</v>
      </c>
      <c r="T21" s="68" t="str">
        <f t="shared" si="4"/>
        <v>OK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0</f>
        <v>0</v>
      </c>
      <c r="L22" s="144">
        <f t="shared" si="0"/>
        <v>0</v>
      </c>
      <c r="M22" s="144">
        <f t="shared" si="1"/>
        <v>0</v>
      </c>
      <c r="N22" s="149"/>
      <c r="O22" s="145">
        <f t="shared" si="2"/>
        <v>0</v>
      </c>
      <c r="P22" s="146"/>
      <c r="Q22" s="146"/>
      <c r="R22" s="146"/>
      <c r="S22" s="67">
        <f t="shared" si="3"/>
        <v>0</v>
      </c>
      <c r="T22" s="68" t="str">
        <f t="shared" si="4"/>
        <v>OK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0</f>
        <v>0</v>
      </c>
      <c r="L23" s="144">
        <f t="shared" si="0"/>
        <v>0</v>
      </c>
      <c r="M23" s="144">
        <f t="shared" si="1"/>
        <v>0</v>
      </c>
      <c r="N23" s="149"/>
      <c r="O23" s="145">
        <f t="shared" si="2"/>
        <v>0</v>
      </c>
      <c r="P23" s="146"/>
      <c r="Q23" s="146"/>
      <c r="R23" s="146"/>
      <c r="S23" s="67">
        <f t="shared" si="3"/>
        <v>0</v>
      </c>
      <c r="T23" s="68" t="str">
        <f t="shared" si="4"/>
        <v>OK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0</f>
        <v>0</v>
      </c>
      <c r="L24" s="144">
        <f t="shared" si="0"/>
        <v>0</v>
      </c>
      <c r="M24" s="144">
        <f t="shared" si="1"/>
        <v>0</v>
      </c>
      <c r="N24" s="149"/>
      <c r="O24" s="145">
        <f t="shared" si="2"/>
        <v>0</v>
      </c>
      <c r="P24" s="146"/>
      <c r="Q24" s="146"/>
      <c r="R24" s="146"/>
      <c r="S24" s="67">
        <f t="shared" si="3"/>
        <v>0</v>
      </c>
      <c r="T24" s="68" t="str">
        <f t="shared" si="4"/>
        <v>OK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0</f>
        <v>0</v>
      </c>
      <c r="L25" s="147">
        <f t="shared" si="0"/>
        <v>0</v>
      </c>
      <c r="M25" s="147">
        <f t="shared" si="1"/>
        <v>0</v>
      </c>
      <c r="N25" s="149"/>
      <c r="O25" s="145">
        <f t="shared" si="2"/>
        <v>0</v>
      </c>
      <c r="P25" s="146"/>
      <c r="Q25" s="146"/>
      <c r="R25" s="146"/>
      <c r="S25" s="67">
        <f t="shared" si="3"/>
        <v>0</v>
      </c>
      <c r="T25" s="68" t="str">
        <f t="shared" si="4"/>
        <v>OK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105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0</f>
        <v>0</v>
      </c>
      <c r="L26" s="144">
        <f t="shared" si="0"/>
        <v>0</v>
      </c>
      <c r="M26" s="144">
        <f t="shared" si="1"/>
        <v>0</v>
      </c>
      <c r="N26" s="149"/>
      <c r="O26" s="145">
        <f t="shared" si="2"/>
        <v>0</v>
      </c>
      <c r="P26" s="146"/>
      <c r="Q26" s="146"/>
      <c r="R26" s="146"/>
      <c r="S26" s="67">
        <f t="shared" si="3"/>
        <v>0</v>
      </c>
      <c r="T26" s="68" t="str">
        <f t="shared" si="4"/>
        <v>OK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150">
        <f>SUMPRODUCT($J$4:$J$26,K4:K26)</f>
        <v>4404.45</v>
      </c>
      <c r="L27" s="150">
        <f t="shared" ref="L27:M27" si="5">SUMPRODUCT($J$4:$J$26,L4:L26)</f>
        <v>3172</v>
      </c>
      <c r="M27" s="150">
        <f t="shared" si="5"/>
        <v>3172</v>
      </c>
      <c r="U27" s="26">
        <f>SUMPRODUCT($J$4:$J$26,U4:U26)</f>
        <v>3172</v>
      </c>
      <c r="V27" s="26">
        <f t="shared" ref="V27:AL27" si="6">SUMPRODUCT($J$4:$J$26,V4:V26)</f>
        <v>0</v>
      </c>
      <c r="W27" s="26">
        <f t="shared" si="6"/>
        <v>0</v>
      </c>
      <c r="X27" s="26">
        <f t="shared" si="6"/>
        <v>0</v>
      </c>
      <c r="Y27" s="26">
        <f t="shared" si="6"/>
        <v>0</v>
      </c>
      <c r="Z27" s="26">
        <f t="shared" si="6"/>
        <v>0</v>
      </c>
      <c r="AA27" s="26">
        <f t="shared" si="6"/>
        <v>0</v>
      </c>
      <c r="AB27" s="26">
        <f t="shared" si="6"/>
        <v>0</v>
      </c>
      <c r="AC27" s="26">
        <f t="shared" si="6"/>
        <v>0</v>
      </c>
      <c r="AD27" s="26">
        <f t="shared" si="6"/>
        <v>0</v>
      </c>
      <c r="AE27" s="26">
        <f t="shared" si="6"/>
        <v>0</v>
      </c>
      <c r="AF27" s="26">
        <f t="shared" si="6"/>
        <v>0</v>
      </c>
      <c r="AG27" s="26">
        <f t="shared" si="6"/>
        <v>0</v>
      </c>
      <c r="AH27" s="26">
        <f t="shared" si="6"/>
        <v>0</v>
      </c>
      <c r="AI27" s="26">
        <f t="shared" si="6"/>
        <v>0</v>
      </c>
      <c r="AJ27" s="26">
        <f t="shared" si="6"/>
        <v>0</v>
      </c>
      <c r="AK27" s="26">
        <f t="shared" si="6"/>
        <v>0</v>
      </c>
      <c r="AL27" s="26">
        <f t="shared" si="6"/>
        <v>0</v>
      </c>
    </row>
    <row r="28" spans="1:38" x14ac:dyDescent="0.25">
      <c r="D28" s="29" t="s">
        <v>43</v>
      </c>
    </row>
    <row r="29" spans="1:38" x14ac:dyDescent="0.25">
      <c r="D29" s="65" t="s">
        <v>44</v>
      </c>
    </row>
    <row r="30" spans="1:38" x14ac:dyDescent="0.25">
      <c r="D30" s="30" t="s">
        <v>106</v>
      </c>
    </row>
    <row r="31" spans="1:38" ht="15.75" thickBot="1" x14ac:dyDescent="0.3">
      <c r="D31" s="31" t="s">
        <v>105</v>
      </c>
    </row>
  </sheetData>
  <autoFilter ref="A3:AL31" xr:uid="{78D9E113-9BDA-4A76-883F-D2BE752868A9}"/>
  <mergeCells count="29"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</mergeCells>
  <conditionalFormatting sqref="AE4:AL26 AB5:AD26 V4:AA26 U5:U26">
    <cfRule type="cellIs" dxfId="118" priority="8" stopIfTrue="1" operator="greaterThan">
      <formula>0</formula>
    </cfRule>
    <cfRule type="cellIs" dxfId="117" priority="9" stopIfTrue="1" operator="greaterThan">
      <formula>0</formula>
    </cfRule>
    <cfRule type="cellIs" dxfId="116" priority="10" stopIfTrue="1" operator="greaterThan">
      <formula>0</formula>
    </cfRule>
  </conditionalFormatting>
  <conditionalFormatting sqref="AB4:AD4">
    <cfRule type="cellIs" dxfId="115" priority="5" stopIfTrue="1" operator="greaterThan">
      <formula>0</formula>
    </cfRule>
    <cfRule type="cellIs" dxfId="114" priority="6" stopIfTrue="1" operator="greaterThan">
      <formula>0</formula>
    </cfRule>
    <cfRule type="cellIs" dxfId="113" priority="7" stopIfTrue="1" operator="greaterThan">
      <formula>0</formula>
    </cfRule>
  </conditionalFormatting>
  <conditionalFormatting sqref="U4">
    <cfRule type="cellIs" dxfId="112" priority="2" stopIfTrue="1" operator="greaterThan">
      <formula>0</formula>
    </cfRule>
    <cfRule type="cellIs" dxfId="111" priority="3" stopIfTrue="1" operator="greaterThan">
      <formula>0</formula>
    </cfRule>
    <cfRule type="cellIs" dxfId="110" priority="4" stopIfTrue="1" operator="greaterThan">
      <formula>0</formula>
    </cfRule>
  </conditionalFormatting>
  <conditionalFormatting sqref="U4:AL26">
    <cfRule type="cellIs" dxfId="10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FE3E9-C25F-4BD1-A730-5A01157AE37E}">
  <dimension ref="A1:AL31"/>
  <sheetViews>
    <sheetView topLeftCell="C15" zoomScale="85" zoomScaleNormal="85" workbookViewId="0">
      <selection activeCell="T30" sqref="T30"/>
    </sheetView>
  </sheetViews>
  <sheetFormatPr defaultColWidth="9.7109375" defaultRowHeight="15" x14ac:dyDescent="0.25"/>
  <cols>
    <col min="1" max="1" width="7.140625" style="18" customWidth="1"/>
    <col min="2" max="2" width="23.42578125" style="18" customWidth="1"/>
    <col min="3" max="3" width="6" style="14" bestFit="1" customWidth="1"/>
    <col min="4" max="4" width="33.28515625" style="18" customWidth="1"/>
    <col min="5" max="5" width="19" style="18" customWidth="1"/>
    <col min="6" max="6" width="9.28515625" style="18" customWidth="1"/>
    <col min="7" max="7" width="12" style="18" bestFit="1" customWidth="1"/>
    <col min="8" max="8" width="8.85546875" style="18" customWidth="1"/>
    <col min="9" max="9" width="10.140625" style="18" bestFit="1" customWidth="1"/>
    <col min="10" max="10" width="13.42578125" style="19" bestFit="1" customWidth="1"/>
    <col min="11" max="11" width="14.28515625" style="4" customWidth="1"/>
    <col min="12" max="18" width="11.5703125" style="4" customWidth="1"/>
    <col min="19" max="19" width="11" style="15" customWidth="1"/>
    <col min="20" max="20" width="10.85546875" style="5" customWidth="1"/>
    <col min="21" max="21" width="13.85546875" style="6" customWidth="1"/>
    <col min="22" max="22" width="12.710937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31.7" customHeight="1" x14ac:dyDescent="0.25">
      <c r="A1" s="172" t="s">
        <v>37</v>
      </c>
      <c r="B1" s="172"/>
      <c r="C1" s="172"/>
      <c r="D1" s="172" t="s">
        <v>36</v>
      </c>
      <c r="E1" s="172"/>
      <c r="F1" s="172"/>
      <c r="G1" s="172"/>
      <c r="H1" s="172"/>
      <c r="I1" s="172"/>
      <c r="J1" s="172"/>
      <c r="K1" s="172" t="s">
        <v>38</v>
      </c>
      <c r="L1" s="172"/>
      <c r="M1" s="172"/>
      <c r="N1" s="172"/>
      <c r="O1" s="172"/>
      <c r="P1" s="172"/>
      <c r="Q1" s="172"/>
      <c r="R1" s="172"/>
      <c r="S1" s="172"/>
      <c r="T1" s="172"/>
      <c r="U1" s="189" t="s">
        <v>189</v>
      </c>
      <c r="V1" s="171" t="s">
        <v>39</v>
      </c>
      <c r="W1" s="171" t="s">
        <v>39</v>
      </c>
      <c r="X1" s="171" t="s">
        <v>39</v>
      </c>
      <c r="Y1" s="171" t="s">
        <v>39</v>
      </c>
      <c r="Z1" s="171" t="s">
        <v>39</v>
      </c>
      <c r="AA1" s="171" t="s">
        <v>39</v>
      </c>
      <c r="AB1" s="171" t="s">
        <v>39</v>
      </c>
      <c r="AC1" s="171" t="s">
        <v>39</v>
      </c>
      <c r="AD1" s="171" t="s">
        <v>39</v>
      </c>
      <c r="AE1" s="171" t="s">
        <v>39</v>
      </c>
      <c r="AF1" s="171" t="s">
        <v>39</v>
      </c>
      <c r="AG1" s="171" t="s">
        <v>39</v>
      </c>
      <c r="AH1" s="171" t="s">
        <v>39</v>
      </c>
      <c r="AI1" s="171" t="s">
        <v>39</v>
      </c>
      <c r="AJ1" s="171" t="s">
        <v>39</v>
      </c>
      <c r="AK1" s="171" t="s">
        <v>39</v>
      </c>
      <c r="AL1" s="171" t="s">
        <v>39</v>
      </c>
    </row>
    <row r="2" spans="1:38" ht="24" customHeight="1" x14ac:dyDescent="0.25">
      <c r="A2" s="177" t="s">
        <v>104</v>
      </c>
      <c r="B2" s="178"/>
      <c r="C2" s="178"/>
      <c r="D2" s="178"/>
      <c r="E2" s="178"/>
      <c r="F2" s="178"/>
      <c r="G2" s="178"/>
      <c r="H2" s="178"/>
      <c r="I2" s="178"/>
      <c r="J2" s="179"/>
      <c r="K2" s="174" t="s">
        <v>116</v>
      </c>
      <c r="L2" s="175"/>
      <c r="M2" s="175"/>
      <c r="N2" s="175"/>
      <c r="O2" s="175"/>
      <c r="P2" s="175"/>
      <c r="Q2" s="175"/>
      <c r="R2" s="175"/>
      <c r="S2" s="175"/>
      <c r="T2" s="176"/>
      <c r="U2" s="190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</row>
    <row r="3" spans="1:38" s="3" customFormat="1" ht="75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4" t="s">
        <v>149</v>
      </c>
      <c r="M3" s="94" t="s">
        <v>150</v>
      </c>
      <c r="N3" s="94" t="s">
        <v>151</v>
      </c>
      <c r="O3" s="94" t="s">
        <v>152</v>
      </c>
      <c r="P3" s="94" t="s">
        <v>153</v>
      </c>
      <c r="Q3" s="94" t="s">
        <v>154</v>
      </c>
      <c r="R3" s="94" t="s">
        <v>155</v>
      </c>
      <c r="S3" s="12" t="s">
        <v>0</v>
      </c>
      <c r="T3" s="10" t="s">
        <v>2</v>
      </c>
      <c r="U3" s="161">
        <v>45481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184">
        <v>1</v>
      </c>
      <c r="B4" s="188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0</f>
        <v>0</v>
      </c>
      <c r="L4" s="144">
        <f>IF(SUM(U4:AL4)&gt;K4,K4,SUM(U4:AL4))</f>
        <v>0</v>
      </c>
      <c r="M4" s="144">
        <f>SUM(U4:AL4)</f>
        <v>0</v>
      </c>
      <c r="N4" s="149"/>
      <c r="O4" s="145">
        <f>ROUND(IF(K4*0.25-0.5&lt;0,0,K4*0.25-0.5),0)-P4-R4</f>
        <v>0</v>
      </c>
      <c r="P4" s="146"/>
      <c r="Q4" s="146"/>
      <c r="R4" s="146"/>
      <c r="S4" s="168">
        <f>K4-(SUM(U4:AL4))+N4</f>
        <v>0</v>
      </c>
      <c r="T4" s="68" t="str">
        <f>IF(S4&lt;0,"ATENÇÃO","OK")</f>
        <v>OK</v>
      </c>
      <c r="U4" s="162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184"/>
      <c r="B5" s="186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0</f>
        <v>0</v>
      </c>
      <c r="L5" s="144">
        <f t="shared" ref="L5:L26" si="0">IF(SUM(U5:AL5)&gt;K5,K5,SUM(U5:AL5))</f>
        <v>0</v>
      </c>
      <c r="M5" s="144">
        <f t="shared" ref="M5:M26" si="1">SUM(U5:AL5)</f>
        <v>0</v>
      </c>
      <c r="N5" s="149"/>
      <c r="O5" s="145">
        <f t="shared" ref="O5:O27" si="2">ROUND(IF(K5*0.25-0.5&lt;0,0,K5*0.25-0.5),0)-P5-R5</f>
        <v>0</v>
      </c>
      <c r="P5" s="146"/>
      <c r="Q5" s="146"/>
      <c r="R5" s="146"/>
      <c r="S5" s="168">
        <f t="shared" ref="S5:S26" si="3">K5-(SUM(U5:AL5))+N5</f>
        <v>0</v>
      </c>
      <c r="T5" s="68" t="str">
        <f t="shared" ref="T5:T27" si="4">IF(S5&lt;0,"ATENÇÃO","OK")</f>
        <v>OK</v>
      </c>
      <c r="U5" s="162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184"/>
      <c r="B6" s="186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0</f>
        <v>0</v>
      </c>
      <c r="L6" s="144">
        <f t="shared" si="0"/>
        <v>0</v>
      </c>
      <c r="M6" s="144">
        <f t="shared" si="1"/>
        <v>0</v>
      </c>
      <c r="N6" s="149"/>
      <c r="O6" s="145">
        <f t="shared" si="2"/>
        <v>0</v>
      </c>
      <c r="P6" s="146"/>
      <c r="Q6" s="146"/>
      <c r="R6" s="146"/>
      <c r="S6" s="168">
        <f t="shared" si="3"/>
        <v>0</v>
      </c>
      <c r="T6" s="68" t="str">
        <f t="shared" si="4"/>
        <v>OK</v>
      </c>
      <c r="U6" s="162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50.1" customHeight="1" x14ac:dyDescent="0.25">
      <c r="A7" s="184"/>
      <c r="B7" s="186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0</f>
        <v>0</v>
      </c>
      <c r="L7" s="144">
        <f t="shared" si="0"/>
        <v>0</v>
      </c>
      <c r="M7" s="144">
        <f t="shared" si="1"/>
        <v>0</v>
      </c>
      <c r="N7" s="149"/>
      <c r="O7" s="145">
        <f t="shared" si="2"/>
        <v>0</v>
      </c>
      <c r="P7" s="146"/>
      <c r="Q7" s="146"/>
      <c r="R7" s="146"/>
      <c r="S7" s="168">
        <f t="shared" si="3"/>
        <v>0</v>
      </c>
      <c r="T7" s="68" t="str">
        <f t="shared" si="4"/>
        <v>OK</v>
      </c>
      <c r="U7" s="162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184"/>
      <c r="B8" s="187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0</f>
        <v>0</v>
      </c>
      <c r="L8" s="144">
        <f t="shared" si="0"/>
        <v>0</v>
      </c>
      <c r="M8" s="144">
        <f t="shared" si="1"/>
        <v>0</v>
      </c>
      <c r="N8" s="149"/>
      <c r="O8" s="145">
        <f t="shared" si="2"/>
        <v>0</v>
      </c>
      <c r="P8" s="146"/>
      <c r="Q8" s="146"/>
      <c r="R8" s="146"/>
      <c r="S8" s="168">
        <f t="shared" si="3"/>
        <v>0</v>
      </c>
      <c r="T8" s="68" t="str">
        <f t="shared" si="4"/>
        <v>OK</v>
      </c>
      <c r="U8" s="162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80">
        <v>2</v>
      </c>
      <c r="B9" s="181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50</f>
        <v>50</v>
      </c>
      <c r="L9" s="144">
        <f t="shared" si="0"/>
        <v>0</v>
      </c>
      <c r="M9" s="144">
        <f t="shared" si="1"/>
        <v>0</v>
      </c>
      <c r="N9" s="149">
        <v>-50</v>
      </c>
      <c r="O9" s="145">
        <f t="shared" si="2"/>
        <v>12</v>
      </c>
      <c r="P9" s="146"/>
      <c r="Q9" s="146"/>
      <c r="R9" s="146"/>
      <c r="S9" s="168">
        <f t="shared" si="3"/>
        <v>0</v>
      </c>
      <c r="T9" s="68" t="str">
        <f t="shared" si="4"/>
        <v>OK</v>
      </c>
      <c r="U9" s="162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80"/>
      <c r="B10" s="182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50</f>
        <v>50</v>
      </c>
      <c r="L10" s="144">
        <f t="shared" si="0"/>
        <v>0</v>
      </c>
      <c r="M10" s="144">
        <f t="shared" si="1"/>
        <v>0</v>
      </c>
      <c r="N10" s="149">
        <v>-50</v>
      </c>
      <c r="O10" s="145">
        <f t="shared" si="2"/>
        <v>12</v>
      </c>
      <c r="P10" s="146"/>
      <c r="Q10" s="146"/>
      <c r="R10" s="146"/>
      <c r="S10" s="168">
        <f t="shared" si="3"/>
        <v>0</v>
      </c>
      <c r="T10" s="68" t="str">
        <f t="shared" si="4"/>
        <v>OK</v>
      </c>
      <c r="U10" s="162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80"/>
      <c r="B11" s="182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10</f>
        <v>10</v>
      </c>
      <c r="L11" s="144">
        <f t="shared" si="0"/>
        <v>0</v>
      </c>
      <c r="M11" s="144">
        <f t="shared" si="1"/>
        <v>0</v>
      </c>
      <c r="N11" s="149">
        <v>-5</v>
      </c>
      <c r="O11" s="145">
        <f t="shared" si="2"/>
        <v>2</v>
      </c>
      <c r="P11" s="146"/>
      <c r="Q11" s="146"/>
      <c r="R11" s="146"/>
      <c r="S11" s="168">
        <f t="shared" si="3"/>
        <v>5</v>
      </c>
      <c r="T11" s="68" t="str">
        <f t="shared" si="4"/>
        <v>OK</v>
      </c>
      <c r="U11" s="162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80"/>
      <c r="B12" s="182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10</f>
        <v>10</v>
      </c>
      <c r="L12" s="144">
        <f t="shared" si="0"/>
        <v>0</v>
      </c>
      <c r="M12" s="144">
        <f t="shared" si="1"/>
        <v>0</v>
      </c>
      <c r="N12" s="149"/>
      <c r="O12" s="145">
        <f t="shared" si="2"/>
        <v>2</v>
      </c>
      <c r="P12" s="146"/>
      <c r="Q12" s="146"/>
      <c r="R12" s="146"/>
      <c r="S12" s="168">
        <f t="shared" si="3"/>
        <v>10</v>
      </c>
      <c r="T12" s="68" t="str">
        <f t="shared" si="4"/>
        <v>OK</v>
      </c>
      <c r="U12" s="162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80"/>
      <c r="B13" s="182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30</f>
        <v>30</v>
      </c>
      <c r="L13" s="144">
        <f t="shared" si="0"/>
        <v>0</v>
      </c>
      <c r="M13" s="144">
        <f t="shared" si="1"/>
        <v>0</v>
      </c>
      <c r="N13" s="149"/>
      <c r="O13" s="145">
        <f t="shared" si="2"/>
        <v>7</v>
      </c>
      <c r="P13" s="146"/>
      <c r="Q13" s="146"/>
      <c r="R13" s="146"/>
      <c r="S13" s="168">
        <f t="shared" si="3"/>
        <v>30</v>
      </c>
      <c r="T13" s="68" t="str">
        <f t="shared" si="4"/>
        <v>OK</v>
      </c>
      <c r="U13" s="162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80"/>
      <c r="B14" s="183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50</f>
        <v>50</v>
      </c>
      <c r="L14" s="144">
        <f t="shared" si="0"/>
        <v>0</v>
      </c>
      <c r="M14" s="144">
        <f t="shared" si="1"/>
        <v>0</v>
      </c>
      <c r="N14" s="149"/>
      <c r="O14" s="145">
        <f t="shared" si="2"/>
        <v>12</v>
      </c>
      <c r="P14" s="146"/>
      <c r="Q14" s="146"/>
      <c r="R14" s="146"/>
      <c r="S14" s="168">
        <f t="shared" si="3"/>
        <v>50</v>
      </c>
      <c r="T14" s="68" t="str">
        <f t="shared" si="4"/>
        <v>OK</v>
      </c>
      <c r="U14" s="162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70</f>
        <v>70</v>
      </c>
      <c r="L15" s="144">
        <f t="shared" si="0"/>
        <v>0</v>
      </c>
      <c r="M15" s="144">
        <f t="shared" si="1"/>
        <v>0</v>
      </c>
      <c r="N15" s="149"/>
      <c r="O15" s="145">
        <f t="shared" si="2"/>
        <v>17</v>
      </c>
      <c r="P15" s="146"/>
      <c r="Q15" s="146"/>
      <c r="R15" s="146"/>
      <c r="S15" s="168">
        <f t="shared" si="3"/>
        <v>70</v>
      </c>
      <c r="T15" s="68" t="str">
        <f t="shared" si="4"/>
        <v>OK</v>
      </c>
      <c r="U15" s="162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65.25" customHeight="1" x14ac:dyDescent="0.25">
      <c r="A16" s="180">
        <v>4</v>
      </c>
      <c r="B16" s="181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150</f>
        <v>150</v>
      </c>
      <c r="L16" s="144">
        <f t="shared" si="0"/>
        <v>3.4350000000000001</v>
      </c>
      <c r="M16" s="144">
        <f t="shared" si="1"/>
        <v>3.4350000000000001</v>
      </c>
      <c r="N16" s="149"/>
      <c r="O16" s="145">
        <f t="shared" si="2"/>
        <v>37</v>
      </c>
      <c r="P16" s="146"/>
      <c r="Q16" s="146"/>
      <c r="R16" s="146"/>
      <c r="S16" s="168">
        <f t="shared" si="3"/>
        <v>146.565</v>
      </c>
      <c r="T16" s="68" t="str">
        <f t="shared" si="4"/>
        <v>OK</v>
      </c>
      <c r="U16" s="163">
        <v>3.4350000000000001</v>
      </c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80"/>
      <c r="B17" s="182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150</f>
        <v>150</v>
      </c>
      <c r="L17" s="144">
        <f t="shared" si="0"/>
        <v>0</v>
      </c>
      <c r="M17" s="144">
        <f t="shared" si="1"/>
        <v>0</v>
      </c>
      <c r="N17" s="149"/>
      <c r="O17" s="145">
        <f t="shared" si="2"/>
        <v>37</v>
      </c>
      <c r="P17" s="146"/>
      <c r="Q17" s="146"/>
      <c r="R17" s="146"/>
      <c r="S17" s="168">
        <f t="shared" si="3"/>
        <v>150</v>
      </c>
      <c r="T17" s="68" t="str">
        <f t="shared" si="4"/>
        <v>OK</v>
      </c>
      <c r="U17" s="162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80"/>
      <c r="B18" s="182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0</f>
        <v>0</v>
      </c>
      <c r="L18" s="144">
        <f t="shared" si="0"/>
        <v>0</v>
      </c>
      <c r="M18" s="144">
        <f t="shared" si="1"/>
        <v>0</v>
      </c>
      <c r="N18" s="149"/>
      <c r="O18" s="145">
        <f t="shared" si="2"/>
        <v>0</v>
      </c>
      <c r="P18" s="146"/>
      <c r="Q18" s="146"/>
      <c r="R18" s="146"/>
      <c r="S18" s="168">
        <f t="shared" si="3"/>
        <v>0</v>
      </c>
      <c r="T18" s="68" t="str">
        <f t="shared" si="4"/>
        <v>OK</v>
      </c>
      <c r="U18" s="162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80"/>
      <c r="B19" s="183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0</f>
        <v>0</v>
      </c>
      <c r="L19" s="144">
        <f t="shared" si="0"/>
        <v>0</v>
      </c>
      <c r="M19" s="144">
        <f t="shared" si="1"/>
        <v>0</v>
      </c>
      <c r="N19" s="149"/>
      <c r="O19" s="145">
        <f t="shared" si="2"/>
        <v>0</v>
      </c>
      <c r="P19" s="146"/>
      <c r="Q19" s="146"/>
      <c r="R19" s="146"/>
      <c r="S19" s="168">
        <f t="shared" si="3"/>
        <v>0</v>
      </c>
      <c r="T19" s="68" t="str">
        <f t="shared" si="4"/>
        <v>OK</v>
      </c>
      <c r="U19" s="162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0</f>
        <v>0</v>
      </c>
      <c r="L20" s="144">
        <f t="shared" si="0"/>
        <v>0</v>
      </c>
      <c r="M20" s="144">
        <f t="shared" si="1"/>
        <v>0</v>
      </c>
      <c r="N20" s="149"/>
      <c r="O20" s="145">
        <f t="shared" si="2"/>
        <v>0</v>
      </c>
      <c r="P20" s="146"/>
      <c r="Q20" s="146"/>
      <c r="R20" s="146"/>
      <c r="S20" s="168">
        <f t="shared" si="3"/>
        <v>0</v>
      </c>
      <c r="T20" s="68" t="str">
        <f t="shared" si="4"/>
        <v>OK</v>
      </c>
      <c r="U20" s="162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0</f>
        <v>0</v>
      </c>
      <c r="L21" s="144">
        <f t="shared" si="0"/>
        <v>0</v>
      </c>
      <c r="M21" s="144">
        <f t="shared" si="1"/>
        <v>0</v>
      </c>
      <c r="N21" s="149"/>
      <c r="O21" s="145">
        <f t="shared" si="2"/>
        <v>0</v>
      </c>
      <c r="P21" s="146"/>
      <c r="Q21" s="146"/>
      <c r="R21" s="146"/>
      <c r="S21" s="168">
        <f t="shared" si="3"/>
        <v>0</v>
      </c>
      <c r="T21" s="68" t="str">
        <f t="shared" si="4"/>
        <v>OK</v>
      </c>
      <c r="U21" s="162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0</f>
        <v>0</v>
      </c>
      <c r="L22" s="144">
        <f t="shared" si="0"/>
        <v>0</v>
      </c>
      <c r="M22" s="144">
        <f t="shared" si="1"/>
        <v>0</v>
      </c>
      <c r="N22" s="149"/>
      <c r="O22" s="145">
        <f t="shared" si="2"/>
        <v>0</v>
      </c>
      <c r="P22" s="146"/>
      <c r="Q22" s="146"/>
      <c r="R22" s="146"/>
      <c r="S22" s="168">
        <f t="shared" si="3"/>
        <v>0</v>
      </c>
      <c r="T22" s="68" t="str">
        <f t="shared" si="4"/>
        <v>OK</v>
      </c>
      <c r="U22" s="162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0</f>
        <v>0</v>
      </c>
      <c r="L23" s="144">
        <f t="shared" si="0"/>
        <v>0</v>
      </c>
      <c r="M23" s="144">
        <f t="shared" si="1"/>
        <v>0</v>
      </c>
      <c r="N23" s="149"/>
      <c r="O23" s="145">
        <f t="shared" si="2"/>
        <v>0</v>
      </c>
      <c r="P23" s="146"/>
      <c r="Q23" s="146"/>
      <c r="R23" s="146"/>
      <c r="S23" s="168">
        <f t="shared" si="3"/>
        <v>0</v>
      </c>
      <c r="T23" s="68" t="str">
        <f t="shared" si="4"/>
        <v>OK</v>
      </c>
      <c r="U23" s="162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0</f>
        <v>0</v>
      </c>
      <c r="L24" s="144">
        <f t="shared" si="0"/>
        <v>0</v>
      </c>
      <c r="M24" s="144">
        <f t="shared" si="1"/>
        <v>0</v>
      </c>
      <c r="N24" s="149"/>
      <c r="O24" s="145">
        <f t="shared" si="2"/>
        <v>0</v>
      </c>
      <c r="P24" s="146"/>
      <c r="Q24" s="146"/>
      <c r="R24" s="146"/>
      <c r="S24" s="168">
        <f t="shared" si="3"/>
        <v>0</v>
      </c>
      <c r="T24" s="68" t="str">
        <f t="shared" si="4"/>
        <v>OK</v>
      </c>
      <c r="U24" s="162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0</f>
        <v>0</v>
      </c>
      <c r="L25" s="147">
        <f t="shared" si="0"/>
        <v>0</v>
      </c>
      <c r="M25" s="147">
        <f t="shared" si="1"/>
        <v>0</v>
      </c>
      <c r="N25" s="149"/>
      <c r="O25" s="145">
        <f t="shared" si="2"/>
        <v>0</v>
      </c>
      <c r="P25" s="146"/>
      <c r="Q25" s="146"/>
      <c r="R25" s="146"/>
      <c r="S25" s="168">
        <f t="shared" si="3"/>
        <v>0</v>
      </c>
      <c r="T25" s="68" t="str">
        <f t="shared" si="4"/>
        <v>OK</v>
      </c>
      <c r="U25" s="162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105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0</f>
        <v>0</v>
      </c>
      <c r="L26" s="144">
        <f t="shared" si="0"/>
        <v>0</v>
      </c>
      <c r="M26" s="144">
        <f t="shared" si="1"/>
        <v>0</v>
      </c>
      <c r="N26" s="149"/>
      <c r="O26" s="145">
        <f t="shared" si="2"/>
        <v>0</v>
      </c>
      <c r="P26" s="146"/>
      <c r="Q26" s="146"/>
      <c r="R26" s="146"/>
      <c r="S26" s="168">
        <f t="shared" si="3"/>
        <v>0</v>
      </c>
      <c r="T26" s="68" t="str">
        <f t="shared" si="4"/>
        <v>OK</v>
      </c>
      <c r="U26" s="162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4">
        <f>SUM(K4:K26)</f>
        <v>570</v>
      </c>
      <c r="O27" s="4">
        <f t="shared" si="2"/>
        <v>142</v>
      </c>
      <c r="S27" s="169">
        <f>SUM(S4:S26)</f>
        <v>461.565</v>
      </c>
      <c r="T27" s="5" t="str">
        <f t="shared" si="4"/>
        <v>OK</v>
      </c>
      <c r="U27" s="26">
        <f t="shared" ref="U27:AL27" si="5">SUMPRODUCT($J$4:$J$26,U4:U26)</f>
        <v>309.14999999999998</v>
      </c>
      <c r="V27" s="26">
        <f t="shared" si="5"/>
        <v>0</v>
      </c>
      <c r="W27" s="26">
        <f t="shared" si="5"/>
        <v>0</v>
      </c>
      <c r="X27" s="26">
        <f t="shared" si="5"/>
        <v>0</v>
      </c>
      <c r="Y27" s="26">
        <f t="shared" si="5"/>
        <v>0</v>
      </c>
      <c r="Z27" s="26">
        <f t="shared" si="5"/>
        <v>0</v>
      </c>
      <c r="AA27" s="26">
        <f t="shared" si="5"/>
        <v>0</v>
      </c>
      <c r="AB27" s="26">
        <f t="shared" si="5"/>
        <v>0</v>
      </c>
      <c r="AC27" s="26">
        <f t="shared" si="5"/>
        <v>0</v>
      </c>
      <c r="AD27" s="26">
        <f t="shared" si="5"/>
        <v>0</v>
      </c>
      <c r="AE27" s="26">
        <f t="shared" si="5"/>
        <v>0</v>
      </c>
      <c r="AF27" s="26">
        <f t="shared" si="5"/>
        <v>0</v>
      </c>
      <c r="AG27" s="26">
        <f t="shared" si="5"/>
        <v>0</v>
      </c>
      <c r="AH27" s="26">
        <f t="shared" si="5"/>
        <v>0</v>
      </c>
      <c r="AI27" s="26">
        <f t="shared" si="5"/>
        <v>0</v>
      </c>
      <c r="AJ27" s="26">
        <f t="shared" si="5"/>
        <v>0</v>
      </c>
      <c r="AK27" s="26">
        <f t="shared" si="5"/>
        <v>0</v>
      </c>
      <c r="AL27" s="26">
        <f t="shared" si="5"/>
        <v>0</v>
      </c>
    </row>
    <row r="28" spans="1:38" x14ac:dyDescent="0.25">
      <c r="D28" s="29" t="s">
        <v>43</v>
      </c>
      <c r="K28" s="150">
        <f>SUMPRODUCT($J$4:$J$26,K4:K26)</f>
        <v>49119</v>
      </c>
      <c r="L28" s="150">
        <f>SUMPRODUCT($J$4:$J$26,L4:L26)</f>
        <v>309.14999999999998</v>
      </c>
      <c r="M28" s="150">
        <f>SUMPRODUCT($J$4:$J$26,M4:M26)</f>
        <v>309.14999999999998</v>
      </c>
      <c r="U28" s="164"/>
    </row>
    <row r="29" spans="1:38" x14ac:dyDescent="0.25">
      <c r="D29" s="65" t="s">
        <v>44</v>
      </c>
      <c r="U29" s="164"/>
    </row>
    <row r="30" spans="1:38" x14ac:dyDescent="0.25">
      <c r="D30" s="30" t="s">
        <v>106</v>
      </c>
      <c r="U30" s="164"/>
    </row>
    <row r="31" spans="1:38" ht="15.75" thickBot="1" x14ac:dyDescent="0.3">
      <c r="D31" s="31" t="s">
        <v>105</v>
      </c>
      <c r="U31" s="164"/>
    </row>
  </sheetData>
  <mergeCells count="29"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</mergeCells>
  <conditionalFormatting sqref="AE4:AL26 AB5:AD26 V4:AA26">
    <cfRule type="cellIs" dxfId="108" priority="8" stopIfTrue="1" operator="greaterThan">
      <formula>0</formula>
    </cfRule>
    <cfRule type="cellIs" dxfId="107" priority="9" stopIfTrue="1" operator="greaterThan">
      <formula>0</formula>
    </cfRule>
    <cfRule type="cellIs" dxfId="106" priority="10" stopIfTrue="1" operator="greaterThan">
      <formula>0</formula>
    </cfRule>
  </conditionalFormatting>
  <conditionalFormatting sqref="AB4:AD4">
    <cfRule type="cellIs" dxfId="105" priority="5" stopIfTrue="1" operator="greaterThan">
      <formula>0</formula>
    </cfRule>
    <cfRule type="cellIs" dxfId="104" priority="6" stopIfTrue="1" operator="greaterThan">
      <formula>0</formula>
    </cfRule>
    <cfRule type="cellIs" dxfId="103" priority="7" stopIfTrue="1" operator="greaterThan">
      <formula>0</formula>
    </cfRule>
  </conditionalFormatting>
  <conditionalFormatting sqref="V4:AL26">
    <cfRule type="cellIs" dxfId="9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65D4-59C5-41AB-96C7-4A65EC3E2851}">
  <dimension ref="A1:AL31"/>
  <sheetViews>
    <sheetView topLeftCell="A19" zoomScale="80" zoomScaleNormal="80" workbookViewId="0">
      <selection activeCell="D12" sqref="D12"/>
    </sheetView>
  </sheetViews>
  <sheetFormatPr defaultColWidth="9.7109375" defaultRowHeight="15" x14ac:dyDescent="0.25"/>
  <cols>
    <col min="1" max="1" width="7.140625" style="18" customWidth="1"/>
    <col min="2" max="2" width="23.42578125" style="18" customWidth="1"/>
    <col min="3" max="3" width="6" style="14" bestFit="1" customWidth="1"/>
    <col min="4" max="4" width="48.42578125" style="18" customWidth="1"/>
    <col min="5" max="5" width="19" style="18" customWidth="1"/>
    <col min="6" max="6" width="9.28515625" style="18" customWidth="1"/>
    <col min="7" max="7" width="12" style="18" bestFit="1" customWidth="1"/>
    <col min="8" max="8" width="8.85546875" style="18" customWidth="1"/>
    <col min="9" max="9" width="10.140625" style="18" bestFit="1" customWidth="1"/>
    <col min="10" max="10" width="13.42578125" style="19" bestFit="1" customWidth="1"/>
    <col min="11" max="11" width="13.5703125" style="4" customWidth="1"/>
    <col min="12" max="18" width="11.5703125" style="4" customWidth="1"/>
    <col min="19" max="19" width="11" style="15" customWidth="1"/>
    <col min="20" max="20" width="10.85546875" style="5" customWidth="1"/>
    <col min="21" max="21" width="13.85546875" style="6" customWidth="1"/>
    <col min="22" max="22" width="12.710937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31.7" customHeight="1" x14ac:dyDescent="0.25">
      <c r="A1" s="172" t="s">
        <v>37</v>
      </c>
      <c r="B1" s="172"/>
      <c r="C1" s="172"/>
      <c r="D1" s="172" t="s">
        <v>36</v>
      </c>
      <c r="E1" s="172"/>
      <c r="F1" s="172"/>
      <c r="G1" s="172"/>
      <c r="H1" s="172"/>
      <c r="I1" s="172"/>
      <c r="J1" s="172"/>
      <c r="K1" s="172" t="s">
        <v>38</v>
      </c>
      <c r="L1" s="172"/>
      <c r="M1" s="172"/>
      <c r="N1" s="172"/>
      <c r="O1" s="172"/>
      <c r="P1" s="172"/>
      <c r="Q1" s="172"/>
      <c r="R1" s="172"/>
      <c r="S1" s="172"/>
      <c r="T1" s="172"/>
      <c r="U1" s="171" t="s">
        <v>161</v>
      </c>
      <c r="V1" s="171" t="s">
        <v>39</v>
      </c>
      <c r="W1" s="171" t="s">
        <v>39</v>
      </c>
      <c r="X1" s="171" t="s">
        <v>39</v>
      </c>
      <c r="Y1" s="171" t="s">
        <v>39</v>
      </c>
      <c r="Z1" s="171" t="s">
        <v>39</v>
      </c>
      <c r="AA1" s="171" t="s">
        <v>39</v>
      </c>
      <c r="AB1" s="171" t="s">
        <v>39</v>
      </c>
      <c r="AC1" s="171" t="s">
        <v>39</v>
      </c>
      <c r="AD1" s="171" t="s">
        <v>39</v>
      </c>
      <c r="AE1" s="171" t="s">
        <v>39</v>
      </c>
      <c r="AF1" s="171" t="s">
        <v>39</v>
      </c>
      <c r="AG1" s="171" t="s">
        <v>39</v>
      </c>
      <c r="AH1" s="171" t="s">
        <v>39</v>
      </c>
      <c r="AI1" s="171" t="s">
        <v>39</v>
      </c>
      <c r="AJ1" s="171" t="s">
        <v>39</v>
      </c>
      <c r="AK1" s="171" t="s">
        <v>39</v>
      </c>
      <c r="AL1" s="171" t="s">
        <v>39</v>
      </c>
    </row>
    <row r="2" spans="1:38" ht="24" customHeight="1" x14ac:dyDescent="0.25">
      <c r="A2" s="177" t="s">
        <v>107</v>
      </c>
      <c r="B2" s="178"/>
      <c r="C2" s="178"/>
      <c r="D2" s="178"/>
      <c r="E2" s="178"/>
      <c r="F2" s="178"/>
      <c r="G2" s="178"/>
      <c r="H2" s="178"/>
      <c r="I2" s="178"/>
      <c r="J2" s="179"/>
      <c r="K2" s="174" t="s">
        <v>116</v>
      </c>
      <c r="L2" s="175"/>
      <c r="M2" s="175"/>
      <c r="N2" s="175"/>
      <c r="O2" s="175"/>
      <c r="P2" s="175"/>
      <c r="Q2" s="175"/>
      <c r="R2" s="175"/>
      <c r="S2" s="175"/>
      <c r="T2" s="176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</row>
    <row r="3" spans="1:38" s="3" customFormat="1" ht="75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4" t="s">
        <v>149</v>
      </c>
      <c r="M3" s="94" t="s">
        <v>150</v>
      </c>
      <c r="N3" s="94" t="s">
        <v>151</v>
      </c>
      <c r="O3" s="94" t="s">
        <v>152</v>
      </c>
      <c r="P3" s="94" t="s">
        <v>153</v>
      </c>
      <c r="Q3" s="94" t="s">
        <v>154</v>
      </c>
      <c r="R3" s="94" t="s">
        <v>155</v>
      </c>
      <c r="S3" s="12" t="s">
        <v>0</v>
      </c>
      <c r="T3" s="10" t="s">
        <v>2</v>
      </c>
      <c r="U3" s="92">
        <v>45496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184">
        <v>1</v>
      </c>
      <c r="B4" s="188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10</f>
        <v>10</v>
      </c>
      <c r="L4" s="144">
        <f>IF(SUM(U4:AL4)&gt;K4,K4,SUM(U4:AL4))</f>
        <v>2</v>
      </c>
      <c r="M4" s="144">
        <f>SUM(U4:AL4)</f>
        <v>2</v>
      </c>
      <c r="N4" s="149"/>
      <c r="O4" s="145">
        <f>ROUND(IF(K4*0.25-0.5&lt;0,0,K4*0.25-0.5),0)-P4-R4</f>
        <v>2</v>
      </c>
      <c r="P4" s="146"/>
      <c r="Q4" s="146"/>
      <c r="R4" s="146"/>
      <c r="S4" s="67">
        <f>K4-(SUM(U4:AL4))+N4</f>
        <v>8</v>
      </c>
      <c r="T4" s="68" t="str">
        <f>IF(S4&lt;0,"ATENÇÃO","OK")</f>
        <v>OK</v>
      </c>
      <c r="U4" s="158">
        <v>2</v>
      </c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184"/>
      <c r="B5" s="186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10</f>
        <v>10</v>
      </c>
      <c r="L5" s="144">
        <f t="shared" ref="L5:L26" si="0">IF(SUM(U5:AL5)&gt;K5,K5,SUM(U5:AL5))</f>
        <v>0</v>
      </c>
      <c r="M5" s="144">
        <f t="shared" ref="M5:M26" si="1">SUM(U5:AL5)</f>
        <v>0</v>
      </c>
      <c r="N5" s="149"/>
      <c r="O5" s="145">
        <f t="shared" ref="O5:O27" si="2">ROUND(IF(K5*0.25-0.5&lt;0,0,K5*0.25-0.5),0)-P5-R5</f>
        <v>2</v>
      </c>
      <c r="P5" s="146"/>
      <c r="Q5" s="146"/>
      <c r="R5" s="146"/>
      <c r="S5" s="67">
        <f t="shared" ref="S5:S26" si="3">K5-(SUM(U5:AL5))+N5</f>
        <v>10</v>
      </c>
      <c r="T5" s="68" t="str">
        <f t="shared" ref="T5:T27" si="4">IF(S5&lt;0,"ATENÇÃO","OK")</f>
        <v>OK</v>
      </c>
      <c r="U5" s="158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184"/>
      <c r="B6" s="186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5</f>
        <v>5</v>
      </c>
      <c r="L6" s="144">
        <f t="shared" si="0"/>
        <v>0</v>
      </c>
      <c r="M6" s="144">
        <f t="shared" si="1"/>
        <v>0</v>
      </c>
      <c r="N6" s="149"/>
      <c r="O6" s="145">
        <f t="shared" si="2"/>
        <v>1</v>
      </c>
      <c r="P6" s="146"/>
      <c r="Q6" s="146"/>
      <c r="R6" s="146"/>
      <c r="S6" s="67">
        <f t="shared" si="3"/>
        <v>5</v>
      </c>
      <c r="T6" s="68" t="str">
        <f t="shared" si="4"/>
        <v>OK</v>
      </c>
      <c r="U6" s="158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50.1" customHeight="1" x14ac:dyDescent="0.25">
      <c r="A7" s="184"/>
      <c r="B7" s="186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5</f>
        <v>5</v>
      </c>
      <c r="L7" s="144">
        <f t="shared" si="0"/>
        <v>0</v>
      </c>
      <c r="M7" s="144">
        <f t="shared" si="1"/>
        <v>0</v>
      </c>
      <c r="N7" s="149"/>
      <c r="O7" s="145">
        <f t="shared" si="2"/>
        <v>1</v>
      </c>
      <c r="P7" s="146"/>
      <c r="Q7" s="146"/>
      <c r="R7" s="146"/>
      <c r="S7" s="67">
        <f t="shared" si="3"/>
        <v>5</v>
      </c>
      <c r="T7" s="68" t="str">
        <f t="shared" si="4"/>
        <v>OK</v>
      </c>
      <c r="U7" s="158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184"/>
      <c r="B8" s="187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5</f>
        <v>5</v>
      </c>
      <c r="L8" s="144">
        <f t="shared" si="0"/>
        <v>0</v>
      </c>
      <c r="M8" s="144">
        <f t="shared" si="1"/>
        <v>0</v>
      </c>
      <c r="N8" s="149"/>
      <c r="O8" s="145">
        <f t="shared" si="2"/>
        <v>1</v>
      </c>
      <c r="P8" s="146"/>
      <c r="Q8" s="146"/>
      <c r="R8" s="146"/>
      <c r="S8" s="67">
        <f t="shared" si="3"/>
        <v>5</v>
      </c>
      <c r="T8" s="68" t="str">
        <f t="shared" si="4"/>
        <v>OK</v>
      </c>
      <c r="U8" s="158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80">
        <v>2</v>
      </c>
      <c r="B9" s="181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30</f>
        <v>30</v>
      </c>
      <c r="L9" s="144">
        <f t="shared" si="0"/>
        <v>0</v>
      </c>
      <c r="M9" s="144">
        <f t="shared" si="1"/>
        <v>0</v>
      </c>
      <c r="N9" s="149"/>
      <c r="O9" s="145">
        <f t="shared" si="2"/>
        <v>7</v>
      </c>
      <c r="P9" s="146"/>
      <c r="Q9" s="146"/>
      <c r="R9" s="146"/>
      <c r="S9" s="67">
        <f t="shared" si="3"/>
        <v>30</v>
      </c>
      <c r="T9" s="68" t="str">
        <f t="shared" si="4"/>
        <v>OK</v>
      </c>
      <c r="U9" s="158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80"/>
      <c r="B10" s="182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30</f>
        <v>30</v>
      </c>
      <c r="L10" s="144">
        <f t="shared" si="0"/>
        <v>0</v>
      </c>
      <c r="M10" s="144">
        <f t="shared" si="1"/>
        <v>0</v>
      </c>
      <c r="N10" s="149"/>
      <c r="O10" s="145">
        <f t="shared" si="2"/>
        <v>7</v>
      </c>
      <c r="P10" s="146"/>
      <c r="Q10" s="146"/>
      <c r="R10" s="146"/>
      <c r="S10" s="67">
        <f t="shared" si="3"/>
        <v>30</v>
      </c>
      <c r="T10" s="68" t="str">
        <f t="shared" si="4"/>
        <v>OK</v>
      </c>
      <c r="U10" s="158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80"/>
      <c r="B11" s="182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2</f>
        <v>2</v>
      </c>
      <c r="L11" s="144">
        <f t="shared" si="0"/>
        <v>0</v>
      </c>
      <c r="M11" s="144">
        <f t="shared" si="1"/>
        <v>0</v>
      </c>
      <c r="N11" s="149"/>
      <c r="O11" s="145">
        <f t="shared" si="2"/>
        <v>0</v>
      </c>
      <c r="P11" s="146"/>
      <c r="Q11" s="146"/>
      <c r="R11" s="146"/>
      <c r="S11" s="67">
        <f t="shared" si="3"/>
        <v>2</v>
      </c>
      <c r="T11" s="68" t="str">
        <f t="shared" si="4"/>
        <v>OK</v>
      </c>
      <c r="U11" s="158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80"/>
      <c r="B12" s="182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2</f>
        <v>2</v>
      </c>
      <c r="L12" s="144">
        <f t="shared" si="0"/>
        <v>0</v>
      </c>
      <c r="M12" s="144">
        <f t="shared" si="1"/>
        <v>0</v>
      </c>
      <c r="N12" s="149"/>
      <c r="O12" s="145">
        <f t="shared" si="2"/>
        <v>0</v>
      </c>
      <c r="P12" s="146"/>
      <c r="Q12" s="146"/>
      <c r="R12" s="146"/>
      <c r="S12" s="67">
        <f t="shared" si="3"/>
        <v>2</v>
      </c>
      <c r="T12" s="68" t="str">
        <f t="shared" si="4"/>
        <v>OK</v>
      </c>
      <c r="U12" s="158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80"/>
      <c r="B13" s="182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30</f>
        <v>30</v>
      </c>
      <c r="L13" s="144">
        <f t="shared" si="0"/>
        <v>0</v>
      </c>
      <c r="M13" s="144">
        <f t="shared" si="1"/>
        <v>0</v>
      </c>
      <c r="N13" s="149"/>
      <c r="O13" s="145">
        <f t="shared" si="2"/>
        <v>7</v>
      </c>
      <c r="P13" s="146"/>
      <c r="Q13" s="146"/>
      <c r="R13" s="146"/>
      <c r="S13" s="67">
        <f t="shared" si="3"/>
        <v>30</v>
      </c>
      <c r="T13" s="68" t="str">
        <f t="shared" si="4"/>
        <v>OK</v>
      </c>
      <c r="U13" s="158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80"/>
      <c r="B14" s="183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30</f>
        <v>30</v>
      </c>
      <c r="L14" s="144">
        <f t="shared" si="0"/>
        <v>0</v>
      </c>
      <c r="M14" s="144">
        <f t="shared" si="1"/>
        <v>0</v>
      </c>
      <c r="N14" s="149"/>
      <c r="O14" s="145">
        <f t="shared" si="2"/>
        <v>7</v>
      </c>
      <c r="P14" s="146"/>
      <c r="Q14" s="146"/>
      <c r="R14" s="146"/>
      <c r="S14" s="67">
        <f t="shared" si="3"/>
        <v>30</v>
      </c>
      <c r="T14" s="68" t="str">
        <f t="shared" si="4"/>
        <v>OK</v>
      </c>
      <c r="U14" s="158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15</f>
        <v>15</v>
      </c>
      <c r="L15" s="144">
        <f t="shared" si="0"/>
        <v>0</v>
      </c>
      <c r="M15" s="144">
        <f t="shared" si="1"/>
        <v>0</v>
      </c>
      <c r="N15" s="149"/>
      <c r="O15" s="145">
        <f t="shared" si="2"/>
        <v>3</v>
      </c>
      <c r="P15" s="146"/>
      <c r="Q15" s="146"/>
      <c r="R15" s="146"/>
      <c r="S15" s="67">
        <f t="shared" si="3"/>
        <v>15</v>
      </c>
      <c r="T15" s="68" t="str">
        <f t="shared" si="4"/>
        <v>OK</v>
      </c>
      <c r="U15" s="158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65.25" customHeight="1" x14ac:dyDescent="0.25">
      <c r="A16" s="180">
        <v>4</v>
      </c>
      <c r="B16" s="181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30</f>
        <v>30</v>
      </c>
      <c r="L16" s="144">
        <f t="shared" si="0"/>
        <v>0</v>
      </c>
      <c r="M16" s="144">
        <f t="shared" si="1"/>
        <v>0</v>
      </c>
      <c r="N16" s="149"/>
      <c r="O16" s="145">
        <f t="shared" si="2"/>
        <v>7</v>
      </c>
      <c r="P16" s="146"/>
      <c r="Q16" s="146"/>
      <c r="R16" s="146"/>
      <c r="S16" s="67">
        <f t="shared" si="3"/>
        <v>30</v>
      </c>
      <c r="T16" s="68" t="str">
        <f t="shared" si="4"/>
        <v>OK</v>
      </c>
      <c r="U16" s="158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80"/>
      <c r="B17" s="182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0</f>
        <v>0</v>
      </c>
      <c r="L17" s="144">
        <f t="shared" si="0"/>
        <v>0</v>
      </c>
      <c r="M17" s="144">
        <f t="shared" si="1"/>
        <v>0</v>
      </c>
      <c r="N17" s="149"/>
      <c r="O17" s="145">
        <f t="shared" si="2"/>
        <v>0</v>
      </c>
      <c r="P17" s="146"/>
      <c r="Q17" s="146"/>
      <c r="R17" s="146"/>
      <c r="S17" s="67">
        <f t="shared" si="3"/>
        <v>0</v>
      </c>
      <c r="T17" s="68" t="str">
        <f t="shared" si="4"/>
        <v>OK</v>
      </c>
      <c r="U17" s="158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80"/>
      <c r="B18" s="182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30</f>
        <v>30</v>
      </c>
      <c r="L18" s="144">
        <f t="shared" si="0"/>
        <v>0</v>
      </c>
      <c r="M18" s="144">
        <f t="shared" si="1"/>
        <v>0</v>
      </c>
      <c r="N18" s="149"/>
      <c r="O18" s="145">
        <f t="shared" si="2"/>
        <v>7</v>
      </c>
      <c r="P18" s="146"/>
      <c r="Q18" s="146"/>
      <c r="R18" s="146"/>
      <c r="S18" s="67">
        <f t="shared" si="3"/>
        <v>30</v>
      </c>
      <c r="T18" s="68" t="str">
        <f t="shared" si="4"/>
        <v>OK</v>
      </c>
      <c r="U18" s="158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80"/>
      <c r="B19" s="183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30</f>
        <v>30</v>
      </c>
      <c r="L19" s="144">
        <f t="shared" si="0"/>
        <v>0</v>
      </c>
      <c r="M19" s="144">
        <f t="shared" si="1"/>
        <v>0</v>
      </c>
      <c r="N19" s="149"/>
      <c r="O19" s="145">
        <f t="shared" si="2"/>
        <v>7</v>
      </c>
      <c r="P19" s="146"/>
      <c r="Q19" s="146"/>
      <c r="R19" s="146"/>
      <c r="S19" s="67">
        <f t="shared" si="3"/>
        <v>30</v>
      </c>
      <c r="T19" s="68" t="str">
        <f t="shared" si="4"/>
        <v>OK</v>
      </c>
      <c r="U19" s="158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0</f>
        <v>0</v>
      </c>
      <c r="L20" s="144">
        <f t="shared" si="0"/>
        <v>0</v>
      </c>
      <c r="M20" s="144">
        <f t="shared" si="1"/>
        <v>0</v>
      </c>
      <c r="N20" s="149"/>
      <c r="O20" s="145">
        <f t="shared" si="2"/>
        <v>0</v>
      </c>
      <c r="P20" s="146"/>
      <c r="Q20" s="146"/>
      <c r="R20" s="146"/>
      <c r="S20" s="67">
        <f t="shared" si="3"/>
        <v>0</v>
      </c>
      <c r="T20" s="68" t="str">
        <f t="shared" si="4"/>
        <v>OK</v>
      </c>
      <c r="U20" s="158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0</f>
        <v>0</v>
      </c>
      <c r="L21" s="144">
        <f t="shared" si="0"/>
        <v>0</v>
      </c>
      <c r="M21" s="144">
        <f t="shared" si="1"/>
        <v>0</v>
      </c>
      <c r="N21" s="149"/>
      <c r="O21" s="145">
        <f t="shared" si="2"/>
        <v>0</v>
      </c>
      <c r="P21" s="146"/>
      <c r="Q21" s="146"/>
      <c r="R21" s="146"/>
      <c r="S21" s="67">
        <f t="shared" si="3"/>
        <v>0</v>
      </c>
      <c r="T21" s="68" t="str">
        <f t="shared" si="4"/>
        <v>OK</v>
      </c>
      <c r="U21" s="158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0</f>
        <v>0</v>
      </c>
      <c r="L22" s="144">
        <f t="shared" si="0"/>
        <v>0</v>
      </c>
      <c r="M22" s="144">
        <f t="shared" si="1"/>
        <v>0</v>
      </c>
      <c r="N22" s="149"/>
      <c r="O22" s="145">
        <f t="shared" si="2"/>
        <v>0</v>
      </c>
      <c r="P22" s="146"/>
      <c r="Q22" s="146"/>
      <c r="R22" s="146"/>
      <c r="S22" s="67">
        <f t="shared" si="3"/>
        <v>0</v>
      </c>
      <c r="T22" s="68" t="str">
        <f t="shared" si="4"/>
        <v>OK</v>
      </c>
      <c r="U22" s="158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0</f>
        <v>0</v>
      </c>
      <c r="L23" s="144">
        <f t="shared" si="0"/>
        <v>0</v>
      </c>
      <c r="M23" s="144">
        <f t="shared" si="1"/>
        <v>0</v>
      </c>
      <c r="N23" s="149"/>
      <c r="O23" s="145">
        <f t="shared" si="2"/>
        <v>0</v>
      </c>
      <c r="P23" s="146"/>
      <c r="Q23" s="146"/>
      <c r="R23" s="146"/>
      <c r="S23" s="67">
        <f t="shared" si="3"/>
        <v>0</v>
      </c>
      <c r="T23" s="68" t="str">
        <f t="shared" si="4"/>
        <v>OK</v>
      </c>
      <c r="U23" s="158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0</f>
        <v>0</v>
      </c>
      <c r="L24" s="144">
        <f t="shared" si="0"/>
        <v>0</v>
      </c>
      <c r="M24" s="144">
        <f t="shared" si="1"/>
        <v>0</v>
      </c>
      <c r="N24" s="149"/>
      <c r="O24" s="145">
        <f t="shared" si="2"/>
        <v>0</v>
      </c>
      <c r="P24" s="146"/>
      <c r="Q24" s="146"/>
      <c r="R24" s="146"/>
      <c r="S24" s="67">
        <f t="shared" si="3"/>
        <v>0</v>
      </c>
      <c r="T24" s="68" t="str">
        <f t="shared" si="4"/>
        <v>OK</v>
      </c>
      <c r="U24" s="158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0</f>
        <v>0</v>
      </c>
      <c r="L25" s="147">
        <f t="shared" si="0"/>
        <v>0</v>
      </c>
      <c r="M25" s="147">
        <f t="shared" si="1"/>
        <v>0</v>
      </c>
      <c r="N25" s="149"/>
      <c r="O25" s="145">
        <f t="shared" si="2"/>
        <v>0</v>
      </c>
      <c r="P25" s="146"/>
      <c r="Q25" s="146"/>
      <c r="R25" s="146"/>
      <c r="S25" s="67">
        <f t="shared" si="3"/>
        <v>0</v>
      </c>
      <c r="T25" s="68" t="str">
        <f t="shared" si="4"/>
        <v>OK</v>
      </c>
      <c r="U25" s="158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105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0</f>
        <v>0</v>
      </c>
      <c r="L26" s="144">
        <f t="shared" si="0"/>
        <v>0</v>
      </c>
      <c r="M26" s="144">
        <f t="shared" si="1"/>
        <v>0</v>
      </c>
      <c r="N26" s="149"/>
      <c r="O26" s="145">
        <f t="shared" si="2"/>
        <v>0</v>
      </c>
      <c r="P26" s="146"/>
      <c r="Q26" s="146"/>
      <c r="R26" s="146"/>
      <c r="S26" s="67">
        <f t="shared" si="3"/>
        <v>0</v>
      </c>
      <c r="T26" s="68" t="str">
        <f t="shared" si="4"/>
        <v>OK</v>
      </c>
      <c r="U26" s="158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4">
        <f>SUM(K4:K26)</f>
        <v>264</v>
      </c>
      <c r="O27" s="4">
        <f t="shared" si="2"/>
        <v>66</v>
      </c>
      <c r="S27" s="15">
        <f>SUM(S4:S26)</f>
        <v>262</v>
      </c>
      <c r="T27" s="5" t="str">
        <f t="shared" si="4"/>
        <v>OK</v>
      </c>
      <c r="U27" s="26">
        <f>SUMPRODUCT($J$4:$J$26,U4:U26)</f>
        <v>200</v>
      </c>
      <c r="V27" s="26">
        <f t="shared" ref="V27:AL27" si="5">SUMPRODUCT($J$4:$J$26,V4:V26)</f>
        <v>0</v>
      </c>
      <c r="W27" s="26">
        <f t="shared" si="5"/>
        <v>0</v>
      </c>
      <c r="X27" s="26">
        <f t="shared" si="5"/>
        <v>0</v>
      </c>
      <c r="Y27" s="26">
        <f t="shared" si="5"/>
        <v>0</v>
      </c>
      <c r="Z27" s="26">
        <f t="shared" si="5"/>
        <v>0</v>
      </c>
      <c r="AA27" s="26">
        <f t="shared" si="5"/>
        <v>0</v>
      </c>
      <c r="AB27" s="26">
        <f t="shared" si="5"/>
        <v>0</v>
      </c>
      <c r="AC27" s="26">
        <f t="shared" si="5"/>
        <v>0</v>
      </c>
      <c r="AD27" s="26">
        <f t="shared" si="5"/>
        <v>0</v>
      </c>
      <c r="AE27" s="26">
        <f t="shared" si="5"/>
        <v>0</v>
      </c>
      <c r="AF27" s="26">
        <f t="shared" si="5"/>
        <v>0</v>
      </c>
      <c r="AG27" s="26">
        <f t="shared" si="5"/>
        <v>0</v>
      </c>
      <c r="AH27" s="26">
        <f t="shared" si="5"/>
        <v>0</v>
      </c>
      <c r="AI27" s="26">
        <f t="shared" si="5"/>
        <v>0</v>
      </c>
      <c r="AJ27" s="26">
        <f t="shared" si="5"/>
        <v>0</v>
      </c>
      <c r="AK27" s="26">
        <f t="shared" si="5"/>
        <v>0</v>
      </c>
      <c r="AL27" s="26">
        <f t="shared" si="5"/>
        <v>0</v>
      </c>
    </row>
    <row r="28" spans="1:38" x14ac:dyDescent="0.25">
      <c r="D28" s="29" t="s">
        <v>43</v>
      </c>
      <c r="K28" s="150">
        <f>SUMPRODUCT($J$4:$J$26,K4:K26)</f>
        <v>32454.95</v>
      </c>
      <c r="L28" s="150">
        <f>SUMPRODUCT($J$4:$J$26,L4:L26)</f>
        <v>200</v>
      </c>
      <c r="M28" s="150">
        <f>SUMPRODUCT($J$4:$J$26,M4:M26)</f>
        <v>200</v>
      </c>
    </row>
    <row r="29" spans="1:38" x14ac:dyDescent="0.25">
      <c r="D29" s="65" t="s">
        <v>44</v>
      </c>
    </row>
    <row r="30" spans="1:38" x14ac:dyDescent="0.25">
      <c r="D30" s="30" t="s">
        <v>106</v>
      </c>
    </row>
    <row r="31" spans="1:38" ht="15.75" thickBot="1" x14ac:dyDescent="0.3">
      <c r="D31" s="31" t="s">
        <v>105</v>
      </c>
    </row>
  </sheetData>
  <mergeCells count="29"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</mergeCells>
  <conditionalFormatting sqref="AE4:AL26 AB5:AD26 V4:AA26">
    <cfRule type="cellIs" dxfId="98" priority="15" stopIfTrue="1" operator="greaterThan">
      <formula>0</formula>
    </cfRule>
    <cfRule type="cellIs" dxfId="97" priority="16" stopIfTrue="1" operator="greaterThan">
      <formula>0</formula>
    </cfRule>
    <cfRule type="cellIs" dxfId="96" priority="17" stopIfTrue="1" operator="greaterThan">
      <formula>0</formula>
    </cfRule>
  </conditionalFormatting>
  <conditionalFormatting sqref="AB4:AD4">
    <cfRule type="cellIs" dxfId="95" priority="12" stopIfTrue="1" operator="greaterThan">
      <formula>0</formula>
    </cfRule>
    <cfRule type="cellIs" dxfId="94" priority="13" stopIfTrue="1" operator="greaterThan">
      <formula>0</formula>
    </cfRule>
    <cfRule type="cellIs" dxfId="93" priority="14" stopIfTrue="1" operator="greaterThan">
      <formula>0</formula>
    </cfRule>
  </conditionalFormatting>
  <conditionalFormatting sqref="U4">
    <cfRule type="cellIs" dxfId="92" priority="2" stopIfTrue="1" operator="greaterThan">
      <formula>0</formula>
    </cfRule>
    <cfRule type="cellIs" dxfId="91" priority="3" stopIfTrue="1" operator="greaterThan">
      <formula>0</formula>
    </cfRule>
    <cfRule type="cellIs" dxfId="90" priority="4" stopIfTrue="1" operator="greaterThan">
      <formula>0</formula>
    </cfRule>
  </conditionalFormatting>
  <conditionalFormatting sqref="V4:AL26">
    <cfRule type="cellIs" dxfId="89" priority="8" operator="greaterThan">
      <formula>0</formula>
    </cfRule>
  </conditionalFormatting>
  <conditionalFormatting sqref="U5:U26">
    <cfRule type="cellIs" dxfId="88" priority="5" stopIfTrue="1" operator="greaterThan">
      <formula>0</formula>
    </cfRule>
    <cfRule type="cellIs" dxfId="87" priority="6" stopIfTrue="1" operator="greaterThan">
      <formula>0</formula>
    </cfRule>
    <cfRule type="cellIs" dxfId="86" priority="7" stopIfTrue="1" operator="greaterThan">
      <formula>0</formula>
    </cfRule>
  </conditionalFormatting>
  <conditionalFormatting sqref="U4:U26">
    <cfRule type="cellIs" dxfId="8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802E-3CB0-4387-9EE6-C596BEC49462}">
  <dimension ref="A1:AL31"/>
  <sheetViews>
    <sheetView zoomScale="80" zoomScaleNormal="80" workbookViewId="0">
      <selection activeCell="D9" sqref="D9"/>
    </sheetView>
  </sheetViews>
  <sheetFormatPr defaultColWidth="9.7109375" defaultRowHeight="15" x14ac:dyDescent="0.25"/>
  <cols>
    <col min="1" max="1" width="7.140625" style="18" customWidth="1"/>
    <col min="2" max="2" width="14.7109375" style="18" customWidth="1"/>
    <col min="3" max="3" width="6" style="14" bestFit="1" customWidth="1"/>
    <col min="4" max="4" width="22.5703125" style="18" customWidth="1"/>
    <col min="5" max="5" width="19" style="18" customWidth="1"/>
    <col min="6" max="6" width="9.28515625" style="18" customWidth="1"/>
    <col min="7" max="7" width="12" style="18" bestFit="1" customWidth="1"/>
    <col min="8" max="8" width="8.85546875" style="18" customWidth="1"/>
    <col min="9" max="9" width="10.140625" style="18" bestFit="1" customWidth="1"/>
    <col min="10" max="10" width="13.42578125" style="19" bestFit="1" customWidth="1"/>
    <col min="11" max="11" width="13.7109375" style="4" bestFit="1" customWidth="1"/>
    <col min="12" max="12" width="12.7109375" style="4" customWidth="1"/>
    <col min="13" max="13" width="13" style="4" customWidth="1"/>
    <col min="14" max="18" width="11.5703125" style="4" customWidth="1"/>
    <col min="19" max="19" width="11" style="15" customWidth="1"/>
    <col min="20" max="20" width="10.85546875" style="5" customWidth="1"/>
    <col min="21" max="22" width="13.8554687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39.75" customHeight="1" x14ac:dyDescent="0.25">
      <c r="A1" s="172" t="s">
        <v>37</v>
      </c>
      <c r="B1" s="172"/>
      <c r="C1" s="172"/>
      <c r="D1" s="172" t="s">
        <v>36</v>
      </c>
      <c r="E1" s="172"/>
      <c r="F1" s="172"/>
      <c r="G1" s="172"/>
      <c r="H1" s="172"/>
      <c r="I1" s="172"/>
      <c r="J1" s="172"/>
      <c r="K1" s="172" t="s">
        <v>38</v>
      </c>
      <c r="L1" s="172"/>
      <c r="M1" s="172"/>
      <c r="N1" s="172"/>
      <c r="O1" s="172"/>
      <c r="P1" s="172"/>
      <c r="Q1" s="172"/>
      <c r="R1" s="172"/>
      <c r="S1" s="172"/>
      <c r="T1" s="172"/>
      <c r="U1" s="189" t="s">
        <v>177</v>
      </c>
      <c r="V1" s="189" t="s">
        <v>178</v>
      </c>
      <c r="W1" s="189" t="s">
        <v>179</v>
      </c>
      <c r="X1" s="189" t="s">
        <v>180</v>
      </c>
      <c r="Y1" s="171" t="s">
        <v>39</v>
      </c>
      <c r="Z1" s="171" t="s">
        <v>39</v>
      </c>
      <c r="AA1" s="171" t="s">
        <v>39</v>
      </c>
      <c r="AB1" s="171" t="s">
        <v>39</v>
      </c>
      <c r="AC1" s="171" t="s">
        <v>39</v>
      </c>
      <c r="AD1" s="171" t="s">
        <v>39</v>
      </c>
      <c r="AE1" s="171" t="s">
        <v>39</v>
      </c>
      <c r="AF1" s="171" t="s">
        <v>39</v>
      </c>
      <c r="AG1" s="171" t="s">
        <v>39</v>
      </c>
      <c r="AH1" s="171" t="s">
        <v>39</v>
      </c>
      <c r="AI1" s="171" t="s">
        <v>39</v>
      </c>
      <c r="AJ1" s="171" t="s">
        <v>39</v>
      </c>
      <c r="AK1" s="171" t="s">
        <v>39</v>
      </c>
      <c r="AL1" s="171" t="s">
        <v>39</v>
      </c>
    </row>
    <row r="2" spans="1:38" ht="24" customHeight="1" x14ac:dyDescent="0.25">
      <c r="A2" s="177" t="s">
        <v>108</v>
      </c>
      <c r="B2" s="178"/>
      <c r="C2" s="178"/>
      <c r="D2" s="178"/>
      <c r="E2" s="178"/>
      <c r="F2" s="178"/>
      <c r="G2" s="178"/>
      <c r="H2" s="178"/>
      <c r="I2" s="178"/>
      <c r="J2" s="179"/>
      <c r="K2" s="174" t="s">
        <v>116</v>
      </c>
      <c r="L2" s="175"/>
      <c r="M2" s="175"/>
      <c r="N2" s="175"/>
      <c r="O2" s="175"/>
      <c r="P2" s="175"/>
      <c r="Q2" s="175"/>
      <c r="R2" s="175"/>
      <c r="S2" s="175"/>
      <c r="T2" s="176"/>
      <c r="U2" s="190"/>
      <c r="V2" s="190"/>
      <c r="W2" s="190"/>
      <c r="X2" s="190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</row>
    <row r="3" spans="1:38" s="3" customFormat="1" ht="75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4" t="s">
        <v>149</v>
      </c>
      <c r="M3" s="94" t="s">
        <v>150</v>
      </c>
      <c r="N3" s="94" t="s">
        <v>151</v>
      </c>
      <c r="O3" s="94" t="s">
        <v>152</v>
      </c>
      <c r="P3" s="94" t="s">
        <v>153</v>
      </c>
      <c r="Q3" s="94" t="s">
        <v>154</v>
      </c>
      <c r="R3" s="94" t="s">
        <v>155</v>
      </c>
      <c r="S3" s="12" t="s">
        <v>0</v>
      </c>
      <c r="T3" s="10" t="s">
        <v>2</v>
      </c>
      <c r="U3" s="161">
        <v>45469</v>
      </c>
      <c r="V3" s="161">
        <v>45475</v>
      </c>
      <c r="W3" s="161">
        <v>45482</v>
      </c>
      <c r="X3" s="161">
        <v>45509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184">
        <v>1</v>
      </c>
      <c r="B4" s="188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40</f>
        <v>40</v>
      </c>
      <c r="L4" s="144">
        <f>IF(SUM(U4:AL4)&gt;K4,K4,SUM(U4:AL4))</f>
        <v>0</v>
      </c>
      <c r="M4" s="144">
        <f>SUM(U4:AL4)</f>
        <v>0</v>
      </c>
      <c r="N4" s="149"/>
      <c r="O4" s="145">
        <f>ROUND(IF(K4*0.25-0.5&lt;0,0,K4*0.25-0.5),0)-P4-R4</f>
        <v>10</v>
      </c>
      <c r="P4" s="146"/>
      <c r="Q4" s="146"/>
      <c r="R4" s="146"/>
      <c r="S4" s="67">
        <f>K4-(SUM(U4:AL4))+N4</f>
        <v>40</v>
      </c>
      <c r="T4" s="68" t="str">
        <f>IF(S4&lt;0,"ATENÇÃO","OK")</f>
        <v>OK</v>
      </c>
      <c r="U4" s="162"/>
      <c r="V4" s="162"/>
      <c r="W4" s="162"/>
      <c r="X4" s="162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184"/>
      <c r="B5" s="186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0</f>
        <v>0</v>
      </c>
      <c r="L5" s="144">
        <f t="shared" ref="L5:L26" si="0">IF(SUM(U5:AL5)&gt;K5,K5,SUM(U5:AL5))</f>
        <v>0</v>
      </c>
      <c r="M5" s="144">
        <f t="shared" ref="M5:M26" si="1">SUM(U5:AL5)</f>
        <v>0</v>
      </c>
      <c r="N5" s="149"/>
      <c r="O5" s="145">
        <f t="shared" ref="O5:O27" si="2">ROUND(IF(K5*0.25-0.5&lt;0,0,K5*0.25-0.5),0)-P5-R5</f>
        <v>0</v>
      </c>
      <c r="P5" s="146"/>
      <c r="Q5" s="146"/>
      <c r="R5" s="146"/>
      <c r="S5" s="67">
        <f t="shared" ref="S5:S26" si="3">K5-(SUM(U5:AL5))+N5</f>
        <v>0</v>
      </c>
      <c r="T5" s="68" t="str">
        <f t="shared" ref="T5:T27" si="4">IF(S5&lt;0,"ATENÇÃO","OK")</f>
        <v>OK</v>
      </c>
      <c r="U5" s="162"/>
      <c r="V5" s="162"/>
      <c r="W5" s="162"/>
      <c r="X5" s="162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184"/>
      <c r="B6" s="186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0</f>
        <v>0</v>
      </c>
      <c r="L6" s="144">
        <f t="shared" si="0"/>
        <v>0</v>
      </c>
      <c r="M6" s="144">
        <f t="shared" si="1"/>
        <v>0</v>
      </c>
      <c r="N6" s="149"/>
      <c r="O6" s="145">
        <f t="shared" si="2"/>
        <v>0</v>
      </c>
      <c r="P6" s="146"/>
      <c r="Q6" s="146"/>
      <c r="R6" s="146"/>
      <c r="S6" s="67">
        <f t="shared" si="3"/>
        <v>0</v>
      </c>
      <c r="T6" s="68" t="str">
        <f t="shared" si="4"/>
        <v>OK</v>
      </c>
      <c r="U6" s="162"/>
      <c r="V6" s="162"/>
      <c r="W6" s="162"/>
      <c r="X6" s="162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50.1" customHeight="1" x14ac:dyDescent="0.25">
      <c r="A7" s="184"/>
      <c r="B7" s="186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60</f>
        <v>60</v>
      </c>
      <c r="L7" s="144">
        <f t="shared" si="0"/>
        <v>0</v>
      </c>
      <c r="M7" s="144">
        <f t="shared" si="1"/>
        <v>0</v>
      </c>
      <c r="N7" s="149"/>
      <c r="O7" s="145">
        <f t="shared" si="2"/>
        <v>15</v>
      </c>
      <c r="P7" s="146"/>
      <c r="Q7" s="146"/>
      <c r="R7" s="146"/>
      <c r="S7" s="67">
        <f t="shared" si="3"/>
        <v>60</v>
      </c>
      <c r="T7" s="68" t="str">
        <f t="shared" si="4"/>
        <v>OK</v>
      </c>
      <c r="U7" s="162"/>
      <c r="V7" s="162"/>
      <c r="W7" s="162"/>
      <c r="X7" s="162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184"/>
      <c r="B8" s="187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80</f>
        <v>80</v>
      </c>
      <c r="L8" s="144">
        <f t="shared" si="0"/>
        <v>0</v>
      </c>
      <c r="M8" s="144">
        <f t="shared" si="1"/>
        <v>0</v>
      </c>
      <c r="N8" s="149"/>
      <c r="O8" s="145">
        <f t="shared" si="2"/>
        <v>20</v>
      </c>
      <c r="P8" s="146"/>
      <c r="Q8" s="146"/>
      <c r="R8" s="146"/>
      <c r="S8" s="67">
        <f t="shared" si="3"/>
        <v>80</v>
      </c>
      <c r="T8" s="68" t="str">
        <f t="shared" si="4"/>
        <v>OK</v>
      </c>
      <c r="U8" s="162"/>
      <c r="V8" s="162"/>
      <c r="W8" s="162"/>
      <c r="X8" s="162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80">
        <v>2</v>
      </c>
      <c r="B9" s="181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100</f>
        <v>100</v>
      </c>
      <c r="L9" s="144">
        <f t="shared" si="0"/>
        <v>0</v>
      </c>
      <c r="M9" s="144">
        <f t="shared" si="1"/>
        <v>0</v>
      </c>
      <c r="N9" s="149"/>
      <c r="O9" s="145">
        <f t="shared" si="2"/>
        <v>25</v>
      </c>
      <c r="P9" s="146"/>
      <c r="Q9" s="146"/>
      <c r="R9" s="146"/>
      <c r="S9" s="67">
        <f t="shared" si="3"/>
        <v>100</v>
      </c>
      <c r="T9" s="68" t="str">
        <f t="shared" si="4"/>
        <v>OK</v>
      </c>
      <c r="U9" s="162"/>
      <c r="V9" s="162"/>
      <c r="W9" s="162"/>
      <c r="X9" s="162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80"/>
      <c r="B10" s="182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100</f>
        <v>100</v>
      </c>
      <c r="L10" s="144">
        <f t="shared" si="0"/>
        <v>0</v>
      </c>
      <c r="M10" s="144">
        <f t="shared" si="1"/>
        <v>0</v>
      </c>
      <c r="N10" s="149"/>
      <c r="O10" s="145">
        <f t="shared" si="2"/>
        <v>25</v>
      </c>
      <c r="P10" s="146"/>
      <c r="Q10" s="146"/>
      <c r="R10" s="146"/>
      <c r="S10" s="67">
        <f t="shared" si="3"/>
        <v>100</v>
      </c>
      <c r="T10" s="68" t="str">
        <f t="shared" si="4"/>
        <v>OK</v>
      </c>
      <c r="U10" s="162"/>
      <c r="V10" s="162"/>
      <c r="W10" s="162"/>
      <c r="X10" s="162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80"/>
      <c r="B11" s="182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4</f>
        <v>4</v>
      </c>
      <c r="L11" s="144">
        <f t="shared" si="0"/>
        <v>0</v>
      </c>
      <c r="M11" s="144">
        <f t="shared" si="1"/>
        <v>0</v>
      </c>
      <c r="N11" s="149"/>
      <c r="O11" s="145">
        <f t="shared" si="2"/>
        <v>1</v>
      </c>
      <c r="P11" s="146"/>
      <c r="Q11" s="146"/>
      <c r="R11" s="146"/>
      <c r="S11" s="67">
        <f t="shared" si="3"/>
        <v>4</v>
      </c>
      <c r="T11" s="68" t="str">
        <f t="shared" si="4"/>
        <v>OK</v>
      </c>
      <c r="U11" s="162"/>
      <c r="V11" s="162"/>
      <c r="W11" s="162"/>
      <c r="X11" s="162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80"/>
      <c r="B12" s="182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4</f>
        <v>4</v>
      </c>
      <c r="L12" s="144">
        <f t="shared" si="0"/>
        <v>0</v>
      </c>
      <c r="M12" s="144">
        <f t="shared" si="1"/>
        <v>0</v>
      </c>
      <c r="N12" s="149"/>
      <c r="O12" s="145">
        <f t="shared" si="2"/>
        <v>1</v>
      </c>
      <c r="P12" s="146"/>
      <c r="Q12" s="146"/>
      <c r="R12" s="146"/>
      <c r="S12" s="67">
        <f t="shared" si="3"/>
        <v>4</v>
      </c>
      <c r="T12" s="68" t="str">
        <f t="shared" si="4"/>
        <v>OK</v>
      </c>
      <c r="U12" s="162"/>
      <c r="V12" s="162"/>
      <c r="W12" s="162"/>
      <c r="X12" s="162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80"/>
      <c r="B13" s="182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200</f>
        <v>200</v>
      </c>
      <c r="L13" s="144">
        <f t="shared" si="0"/>
        <v>20</v>
      </c>
      <c r="M13" s="144">
        <f t="shared" si="1"/>
        <v>20</v>
      </c>
      <c r="N13" s="149"/>
      <c r="O13" s="145">
        <f t="shared" si="2"/>
        <v>50</v>
      </c>
      <c r="P13" s="146"/>
      <c r="Q13" s="146"/>
      <c r="R13" s="146"/>
      <c r="S13" s="67">
        <f t="shared" si="3"/>
        <v>180</v>
      </c>
      <c r="T13" s="68" t="str">
        <f t="shared" si="4"/>
        <v>OK</v>
      </c>
      <c r="U13" s="162"/>
      <c r="V13" s="162"/>
      <c r="W13" s="163">
        <v>20</v>
      </c>
      <c r="X13" s="162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80"/>
      <c r="B14" s="183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200</f>
        <v>200</v>
      </c>
      <c r="L14" s="144">
        <f t="shared" si="0"/>
        <v>20</v>
      </c>
      <c r="M14" s="144">
        <f t="shared" si="1"/>
        <v>20</v>
      </c>
      <c r="N14" s="149"/>
      <c r="O14" s="145">
        <f t="shared" si="2"/>
        <v>50</v>
      </c>
      <c r="P14" s="146"/>
      <c r="Q14" s="146"/>
      <c r="R14" s="146"/>
      <c r="S14" s="67">
        <f t="shared" si="3"/>
        <v>180</v>
      </c>
      <c r="T14" s="68" t="str">
        <f t="shared" si="4"/>
        <v>OK</v>
      </c>
      <c r="U14" s="162"/>
      <c r="V14" s="162"/>
      <c r="W14" s="163">
        <v>20</v>
      </c>
      <c r="X14" s="162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800</f>
        <v>800</v>
      </c>
      <c r="L15" s="144">
        <f t="shared" si="0"/>
        <v>0</v>
      </c>
      <c r="M15" s="144">
        <f t="shared" si="1"/>
        <v>0</v>
      </c>
      <c r="N15" s="149"/>
      <c r="O15" s="145">
        <f t="shared" si="2"/>
        <v>200</v>
      </c>
      <c r="P15" s="146"/>
      <c r="Q15" s="146"/>
      <c r="R15" s="146"/>
      <c r="S15" s="67">
        <f t="shared" si="3"/>
        <v>800</v>
      </c>
      <c r="T15" s="68" t="str">
        <f t="shared" si="4"/>
        <v>OK</v>
      </c>
      <c r="U15" s="162"/>
      <c r="V15" s="162"/>
      <c r="W15" s="162"/>
      <c r="X15" s="162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65.25" customHeight="1" x14ac:dyDescent="0.25">
      <c r="A16" s="180">
        <v>4</v>
      </c>
      <c r="B16" s="181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200</f>
        <v>200</v>
      </c>
      <c r="L16" s="144">
        <f t="shared" si="0"/>
        <v>0</v>
      </c>
      <c r="M16" s="144">
        <f t="shared" si="1"/>
        <v>0</v>
      </c>
      <c r="N16" s="149"/>
      <c r="O16" s="145">
        <f t="shared" si="2"/>
        <v>50</v>
      </c>
      <c r="P16" s="146"/>
      <c r="Q16" s="146"/>
      <c r="R16" s="146"/>
      <c r="S16" s="67">
        <f t="shared" si="3"/>
        <v>200</v>
      </c>
      <c r="T16" s="68" t="str">
        <f t="shared" si="4"/>
        <v>OK</v>
      </c>
      <c r="U16" s="164"/>
      <c r="V16" s="162"/>
      <c r="W16" s="162"/>
      <c r="X16" s="162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80"/>
      <c r="B17" s="182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0</f>
        <v>0</v>
      </c>
      <c r="L17" s="144">
        <f t="shared" si="0"/>
        <v>0</v>
      </c>
      <c r="M17" s="144">
        <f t="shared" si="1"/>
        <v>0</v>
      </c>
      <c r="N17" s="149"/>
      <c r="O17" s="145">
        <f t="shared" si="2"/>
        <v>0</v>
      </c>
      <c r="P17" s="146"/>
      <c r="Q17" s="146"/>
      <c r="R17" s="146"/>
      <c r="S17" s="67">
        <f t="shared" si="3"/>
        <v>0</v>
      </c>
      <c r="T17" s="68" t="str">
        <f t="shared" si="4"/>
        <v>OK</v>
      </c>
      <c r="U17" s="162"/>
      <c r="V17" s="162"/>
      <c r="W17" s="162"/>
      <c r="X17" s="162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80"/>
      <c r="B18" s="182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0</f>
        <v>0</v>
      </c>
      <c r="L18" s="144">
        <f t="shared" si="0"/>
        <v>0</v>
      </c>
      <c r="M18" s="144">
        <f t="shared" si="1"/>
        <v>0</v>
      </c>
      <c r="N18" s="149"/>
      <c r="O18" s="145">
        <f t="shared" si="2"/>
        <v>0</v>
      </c>
      <c r="P18" s="146"/>
      <c r="Q18" s="146"/>
      <c r="R18" s="146"/>
      <c r="S18" s="67">
        <f t="shared" si="3"/>
        <v>0</v>
      </c>
      <c r="T18" s="68" t="str">
        <f t="shared" si="4"/>
        <v>OK</v>
      </c>
      <c r="U18" s="162"/>
      <c r="V18" s="162"/>
      <c r="W18" s="162"/>
      <c r="X18" s="162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80"/>
      <c r="B19" s="183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200</f>
        <v>200</v>
      </c>
      <c r="L19" s="144">
        <f t="shared" si="0"/>
        <v>34</v>
      </c>
      <c r="M19" s="144">
        <f t="shared" si="1"/>
        <v>34</v>
      </c>
      <c r="N19" s="149"/>
      <c r="O19" s="145">
        <f t="shared" si="2"/>
        <v>50</v>
      </c>
      <c r="P19" s="146"/>
      <c r="Q19" s="146"/>
      <c r="R19" s="146"/>
      <c r="S19" s="67">
        <f t="shared" si="3"/>
        <v>166</v>
      </c>
      <c r="T19" s="68" t="str">
        <f t="shared" si="4"/>
        <v>OK</v>
      </c>
      <c r="U19" s="163">
        <v>27</v>
      </c>
      <c r="V19" s="162"/>
      <c r="W19" s="162"/>
      <c r="X19" s="163">
        <v>7</v>
      </c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200</f>
        <v>200</v>
      </c>
      <c r="L20" s="144">
        <f t="shared" si="0"/>
        <v>190</v>
      </c>
      <c r="M20" s="144">
        <f t="shared" si="1"/>
        <v>190</v>
      </c>
      <c r="N20" s="149"/>
      <c r="O20" s="145">
        <f t="shared" si="2"/>
        <v>50</v>
      </c>
      <c r="P20" s="146"/>
      <c r="Q20" s="146"/>
      <c r="R20" s="146"/>
      <c r="S20" s="67">
        <f t="shared" si="3"/>
        <v>10</v>
      </c>
      <c r="T20" s="68" t="str">
        <f t="shared" si="4"/>
        <v>OK</v>
      </c>
      <c r="U20" s="162"/>
      <c r="V20" s="163">
        <v>190</v>
      </c>
      <c r="W20" s="162"/>
      <c r="X20" s="162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0</f>
        <v>0</v>
      </c>
      <c r="L21" s="144">
        <f t="shared" si="0"/>
        <v>0</v>
      </c>
      <c r="M21" s="144">
        <f t="shared" si="1"/>
        <v>0</v>
      </c>
      <c r="N21" s="149"/>
      <c r="O21" s="145">
        <f t="shared" si="2"/>
        <v>0</v>
      </c>
      <c r="P21" s="146"/>
      <c r="Q21" s="146"/>
      <c r="R21" s="146"/>
      <c r="S21" s="67">
        <f t="shared" si="3"/>
        <v>0</v>
      </c>
      <c r="T21" s="68" t="str">
        <f t="shared" si="4"/>
        <v>OK</v>
      </c>
      <c r="U21" s="162"/>
      <c r="V21" s="162"/>
      <c r="W21" s="162"/>
      <c r="X21" s="162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0</f>
        <v>0</v>
      </c>
      <c r="L22" s="144">
        <f t="shared" si="0"/>
        <v>0</v>
      </c>
      <c r="M22" s="144">
        <f t="shared" si="1"/>
        <v>0</v>
      </c>
      <c r="N22" s="149"/>
      <c r="O22" s="145">
        <f t="shared" si="2"/>
        <v>0</v>
      </c>
      <c r="P22" s="146"/>
      <c r="Q22" s="146"/>
      <c r="R22" s="146"/>
      <c r="S22" s="67">
        <f t="shared" si="3"/>
        <v>0</v>
      </c>
      <c r="T22" s="68" t="str">
        <f t="shared" si="4"/>
        <v>OK</v>
      </c>
      <c r="U22" s="162"/>
      <c r="V22" s="162"/>
      <c r="W22" s="162"/>
      <c r="X22" s="162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0</f>
        <v>0</v>
      </c>
      <c r="L23" s="144">
        <f t="shared" si="0"/>
        <v>0</v>
      </c>
      <c r="M23" s="144">
        <f t="shared" si="1"/>
        <v>0</v>
      </c>
      <c r="N23" s="149"/>
      <c r="O23" s="145">
        <f t="shared" si="2"/>
        <v>0</v>
      </c>
      <c r="P23" s="146"/>
      <c r="Q23" s="146"/>
      <c r="R23" s="146"/>
      <c r="S23" s="67">
        <f t="shared" si="3"/>
        <v>0</v>
      </c>
      <c r="T23" s="68" t="str">
        <f t="shared" si="4"/>
        <v>OK</v>
      </c>
      <c r="U23" s="162"/>
      <c r="V23" s="162"/>
      <c r="W23" s="162"/>
      <c r="X23" s="162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0</f>
        <v>0</v>
      </c>
      <c r="L24" s="144">
        <f t="shared" si="0"/>
        <v>0</v>
      </c>
      <c r="M24" s="144">
        <f t="shared" si="1"/>
        <v>0</v>
      </c>
      <c r="N24" s="149"/>
      <c r="O24" s="145">
        <f t="shared" si="2"/>
        <v>0</v>
      </c>
      <c r="P24" s="146"/>
      <c r="Q24" s="146"/>
      <c r="R24" s="146"/>
      <c r="S24" s="67">
        <f t="shared" si="3"/>
        <v>0</v>
      </c>
      <c r="T24" s="68" t="str">
        <f t="shared" si="4"/>
        <v>OK</v>
      </c>
      <c r="U24" s="162"/>
      <c r="V24" s="162"/>
      <c r="W24" s="162"/>
      <c r="X24" s="162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0</f>
        <v>0</v>
      </c>
      <c r="L25" s="147">
        <f t="shared" si="0"/>
        <v>0</v>
      </c>
      <c r="M25" s="147">
        <f t="shared" si="1"/>
        <v>0</v>
      </c>
      <c r="N25" s="149"/>
      <c r="O25" s="145">
        <f t="shared" si="2"/>
        <v>0</v>
      </c>
      <c r="P25" s="146"/>
      <c r="Q25" s="146"/>
      <c r="R25" s="146"/>
      <c r="S25" s="67">
        <f t="shared" si="3"/>
        <v>0</v>
      </c>
      <c r="T25" s="68" t="str">
        <f t="shared" si="4"/>
        <v>OK</v>
      </c>
      <c r="U25" s="162"/>
      <c r="V25" s="162"/>
      <c r="W25" s="162"/>
      <c r="X25" s="162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105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0</f>
        <v>0</v>
      </c>
      <c r="L26" s="144">
        <f t="shared" si="0"/>
        <v>0</v>
      </c>
      <c r="M26" s="144">
        <f t="shared" si="1"/>
        <v>0</v>
      </c>
      <c r="N26" s="149"/>
      <c r="O26" s="145">
        <f t="shared" si="2"/>
        <v>0</v>
      </c>
      <c r="P26" s="146"/>
      <c r="Q26" s="146"/>
      <c r="R26" s="146"/>
      <c r="S26" s="67">
        <f t="shared" si="3"/>
        <v>0</v>
      </c>
      <c r="T26" s="68" t="str">
        <f t="shared" si="4"/>
        <v>OK</v>
      </c>
      <c r="U26" s="162"/>
      <c r="V26" s="162"/>
      <c r="W26" s="162"/>
      <c r="X26" s="162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4">
        <f>SUM(K4:K26)</f>
        <v>2188</v>
      </c>
      <c r="O27" s="4">
        <f t="shared" si="2"/>
        <v>547</v>
      </c>
      <c r="S27" s="15">
        <f>SUM(S4:S26)</f>
        <v>1924</v>
      </c>
      <c r="T27" s="5" t="str">
        <f t="shared" si="4"/>
        <v>OK</v>
      </c>
      <c r="U27" s="26">
        <f t="shared" ref="U27:AL27" si="5">SUMPRODUCT($J$4:$J$26,U4:U26)</f>
        <v>6451.38</v>
      </c>
      <c r="V27" s="26">
        <f t="shared" si="5"/>
        <v>15010</v>
      </c>
      <c r="W27" s="26">
        <f t="shared" si="5"/>
        <v>980</v>
      </c>
      <c r="X27" s="26">
        <f t="shared" si="5"/>
        <v>1672.58</v>
      </c>
      <c r="Y27" s="26">
        <f t="shared" si="5"/>
        <v>0</v>
      </c>
      <c r="Z27" s="26">
        <f t="shared" si="5"/>
        <v>0</v>
      </c>
      <c r="AA27" s="26">
        <f t="shared" si="5"/>
        <v>0</v>
      </c>
      <c r="AB27" s="26">
        <f t="shared" si="5"/>
        <v>0</v>
      </c>
      <c r="AC27" s="26">
        <f t="shared" si="5"/>
        <v>0</v>
      </c>
      <c r="AD27" s="26">
        <f t="shared" si="5"/>
        <v>0</v>
      </c>
      <c r="AE27" s="26">
        <f t="shared" si="5"/>
        <v>0</v>
      </c>
      <c r="AF27" s="26">
        <f t="shared" si="5"/>
        <v>0</v>
      </c>
      <c r="AG27" s="26">
        <f t="shared" si="5"/>
        <v>0</v>
      </c>
      <c r="AH27" s="26">
        <f t="shared" si="5"/>
        <v>0</v>
      </c>
      <c r="AI27" s="26">
        <f t="shared" si="5"/>
        <v>0</v>
      </c>
      <c r="AJ27" s="26">
        <f t="shared" si="5"/>
        <v>0</v>
      </c>
      <c r="AK27" s="26">
        <f t="shared" si="5"/>
        <v>0</v>
      </c>
      <c r="AL27" s="26">
        <f t="shared" si="5"/>
        <v>0</v>
      </c>
    </row>
    <row r="28" spans="1:38" x14ac:dyDescent="0.25">
      <c r="D28" s="29" t="s">
        <v>43</v>
      </c>
      <c r="K28" s="150">
        <f>SUMPRODUCT($J$4:$J$26,K4:K26)</f>
        <v>184102.8</v>
      </c>
      <c r="L28" s="150">
        <f>SUMPRODUCT($J$4:$J$26,L4:L26)</f>
        <v>24113.96</v>
      </c>
      <c r="M28" s="150">
        <f>SUMPRODUCT($J$4:$J$26,M4:M26)</f>
        <v>24113.96</v>
      </c>
      <c r="U28" s="164"/>
      <c r="V28" s="164"/>
      <c r="W28" s="164"/>
      <c r="X28" s="164"/>
    </row>
    <row r="29" spans="1:38" x14ac:dyDescent="0.25">
      <c r="D29" s="65" t="s">
        <v>44</v>
      </c>
      <c r="U29" s="164"/>
      <c r="V29" s="164"/>
      <c r="W29" s="164"/>
      <c r="X29" s="164"/>
    </row>
    <row r="30" spans="1:38" ht="15" customHeight="1" x14ac:dyDescent="0.25">
      <c r="D30" s="30" t="s">
        <v>106</v>
      </c>
      <c r="U30" s="164"/>
      <c r="V30" s="164"/>
      <c r="W30" s="164"/>
      <c r="X30" s="164"/>
    </row>
    <row r="31" spans="1:38" ht="15.75" customHeight="1" thickBot="1" x14ac:dyDescent="0.3">
      <c r="D31" s="31" t="s">
        <v>105</v>
      </c>
      <c r="U31" s="164"/>
      <c r="V31" s="164"/>
      <c r="W31" s="164"/>
      <c r="X31" s="164"/>
    </row>
  </sheetData>
  <mergeCells count="29"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</mergeCells>
  <conditionalFormatting sqref="AE4:AL26 AB5:AD26 Y4:AA26">
    <cfRule type="cellIs" dxfId="84" priority="8" stopIfTrue="1" operator="greaterThan">
      <formula>0</formula>
    </cfRule>
    <cfRule type="cellIs" dxfId="83" priority="9" stopIfTrue="1" operator="greaterThan">
      <formula>0</formula>
    </cfRule>
    <cfRule type="cellIs" dxfId="82" priority="10" stopIfTrue="1" operator="greaterThan">
      <formula>0</formula>
    </cfRule>
  </conditionalFormatting>
  <conditionalFormatting sqref="AB4:AD4">
    <cfRule type="cellIs" dxfId="81" priority="5" stopIfTrue="1" operator="greaterThan">
      <formula>0</formula>
    </cfRule>
    <cfRule type="cellIs" dxfId="80" priority="6" stopIfTrue="1" operator="greaterThan">
      <formula>0</formula>
    </cfRule>
    <cfRule type="cellIs" dxfId="79" priority="7" stopIfTrue="1" operator="greaterThan">
      <formula>0</formula>
    </cfRule>
  </conditionalFormatting>
  <conditionalFormatting sqref="Y4:AL26">
    <cfRule type="cellIs" dxfId="78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5DF37-265D-4AD9-90B4-2ECB9C29B02C}">
  <dimension ref="A1:AL31"/>
  <sheetViews>
    <sheetView topLeftCell="A16" zoomScale="80" zoomScaleNormal="80" workbookViewId="0">
      <selection activeCell="U30" sqref="U30"/>
    </sheetView>
  </sheetViews>
  <sheetFormatPr defaultColWidth="9.7109375" defaultRowHeight="15" x14ac:dyDescent="0.25"/>
  <cols>
    <col min="1" max="1" width="7.140625" style="18" customWidth="1"/>
    <col min="2" max="2" width="13.28515625" style="18" customWidth="1"/>
    <col min="3" max="3" width="6" style="14" bestFit="1" customWidth="1"/>
    <col min="4" max="4" width="28.7109375" style="18" customWidth="1"/>
    <col min="5" max="5" width="19" style="18" customWidth="1"/>
    <col min="6" max="6" width="9.28515625" style="18" customWidth="1"/>
    <col min="7" max="7" width="12" style="18" bestFit="1" customWidth="1"/>
    <col min="8" max="8" width="8.85546875" style="18" customWidth="1"/>
    <col min="9" max="9" width="10.140625" style="18" bestFit="1" customWidth="1"/>
    <col min="10" max="10" width="13.42578125" style="19" bestFit="1" customWidth="1"/>
    <col min="11" max="11" width="13.7109375" style="4" bestFit="1" customWidth="1"/>
    <col min="12" max="18" width="11.5703125" style="4" customWidth="1"/>
    <col min="19" max="19" width="11" style="15" customWidth="1"/>
    <col min="20" max="20" width="10.85546875" style="5" customWidth="1"/>
    <col min="21" max="21" width="13.85546875" style="6" customWidth="1"/>
    <col min="22" max="22" width="12.710937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31.7" customHeight="1" x14ac:dyDescent="0.25">
      <c r="A1" s="172" t="s">
        <v>37</v>
      </c>
      <c r="B1" s="172"/>
      <c r="C1" s="172"/>
      <c r="D1" s="172" t="s">
        <v>36</v>
      </c>
      <c r="E1" s="172"/>
      <c r="F1" s="172"/>
      <c r="G1" s="172"/>
      <c r="H1" s="172"/>
      <c r="I1" s="172"/>
      <c r="J1" s="172"/>
      <c r="K1" s="172" t="s">
        <v>38</v>
      </c>
      <c r="L1" s="172"/>
      <c r="M1" s="172"/>
      <c r="N1" s="172"/>
      <c r="O1" s="172"/>
      <c r="P1" s="172"/>
      <c r="Q1" s="172"/>
      <c r="R1" s="172"/>
      <c r="S1" s="172"/>
      <c r="T1" s="172"/>
      <c r="U1" s="189" t="s">
        <v>188</v>
      </c>
      <c r="V1" s="171" t="s">
        <v>39</v>
      </c>
      <c r="W1" s="171" t="s">
        <v>39</v>
      </c>
      <c r="X1" s="171" t="s">
        <v>39</v>
      </c>
      <c r="Y1" s="171" t="s">
        <v>39</v>
      </c>
      <c r="Z1" s="171" t="s">
        <v>39</v>
      </c>
      <c r="AA1" s="171" t="s">
        <v>39</v>
      </c>
      <c r="AB1" s="171" t="s">
        <v>39</v>
      </c>
      <c r="AC1" s="171" t="s">
        <v>39</v>
      </c>
      <c r="AD1" s="171" t="s">
        <v>39</v>
      </c>
      <c r="AE1" s="171" t="s">
        <v>39</v>
      </c>
      <c r="AF1" s="171" t="s">
        <v>39</v>
      </c>
      <c r="AG1" s="171" t="s">
        <v>39</v>
      </c>
      <c r="AH1" s="171" t="s">
        <v>39</v>
      </c>
      <c r="AI1" s="171" t="s">
        <v>39</v>
      </c>
      <c r="AJ1" s="171" t="s">
        <v>39</v>
      </c>
      <c r="AK1" s="171" t="s">
        <v>39</v>
      </c>
      <c r="AL1" s="171" t="s">
        <v>39</v>
      </c>
    </row>
    <row r="2" spans="1:38" ht="24" customHeight="1" x14ac:dyDescent="0.25">
      <c r="A2" s="177" t="s">
        <v>109</v>
      </c>
      <c r="B2" s="178"/>
      <c r="C2" s="178"/>
      <c r="D2" s="178"/>
      <c r="E2" s="178"/>
      <c r="F2" s="178"/>
      <c r="G2" s="178"/>
      <c r="H2" s="178"/>
      <c r="I2" s="178"/>
      <c r="J2" s="179"/>
      <c r="K2" s="174" t="s">
        <v>116</v>
      </c>
      <c r="L2" s="175"/>
      <c r="M2" s="175"/>
      <c r="N2" s="175"/>
      <c r="O2" s="175"/>
      <c r="P2" s="175"/>
      <c r="Q2" s="175"/>
      <c r="R2" s="175"/>
      <c r="S2" s="175"/>
      <c r="T2" s="176"/>
      <c r="U2" s="190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</row>
    <row r="3" spans="1:38" s="3" customFormat="1" ht="75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4" t="s">
        <v>149</v>
      </c>
      <c r="M3" s="94" t="s">
        <v>150</v>
      </c>
      <c r="N3" s="94" t="s">
        <v>151</v>
      </c>
      <c r="O3" s="94" t="s">
        <v>152</v>
      </c>
      <c r="P3" s="94" t="s">
        <v>153</v>
      </c>
      <c r="Q3" s="94" t="s">
        <v>154</v>
      </c>
      <c r="R3" s="94" t="s">
        <v>155</v>
      </c>
      <c r="S3" s="12" t="s">
        <v>0</v>
      </c>
      <c r="T3" s="10" t="s">
        <v>2</v>
      </c>
      <c r="U3" s="161">
        <v>45567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184">
        <v>1</v>
      </c>
      <c r="B4" s="188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300</f>
        <v>300</v>
      </c>
      <c r="L4" s="144">
        <f>IF(SUM(U4:AL4)&gt;K4,K4,SUM(U4:AL4))</f>
        <v>0</v>
      </c>
      <c r="M4" s="144">
        <f>SUM(U4:AL4)</f>
        <v>0</v>
      </c>
      <c r="N4" s="149"/>
      <c r="O4" s="145">
        <f>ROUND(IF(K4*0.25-0.5&lt;0,0,K4*0.25-0.5),0)-P4-R4</f>
        <v>75</v>
      </c>
      <c r="P4" s="146"/>
      <c r="Q4" s="146"/>
      <c r="R4" s="146"/>
      <c r="S4" s="67">
        <f>K4-(SUM(U4:AL4))+N4</f>
        <v>300</v>
      </c>
      <c r="T4" s="68" t="str">
        <f>IF(S4&lt;0,"ATENÇÃO","OK")</f>
        <v>OK</v>
      </c>
      <c r="U4" s="162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184"/>
      <c r="B5" s="186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50</f>
        <v>50</v>
      </c>
      <c r="L5" s="144">
        <f t="shared" ref="L5:L26" si="0">IF(SUM(U5:AL5)&gt;K5,K5,SUM(U5:AL5))</f>
        <v>0</v>
      </c>
      <c r="M5" s="144">
        <f t="shared" ref="M5:M26" si="1">SUM(U5:AL5)</f>
        <v>0</v>
      </c>
      <c r="N5" s="149"/>
      <c r="O5" s="145">
        <f t="shared" ref="O5:O27" si="2">ROUND(IF(K5*0.25-0.5&lt;0,0,K5*0.25-0.5),0)-P5-R5</f>
        <v>12</v>
      </c>
      <c r="P5" s="146"/>
      <c r="Q5" s="146"/>
      <c r="R5" s="146"/>
      <c r="S5" s="67">
        <f t="shared" ref="S5:S26" si="3">K5-(SUM(U5:AL5))+N5</f>
        <v>50</v>
      </c>
      <c r="T5" s="68" t="str">
        <f t="shared" ref="T5:T27" si="4">IF(S5&lt;0,"ATENÇÃO","OK")</f>
        <v>OK</v>
      </c>
      <c r="U5" s="162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184"/>
      <c r="B6" s="186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100</f>
        <v>100</v>
      </c>
      <c r="L6" s="144">
        <f t="shared" si="0"/>
        <v>0</v>
      </c>
      <c r="M6" s="144">
        <f t="shared" si="1"/>
        <v>0</v>
      </c>
      <c r="N6" s="149"/>
      <c r="O6" s="145">
        <f t="shared" si="2"/>
        <v>25</v>
      </c>
      <c r="P6" s="146"/>
      <c r="Q6" s="146"/>
      <c r="R6" s="146"/>
      <c r="S6" s="67">
        <f t="shared" si="3"/>
        <v>100</v>
      </c>
      <c r="T6" s="68" t="str">
        <f t="shared" si="4"/>
        <v>OK</v>
      </c>
      <c r="U6" s="162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50.1" customHeight="1" x14ac:dyDescent="0.25">
      <c r="A7" s="184"/>
      <c r="B7" s="186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100</f>
        <v>100</v>
      </c>
      <c r="L7" s="144">
        <f t="shared" si="0"/>
        <v>0</v>
      </c>
      <c r="M7" s="144">
        <f t="shared" si="1"/>
        <v>0</v>
      </c>
      <c r="N7" s="149"/>
      <c r="O7" s="145">
        <f t="shared" si="2"/>
        <v>25</v>
      </c>
      <c r="P7" s="146"/>
      <c r="Q7" s="146"/>
      <c r="R7" s="146"/>
      <c r="S7" s="67">
        <f t="shared" si="3"/>
        <v>100</v>
      </c>
      <c r="T7" s="68" t="str">
        <f t="shared" si="4"/>
        <v>OK</v>
      </c>
      <c r="U7" s="162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184"/>
      <c r="B8" s="187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100</f>
        <v>100</v>
      </c>
      <c r="L8" s="144">
        <f t="shared" si="0"/>
        <v>0</v>
      </c>
      <c r="M8" s="144">
        <f t="shared" si="1"/>
        <v>0</v>
      </c>
      <c r="N8" s="149"/>
      <c r="O8" s="145">
        <f t="shared" si="2"/>
        <v>25</v>
      </c>
      <c r="P8" s="146"/>
      <c r="Q8" s="146"/>
      <c r="R8" s="146"/>
      <c r="S8" s="67">
        <f t="shared" si="3"/>
        <v>100</v>
      </c>
      <c r="T8" s="68" t="str">
        <f t="shared" si="4"/>
        <v>OK</v>
      </c>
      <c r="U8" s="162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80">
        <v>2</v>
      </c>
      <c r="B9" s="181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30</f>
        <v>30</v>
      </c>
      <c r="L9" s="144">
        <f t="shared" si="0"/>
        <v>30</v>
      </c>
      <c r="M9" s="144">
        <f t="shared" si="1"/>
        <v>30</v>
      </c>
      <c r="N9" s="149">
        <f>125+250</f>
        <v>375</v>
      </c>
      <c r="O9" s="145">
        <f t="shared" si="2"/>
        <v>7</v>
      </c>
      <c r="P9" s="146"/>
      <c r="Q9" s="146"/>
      <c r="R9" s="146"/>
      <c r="S9" s="67">
        <f t="shared" si="3"/>
        <v>375</v>
      </c>
      <c r="T9" s="68" t="str">
        <f t="shared" si="4"/>
        <v>OK</v>
      </c>
      <c r="U9" s="163">
        <v>30</v>
      </c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80"/>
      <c r="B10" s="182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200</f>
        <v>200</v>
      </c>
      <c r="L10" s="144">
        <f t="shared" si="0"/>
        <v>200</v>
      </c>
      <c r="M10" s="144">
        <f t="shared" si="1"/>
        <v>200</v>
      </c>
      <c r="N10" s="149">
        <f>70+200</f>
        <v>270</v>
      </c>
      <c r="O10" s="145">
        <f t="shared" si="2"/>
        <v>50</v>
      </c>
      <c r="P10" s="146"/>
      <c r="Q10" s="146"/>
      <c r="R10" s="146"/>
      <c r="S10" s="67">
        <f t="shared" si="3"/>
        <v>270</v>
      </c>
      <c r="T10" s="68" t="str">
        <f t="shared" si="4"/>
        <v>OK</v>
      </c>
      <c r="U10" s="163">
        <v>200</v>
      </c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80"/>
      <c r="B11" s="182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4</f>
        <v>4</v>
      </c>
      <c r="L11" s="144">
        <f t="shared" si="0"/>
        <v>4</v>
      </c>
      <c r="M11" s="144">
        <f t="shared" si="1"/>
        <v>4</v>
      </c>
      <c r="N11" s="149">
        <v>5</v>
      </c>
      <c r="O11" s="145">
        <f t="shared" si="2"/>
        <v>1</v>
      </c>
      <c r="P11" s="146"/>
      <c r="Q11" s="146"/>
      <c r="R11" s="146"/>
      <c r="S11" s="67">
        <f t="shared" si="3"/>
        <v>5</v>
      </c>
      <c r="T11" s="68" t="str">
        <f t="shared" si="4"/>
        <v>OK</v>
      </c>
      <c r="U11" s="163">
        <v>4</v>
      </c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80"/>
      <c r="B12" s="182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4</f>
        <v>4</v>
      </c>
      <c r="L12" s="144">
        <f t="shared" si="0"/>
        <v>4</v>
      </c>
      <c r="M12" s="144">
        <f t="shared" si="1"/>
        <v>4</v>
      </c>
      <c r="N12" s="149">
        <f>4+10</f>
        <v>14</v>
      </c>
      <c r="O12" s="145">
        <f t="shared" si="2"/>
        <v>1</v>
      </c>
      <c r="P12" s="146"/>
      <c r="Q12" s="146"/>
      <c r="R12" s="146"/>
      <c r="S12" s="67">
        <f t="shared" si="3"/>
        <v>14</v>
      </c>
      <c r="T12" s="68" t="str">
        <f t="shared" si="4"/>
        <v>OK</v>
      </c>
      <c r="U12" s="163">
        <v>4</v>
      </c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80"/>
      <c r="B13" s="182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30</f>
        <v>30</v>
      </c>
      <c r="L13" s="144">
        <f t="shared" si="0"/>
        <v>30</v>
      </c>
      <c r="M13" s="144">
        <f t="shared" si="1"/>
        <v>30</v>
      </c>
      <c r="N13" s="149">
        <f>75+300</f>
        <v>375</v>
      </c>
      <c r="O13" s="145">
        <f t="shared" si="2"/>
        <v>7</v>
      </c>
      <c r="P13" s="146"/>
      <c r="Q13" s="146"/>
      <c r="R13" s="146"/>
      <c r="S13" s="67">
        <f t="shared" si="3"/>
        <v>375</v>
      </c>
      <c r="T13" s="68" t="str">
        <f t="shared" si="4"/>
        <v>OK</v>
      </c>
      <c r="U13" s="163">
        <v>30</v>
      </c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80"/>
      <c r="B14" s="183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30</f>
        <v>30</v>
      </c>
      <c r="L14" s="144">
        <f t="shared" si="0"/>
        <v>30</v>
      </c>
      <c r="M14" s="144">
        <f t="shared" si="1"/>
        <v>30</v>
      </c>
      <c r="N14" s="149">
        <f>185+300</f>
        <v>485</v>
      </c>
      <c r="O14" s="145">
        <f t="shared" si="2"/>
        <v>7</v>
      </c>
      <c r="P14" s="146"/>
      <c r="Q14" s="146"/>
      <c r="R14" s="146"/>
      <c r="S14" s="67">
        <f t="shared" si="3"/>
        <v>485</v>
      </c>
      <c r="T14" s="68" t="str">
        <f t="shared" si="4"/>
        <v>OK</v>
      </c>
      <c r="U14" s="163">
        <v>30</v>
      </c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50</f>
        <v>50</v>
      </c>
      <c r="L15" s="144">
        <f t="shared" si="0"/>
        <v>0</v>
      </c>
      <c r="M15" s="144">
        <f t="shared" si="1"/>
        <v>0</v>
      </c>
      <c r="N15" s="149"/>
      <c r="O15" s="145">
        <f t="shared" si="2"/>
        <v>12</v>
      </c>
      <c r="P15" s="146"/>
      <c r="Q15" s="146"/>
      <c r="R15" s="146"/>
      <c r="S15" s="67">
        <f t="shared" si="3"/>
        <v>50</v>
      </c>
      <c r="T15" s="68" t="str">
        <f t="shared" si="4"/>
        <v>OK</v>
      </c>
      <c r="U15" s="162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65.25" customHeight="1" x14ac:dyDescent="0.25">
      <c r="A16" s="180">
        <v>4</v>
      </c>
      <c r="B16" s="181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100</f>
        <v>100</v>
      </c>
      <c r="L16" s="144">
        <f t="shared" si="0"/>
        <v>0</v>
      </c>
      <c r="M16" s="144">
        <f t="shared" si="1"/>
        <v>0</v>
      </c>
      <c r="N16" s="149"/>
      <c r="O16" s="145">
        <f t="shared" si="2"/>
        <v>25</v>
      </c>
      <c r="P16" s="146"/>
      <c r="Q16" s="146"/>
      <c r="R16" s="146"/>
      <c r="S16" s="67">
        <f t="shared" si="3"/>
        <v>100</v>
      </c>
      <c r="T16" s="68" t="str">
        <f t="shared" si="4"/>
        <v>OK</v>
      </c>
      <c r="U16" s="162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80"/>
      <c r="B17" s="182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100</f>
        <v>100</v>
      </c>
      <c r="L17" s="144">
        <f t="shared" si="0"/>
        <v>0</v>
      </c>
      <c r="M17" s="144">
        <f t="shared" si="1"/>
        <v>0</v>
      </c>
      <c r="N17" s="149"/>
      <c r="O17" s="145">
        <f t="shared" si="2"/>
        <v>25</v>
      </c>
      <c r="P17" s="146"/>
      <c r="Q17" s="146"/>
      <c r="R17" s="146"/>
      <c r="S17" s="67">
        <f t="shared" si="3"/>
        <v>100</v>
      </c>
      <c r="T17" s="68" t="str">
        <f t="shared" si="4"/>
        <v>OK</v>
      </c>
      <c r="U17" s="162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80"/>
      <c r="B18" s="182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50</f>
        <v>50</v>
      </c>
      <c r="L18" s="144">
        <f t="shared" si="0"/>
        <v>0</v>
      </c>
      <c r="M18" s="144">
        <f t="shared" si="1"/>
        <v>0</v>
      </c>
      <c r="N18" s="149"/>
      <c r="O18" s="145">
        <f t="shared" si="2"/>
        <v>12</v>
      </c>
      <c r="P18" s="146"/>
      <c r="Q18" s="146"/>
      <c r="R18" s="146"/>
      <c r="S18" s="67">
        <f t="shared" si="3"/>
        <v>50</v>
      </c>
      <c r="T18" s="68" t="str">
        <f t="shared" si="4"/>
        <v>OK</v>
      </c>
      <c r="U18" s="162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80"/>
      <c r="B19" s="183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50</f>
        <v>50</v>
      </c>
      <c r="L19" s="144">
        <f t="shared" si="0"/>
        <v>0</v>
      </c>
      <c r="M19" s="144">
        <f t="shared" si="1"/>
        <v>0</v>
      </c>
      <c r="N19" s="149"/>
      <c r="O19" s="145">
        <f t="shared" si="2"/>
        <v>12</v>
      </c>
      <c r="P19" s="146"/>
      <c r="Q19" s="146"/>
      <c r="R19" s="146"/>
      <c r="S19" s="67">
        <f t="shared" si="3"/>
        <v>50</v>
      </c>
      <c r="T19" s="68" t="str">
        <f t="shared" si="4"/>
        <v>OK</v>
      </c>
      <c r="U19" s="162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0</f>
        <v>0</v>
      </c>
      <c r="L20" s="144">
        <f t="shared" si="0"/>
        <v>0</v>
      </c>
      <c r="M20" s="144">
        <f t="shared" si="1"/>
        <v>0</v>
      </c>
      <c r="N20" s="149"/>
      <c r="O20" s="145">
        <f t="shared" si="2"/>
        <v>0</v>
      </c>
      <c r="P20" s="146"/>
      <c r="Q20" s="146"/>
      <c r="R20" s="146"/>
      <c r="S20" s="67">
        <f t="shared" si="3"/>
        <v>0</v>
      </c>
      <c r="T20" s="68" t="str">
        <f t="shared" si="4"/>
        <v>OK</v>
      </c>
      <c r="U20" s="162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0</f>
        <v>0</v>
      </c>
      <c r="L21" s="144">
        <f t="shared" si="0"/>
        <v>0</v>
      </c>
      <c r="M21" s="144">
        <f t="shared" si="1"/>
        <v>0</v>
      </c>
      <c r="N21" s="149"/>
      <c r="O21" s="145">
        <f t="shared" si="2"/>
        <v>0</v>
      </c>
      <c r="P21" s="146"/>
      <c r="Q21" s="146"/>
      <c r="R21" s="146"/>
      <c r="S21" s="67">
        <f t="shared" si="3"/>
        <v>0</v>
      </c>
      <c r="T21" s="68" t="str">
        <f t="shared" si="4"/>
        <v>OK</v>
      </c>
      <c r="U21" s="162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0</f>
        <v>0</v>
      </c>
      <c r="L22" s="144">
        <f t="shared" si="0"/>
        <v>0</v>
      </c>
      <c r="M22" s="144">
        <f t="shared" si="1"/>
        <v>0</v>
      </c>
      <c r="N22" s="149"/>
      <c r="O22" s="145">
        <f t="shared" si="2"/>
        <v>0</v>
      </c>
      <c r="P22" s="146"/>
      <c r="Q22" s="146"/>
      <c r="R22" s="146"/>
      <c r="S22" s="67">
        <f t="shared" si="3"/>
        <v>0</v>
      </c>
      <c r="T22" s="68" t="str">
        <f t="shared" si="4"/>
        <v>OK</v>
      </c>
      <c r="U22" s="162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0</f>
        <v>0</v>
      </c>
      <c r="L23" s="144">
        <f t="shared" si="0"/>
        <v>0</v>
      </c>
      <c r="M23" s="144">
        <f t="shared" si="1"/>
        <v>0</v>
      </c>
      <c r="N23" s="149"/>
      <c r="O23" s="145">
        <f t="shared" si="2"/>
        <v>0</v>
      </c>
      <c r="P23" s="146"/>
      <c r="Q23" s="146"/>
      <c r="R23" s="146"/>
      <c r="S23" s="67">
        <f t="shared" si="3"/>
        <v>0</v>
      </c>
      <c r="T23" s="68" t="str">
        <f t="shared" si="4"/>
        <v>OK</v>
      </c>
      <c r="U23" s="162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0</f>
        <v>0</v>
      </c>
      <c r="L24" s="144">
        <f t="shared" si="0"/>
        <v>0</v>
      </c>
      <c r="M24" s="144">
        <f t="shared" si="1"/>
        <v>0</v>
      </c>
      <c r="N24" s="149"/>
      <c r="O24" s="145">
        <f t="shared" si="2"/>
        <v>0</v>
      </c>
      <c r="P24" s="146"/>
      <c r="Q24" s="146"/>
      <c r="R24" s="146"/>
      <c r="S24" s="67">
        <f t="shared" si="3"/>
        <v>0</v>
      </c>
      <c r="T24" s="68" t="str">
        <f t="shared" si="4"/>
        <v>OK</v>
      </c>
      <c r="U24" s="162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0</f>
        <v>0</v>
      </c>
      <c r="L25" s="147">
        <f t="shared" si="0"/>
        <v>0</v>
      </c>
      <c r="M25" s="147">
        <f t="shared" si="1"/>
        <v>0</v>
      </c>
      <c r="N25" s="149"/>
      <c r="O25" s="145">
        <f t="shared" si="2"/>
        <v>0</v>
      </c>
      <c r="P25" s="146"/>
      <c r="Q25" s="146"/>
      <c r="R25" s="146"/>
      <c r="S25" s="67">
        <f t="shared" si="3"/>
        <v>0</v>
      </c>
      <c r="T25" s="68" t="str">
        <f t="shared" si="4"/>
        <v>OK</v>
      </c>
      <c r="U25" s="162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91.5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0</f>
        <v>0</v>
      </c>
      <c r="L26" s="144">
        <f t="shared" si="0"/>
        <v>0</v>
      </c>
      <c r="M26" s="144">
        <f t="shared" si="1"/>
        <v>0</v>
      </c>
      <c r="N26" s="149"/>
      <c r="O26" s="145">
        <f t="shared" si="2"/>
        <v>0</v>
      </c>
      <c r="P26" s="146"/>
      <c r="Q26" s="146"/>
      <c r="R26" s="146"/>
      <c r="S26" s="67">
        <f t="shared" si="3"/>
        <v>0</v>
      </c>
      <c r="T26" s="68" t="str">
        <f t="shared" si="4"/>
        <v>OK</v>
      </c>
      <c r="U26" s="162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4">
        <f>SUM(K4:K26)</f>
        <v>1298</v>
      </c>
      <c r="O27" s="4">
        <f t="shared" si="2"/>
        <v>324</v>
      </c>
      <c r="S27" s="15">
        <f>SUM(S4:S26)</f>
        <v>2524</v>
      </c>
      <c r="T27" s="5" t="str">
        <f t="shared" si="4"/>
        <v>OK</v>
      </c>
      <c r="U27" s="26">
        <f t="shared" ref="U27:AL27" si="5">SUMPRODUCT($J$4:$J$26,U4:U26)</f>
        <v>39665.4</v>
      </c>
      <c r="V27" s="26">
        <f t="shared" si="5"/>
        <v>0</v>
      </c>
      <c r="W27" s="26">
        <f t="shared" si="5"/>
        <v>0</v>
      </c>
      <c r="X27" s="26">
        <f t="shared" si="5"/>
        <v>0</v>
      </c>
      <c r="Y27" s="26">
        <f t="shared" si="5"/>
        <v>0</v>
      </c>
      <c r="Z27" s="26">
        <f t="shared" si="5"/>
        <v>0</v>
      </c>
      <c r="AA27" s="26">
        <f t="shared" si="5"/>
        <v>0</v>
      </c>
      <c r="AB27" s="26">
        <f t="shared" si="5"/>
        <v>0</v>
      </c>
      <c r="AC27" s="26">
        <f t="shared" si="5"/>
        <v>0</v>
      </c>
      <c r="AD27" s="26">
        <f t="shared" si="5"/>
        <v>0</v>
      </c>
      <c r="AE27" s="26">
        <f t="shared" si="5"/>
        <v>0</v>
      </c>
      <c r="AF27" s="26">
        <f t="shared" si="5"/>
        <v>0</v>
      </c>
      <c r="AG27" s="26">
        <f t="shared" si="5"/>
        <v>0</v>
      </c>
      <c r="AH27" s="26">
        <f t="shared" si="5"/>
        <v>0</v>
      </c>
      <c r="AI27" s="26">
        <f t="shared" si="5"/>
        <v>0</v>
      </c>
      <c r="AJ27" s="26">
        <f t="shared" si="5"/>
        <v>0</v>
      </c>
      <c r="AK27" s="26">
        <f t="shared" si="5"/>
        <v>0</v>
      </c>
      <c r="AL27" s="26">
        <f t="shared" si="5"/>
        <v>0</v>
      </c>
    </row>
    <row r="28" spans="1:38" x14ac:dyDescent="0.25">
      <c r="D28" s="29" t="s">
        <v>43</v>
      </c>
      <c r="K28" s="150">
        <f>SUMPRODUCT($J$4:$J$26,K4:K26)</f>
        <v>146289.9</v>
      </c>
      <c r="L28" s="150">
        <f>SUMPRODUCT($J$4:$J$26,L4:L26)</f>
        <v>39665.4</v>
      </c>
      <c r="M28" s="150">
        <f>SUMPRODUCT($J$4:$J$26,M4:M26)</f>
        <v>39665.4</v>
      </c>
      <c r="U28" s="164"/>
    </row>
    <row r="29" spans="1:38" x14ac:dyDescent="0.25">
      <c r="D29" s="65" t="s">
        <v>44</v>
      </c>
      <c r="U29" s="164"/>
    </row>
    <row r="30" spans="1:38" ht="15" customHeight="1" x14ac:dyDescent="0.25">
      <c r="D30" s="30" t="s">
        <v>106</v>
      </c>
      <c r="U30" s="164"/>
    </row>
    <row r="31" spans="1:38" ht="15.75" thickBot="1" x14ac:dyDescent="0.3">
      <c r="D31" s="31" t="s">
        <v>105</v>
      </c>
      <c r="U31" s="164"/>
    </row>
  </sheetData>
  <mergeCells count="29"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</mergeCells>
  <conditionalFormatting sqref="AE4:AL26 AB5:AD26 V4:AA26">
    <cfRule type="cellIs" dxfId="77" priority="8" stopIfTrue="1" operator="greaterThan">
      <formula>0</formula>
    </cfRule>
    <cfRule type="cellIs" dxfId="76" priority="9" stopIfTrue="1" operator="greaterThan">
      <formula>0</formula>
    </cfRule>
    <cfRule type="cellIs" dxfId="75" priority="10" stopIfTrue="1" operator="greaterThan">
      <formula>0</formula>
    </cfRule>
  </conditionalFormatting>
  <conditionalFormatting sqref="AB4:AD4">
    <cfRule type="cellIs" dxfId="74" priority="5" stopIfTrue="1" operator="greaterThan">
      <formula>0</formula>
    </cfRule>
    <cfRule type="cellIs" dxfId="73" priority="6" stopIfTrue="1" operator="greaterThan">
      <formula>0</formula>
    </cfRule>
    <cfRule type="cellIs" dxfId="72" priority="7" stopIfTrue="1" operator="greaterThan">
      <formula>0</formula>
    </cfRule>
  </conditionalFormatting>
  <conditionalFormatting sqref="V4:AL26">
    <cfRule type="cellIs" dxfId="68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43A0-2434-4E38-A5C1-E95077B50101}">
  <dimension ref="A1:AL31"/>
  <sheetViews>
    <sheetView topLeftCell="A18" zoomScale="80" zoomScaleNormal="80" workbookViewId="0">
      <selection activeCell="E37" sqref="E37"/>
    </sheetView>
  </sheetViews>
  <sheetFormatPr defaultColWidth="9.7109375" defaultRowHeight="15" x14ac:dyDescent="0.25"/>
  <cols>
    <col min="1" max="1" width="7.140625" style="18" customWidth="1"/>
    <col min="2" max="2" width="12.140625" style="18" customWidth="1"/>
    <col min="3" max="3" width="6" style="14" bestFit="1" customWidth="1"/>
    <col min="4" max="4" width="8.85546875" style="18" customWidth="1"/>
    <col min="5" max="5" width="19" style="18" customWidth="1"/>
    <col min="6" max="6" width="9.28515625" style="18" customWidth="1"/>
    <col min="7" max="7" width="12" style="18" bestFit="1" customWidth="1"/>
    <col min="8" max="8" width="8.85546875" style="18" customWidth="1"/>
    <col min="9" max="9" width="10.140625" style="18" bestFit="1" customWidth="1"/>
    <col min="10" max="10" width="13.42578125" style="19" bestFit="1" customWidth="1"/>
    <col min="11" max="11" width="15.140625" style="4" customWidth="1"/>
    <col min="12" max="12" width="14.7109375" style="4" customWidth="1"/>
    <col min="13" max="13" width="14.5703125" style="4" customWidth="1"/>
    <col min="14" max="18" width="11.5703125" style="4" customWidth="1"/>
    <col min="19" max="19" width="11" style="15" customWidth="1"/>
    <col min="20" max="20" width="10.85546875" style="5" customWidth="1"/>
    <col min="21" max="21" width="13.85546875" style="6" customWidth="1"/>
    <col min="22" max="22" width="15.14062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31.7" customHeight="1" x14ac:dyDescent="0.25">
      <c r="A1" s="172" t="s">
        <v>37</v>
      </c>
      <c r="B1" s="172"/>
      <c r="C1" s="172"/>
      <c r="D1" s="172" t="s">
        <v>36</v>
      </c>
      <c r="E1" s="172"/>
      <c r="F1" s="172"/>
      <c r="G1" s="172"/>
      <c r="H1" s="172"/>
      <c r="I1" s="172"/>
      <c r="J1" s="172"/>
      <c r="K1" s="172" t="s">
        <v>38</v>
      </c>
      <c r="L1" s="172"/>
      <c r="M1" s="172"/>
      <c r="N1" s="172"/>
      <c r="O1" s="172"/>
      <c r="P1" s="172"/>
      <c r="Q1" s="172"/>
      <c r="R1" s="172"/>
      <c r="S1" s="172"/>
      <c r="T1" s="172"/>
      <c r="U1" s="189" t="s">
        <v>181</v>
      </c>
      <c r="V1" s="189" t="s">
        <v>182</v>
      </c>
      <c r="W1" s="189" t="s">
        <v>183</v>
      </c>
      <c r="X1" s="189" t="s">
        <v>184</v>
      </c>
      <c r="Y1" s="189" t="s">
        <v>185</v>
      </c>
      <c r="Z1" s="189" t="s">
        <v>186</v>
      </c>
      <c r="AA1" s="189" t="s">
        <v>187</v>
      </c>
      <c r="AB1" s="171" t="s">
        <v>39</v>
      </c>
      <c r="AC1" s="171" t="s">
        <v>39</v>
      </c>
      <c r="AD1" s="171" t="s">
        <v>39</v>
      </c>
      <c r="AE1" s="171" t="s">
        <v>39</v>
      </c>
      <c r="AF1" s="171" t="s">
        <v>39</v>
      </c>
      <c r="AG1" s="171" t="s">
        <v>39</v>
      </c>
      <c r="AH1" s="171" t="s">
        <v>39</v>
      </c>
      <c r="AI1" s="171" t="s">
        <v>39</v>
      </c>
      <c r="AJ1" s="171" t="s">
        <v>39</v>
      </c>
      <c r="AK1" s="171" t="s">
        <v>39</v>
      </c>
      <c r="AL1" s="171" t="s">
        <v>39</v>
      </c>
    </row>
    <row r="2" spans="1:38" ht="24" customHeight="1" x14ac:dyDescent="0.25">
      <c r="A2" s="177" t="s">
        <v>110</v>
      </c>
      <c r="B2" s="178"/>
      <c r="C2" s="178"/>
      <c r="D2" s="178"/>
      <c r="E2" s="178"/>
      <c r="F2" s="178"/>
      <c r="G2" s="178"/>
      <c r="H2" s="178"/>
      <c r="I2" s="178"/>
      <c r="J2" s="179"/>
      <c r="K2" s="174" t="s">
        <v>116</v>
      </c>
      <c r="L2" s="175"/>
      <c r="M2" s="175"/>
      <c r="N2" s="175"/>
      <c r="O2" s="175"/>
      <c r="P2" s="175"/>
      <c r="Q2" s="175"/>
      <c r="R2" s="175"/>
      <c r="S2" s="175"/>
      <c r="T2" s="176"/>
      <c r="U2" s="190"/>
      <c r="V2" s="190"/>
      <c r="W2" s="190"/>
      <c r="X2" s="190"/>
      <c r="Y2" s="190"/>
      <c r="Z2" s="190"/>
      <c r="AA2" s="190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</row>
    <row r="3" spans="1:38" s="3" customFormat="1" ht="75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4" t="s">
        <v>149</v>
      </c>
      <c r="M3" s="94" t="s">
        <v>150</v>
      </c>
      <c r="N3" s="94" t="s">
        <v>151</v>
      </c>
      <c r="O3" s="94" t="s">
        <v>152</v>
      </c>
      <c r="P3" s="94" t="s">
        <v>153</v>
      </c>
      <c r="Q3" s="94" t="s">
        <v>154</v>
      </c>
      <c r="R3" s="94" t="s">
        <v>155</v>
      </c>
      <c r="S3" s="12" t="s">
        <v>0</v>
      </c>
      <c r="T3" s="10" t="s">
        <v>2</v>
      </c>
      <c r="U3" s="161">
        <v>45475</v>
      </c>
      <c r="V3" s="161">
        <v>45490</v>
      </c>
      <c r="W3" s="161">
        <v>45492</v>
      </c>
      <c r="X3" s="161">
        <v>45517</v>
      </c>
      <c r="Y3" s="161">
        <v>45532</v>
      </c>
      <c r="Z3" s="161">
        <v>45551</v>
      </c>
      <c r="AA3" s="161">
        <v>45582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184">
        <v>1</v>
      </c>
      <c r="B4" s="188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35</f>
        <v>35</v>
      </c>
      <c r="L4" s="144">
        <f>IF(SUM(U4:AL4)&gt;K4,K4,SUM(U4:AL4))</f>
        <v>10</v>
      </c>
      <c r="M4" s="144">
        <f>SUM(U4:AL4)</f>
        <v>10</v>
      </c>
      <c r="N4" s="149"/>
      <c r="O4" s="145">
        <f>ROUND(IF(K4*0.25-0.5&lt;0,0,K4*0.25-0.5),0)-P4-R4</f>
        <v>8</v>
      </c>
      <c r="P4" s="146"/>
      <c r="Q4" s="146"/>
      <c r="R4" s="146"/>
      <c r="S4" s="168">
        <f>K4-(SUM(U4:AL4))+N4</f>
        <v>25</v>
      </c>
      <c r="T4" s="68" t="str">
        <f>IF(S4&lt;0,"ATENÇÃO","OK")</f>
        <v>OK</v>
      </c>
      <c r="U4" s="162"/>
      <c r="V4" s="163">
        <v>10</v>
      </c>
      <c r="W4" s="162"/>
      <c r="X4" s="162"/>
      <c r="Y4" s="162"/>
      <c r="Z4" s="162"/>
      <c r="AA4" s="162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184"/>
      <c r="B5" s="186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0</f>
        <v>0</v>
      </c>
      <c r="L5" s="144">
        <f t="shared" ref="L5:L26" si="0">IF(SUM(U5:AL5)&gt;K5,K5,SUM(U5:AL5))</f>
        <v>0</v>
      </c>
      <c r="M5" s="144">
        <f t="shared" ref="M5:M26" si="1">SUM(U5:AL5)</f>
        <v>0</v>
      </c>
      <c r="N5" s="149"/>
      <c r="O5" s="145">
        <f t="shared" ref="O5:O27" si="2">ROUND(IF(K5*0.25-0.5&lt;0,0,K5*0.25-0.5),0)-P5-R5</f>
        <v>0</v>
      </c>
      <c r="P5" s="146"/>
      <c r="Q5" s="146"/>
      <c r="R5" s="146"/>
      <c r="S5" s="168">
        <f t="shared" ref="S5:S26" si="3">K5-(SUM(U5:AL5))+N5</f>
        <v>0</v>
      </c>
      <c r="T5" s="68" t="str">
        <f t="shared" ref="T5:T26" si="4">IF(S5&lt;0,"ATENÇÃO","OK")</f>
        <v>OK</v>
      </c>
      <c r="U5" s="162"/>
      <c r="V5" s="162"/>
      <c r="W5" s="162"/>
      <c r="X5" s="162"/>
      <c r="Y5" s="162"/>
      <c r="Z5" s="162"/>
      <c r="AA5" s="162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184"/>
      <c r="B6" s="186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20</f>
        <v>20</v>
      </c>
      <c r="L6" s="144">
        <f t="shared" si="0"/>
        <v>5</v>
      </c>
      <c r="M6" s="144">
        <f t="shared" si="1"/>
        <v>5</v>
      </c>
      <c r="N6" s="149"/>
      <c r="O6" s="145">
        <f t="shared" si="2"/>
        <v>5</v>
      </c>
      <c r="P6" s="146"/>
      <c r="Q6" s="146"/>
      <c r="R6" s="146"/>
      <c r="S6" s="168">
        <f t="shared" si="3"/>
        <v>15</v>
      </c>
      <c r="T6" s="68" t="str">
        <f t="shared" si="4"/>
        <v>OK</v>
      </c>
      <c r="U6" s="162"/>
      <c r="V6" s="162"/>
      <c r="W6" s="162"/>
      <c r="X6" s="162"/>
      <c r="Y6" s="163">
        <v>5</v>
      </c>
      <c r="Z6" s="162"/>
      <c r="AA6" s="162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50.1" customHeight="1" x14ac:dyDescent="0.25">
      <c r="A7" s="184"/>
      <c r="B7" s="186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60</f>
        <v>60</v>
      </c>
      <c r="L7" s="144">
        <f t="shared" si="0"/>
        <v>58.75</v>
      </c>
      <c r="M7" s="144">
        <f t="shared" si="1"/>
        <v>58.75</v>
      </c>
      <c r="N7" s="149"/>
      <c r="O7" s="145">
        <f t="shared" si="2"/>
        <v>15</v>
      </c>
      <c r="P7" s="146"/>
      <c r="Q7" s="146"/>
      <c r="R7" s="146"/>
      <c r="S7" s="168">
        <f t="shared" si="3"/>
        <v>1.25</v>
      </c>
      <c r="T7" s="68" t="str">
        <f t="shared" si="4"/>
        <v>OK</v>
      </c>
      <c r="U7" s="162"/>
      <c r="V7" s="163">
        <v>45.48</v>
      </c>
      <c r="W7" s="162"/>
      <c r="X7" s="163">
        <v>13.27</v>
      </c>
      <c r="Y7" s="162"/>
      <c r="Z7" s="162"/>
      <c r="AA7" s="162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184"/>
      <c r="B8" s="187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80</f>
        <v>80</v>
      </c>
      <c r="L8" s="144">
        <f t="shared" si="0"/>
        <v>33</v>
      </c>
      <c r="M8" s="144">
        <f t="shared" si="1"/>
        <v>33</v>
      </c>
      <c r="N8" s="149"/>
      <c r="O8" s="145">
        <f t="shared" si="2"/>
        <v>20</v>
      </c>
      <c r="P8" s="146"/>
      <c r="Q8" s="146"/>
      <c r="R8" s="146"/>
      <c r="S8" s="168">
        <f t="shared" si="3"/>
        <v>47</v>
      </c>
      <c r="T8" s="68" t="str">
        <f t="shared" si="4"/>
        <v>OK</v>
      </c>
      <c r="U8" s="162"/>
      <c r="V8" s="163">
        <v>33</v>
      </c>
      <c r="W8" s="162"/>
      <c r="X8" s="162"/>
      <c r="Y8" s="162"/>
      <c r="Z8" s="162"/>
      <c r="AA8" s="162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80">
        <v>2</v>
      </c>
      <c r="B9" s="181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150</f>
        <v>150</v>
      </c>
      <c r="L9" s="144">
        <f t="shared" si="0"/>
        <v>77</v>
      </c>
      <c r="M9" s="144">
        <f t="shared" si="1"/>
        <v>77</v>
      </c>
      <c r="N9" s="149">
        <v>50</v>
      </c>
      <c r="O9" s="145">
        <f t="shared" si="2"/>
        <v>37</v>
      </c>
      <c r="P9" s="146"/>
      <c r="Q9" s="146"/>
      <c r="R9" s="146"/>
      <c r="S9" s="168">
        <f t="shared" si="3"/>
        <v>123</v>
      </c>
      <c r="T9" s="68" t="str">
        <f t="shared" si="4"/>
        <v>OK</v>
      </c>
      <c r="U9" s="162"/>
      <c r="V9" s="162"/>
      <c r="W9" s="162"/>
      <c r="X9" s="162"/>
      <c r="Y9" s="162"/>
      <c r="Z9" s="163">
        <v>77</v>
      </c>
      <c r="AA9" s="162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80"/>
      <c r="B10" s="182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50</f>
        <v>50</v>
      </c>
      <c r="L10" s="144">
        <f t="shared" si="0"/>
        <v>0</v>
      </c>
      <c r="M10" s="144">
        <f t="shared" si="1"/>
        <v>0</v>
      </c>
      <c r="N10" s="149">
        <v>50</v>
      </c>
      <c r="O10" s="145">
        <f t="shared" si="2"/>
        <v>12</v>
      </c>
      <c r="P10" s="146"/>
      <c r="Q10" s="146"/>
      <c r="R10" s="146"/>
      <c r="S10" s="168">
        <f t="shared" si="3"/>
        <v>100</v>
      </c>
      <c r="T10" s="68" t="str">
        <f t="shared" si="4"/>
        <v>OK</v>
      </c>
      <c r="U10" s="162"/>
      <c r="V10" s="162"/>
      <c r="W10" s="162"/>
      <c r="X10" s="162"/>
      <c r="Y10" s="162"/>
      <c r="Z10" s="162"/>
      <c r="AA10" s="162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80"/>
      <c r="B11" s="182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15</f>
        <v>15</v>
      </c>
      <c r="L11" s="144">
        <f t="shared" si="0"/>
        <v>1</v>
      </c>
      <c r="M11" s="144">
        <f t="shared" si="1"/>
        <v>1</v>
      </c>
      <c r="N11" s="149">
        <v>5</v>
      </c>
      <c r="O11" s="145">
        <f t="shared" si="2"/>
        <v>3</v>
      </c>
      <c r="P11" s="146"/>
      <c r="Q11" s="146"/>
      <c r="R11" s="146"/>
      <c r="S11" s="168">
        <f t="shared" si="3"/>
        <v>19</v>
      </c>
      <c r="T11" s="68" t="str">
        <f t="shared" si="4"/>
        <v>OK</v>
      </c>
      <c r="U11" s="162"/>
      <c r="V11" s="162"/>
      <c r="W11" s="162"/>
      <c r="X11" s="162"/>
      <c r="Y11" s="162"/>
      <c r="Z11" s="163">
        <v>1</v>
      </c>
      <c r="AA11" s="162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80"/>
      <c r="B12" s="182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10</f>
        <v>10</v>
      </c>
      <c r="L12" s="144">
        <f t="shared" si="0"/>
        <v>0</v>
      </c>
      <c r="M12" s="144">
        <f t="shared" si="1"/>
        <v>0</v>
      </c>
      <c r="N12" s="149"/>
      <c r="O12" s="145">
        <f t="shared" si="2"/>
        <v>2</v>
      </c>
      <c r="P12" s="146"/>
      <c r="Q12" s="146"/>
      <c r="R12" s="146"/>
      <c r="S12" s="168">
        <f t="shared" si="3"/>
        <v>10</v>
      </c>
      <c r="T12" s="68" t="str">
        <f t="shared" si="4"/>
        <v>OK</v>
      </c>
      <c r="U12" s="162"/>
      <c r="V12" s="162"/>
      <c r="W12" s="162"/>
      <c r="X12" s="162"/>
      <c r="Y12" s="162"/>
      <c r="Z12" s="162"/>
      <c r="AA12" s="162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80"/>
      <c r="B13" s="182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100</f>
        <v>100</v>
      </c>
      <c r="L13" s="144">
        <f t="shared" si="0"/>
        <v>0</v>
      </c>
      <c r="M13" s="144">
        <f t="shared" si="1"/>
        <v>0</v>
      </c>
      <c r="N13" s="149"/>
      <c r="O13" s="145">
        <f t="shared" si="2"/>
        <v>25</v>
      </c>
      <c r="P13" s="146"/>
      <c r="Q13" s="146"/>
      <c r="R13" s="146"/>
      <c r="S13" s="168">
        <f t="shared" si="3"/>
        <v>100</v>
      </c>
      <c r="T13" s="68" t="str">
        <f t="shared" si="4"/>
        <v>OK</v>
      </c>
      <c r="U13" s="162"/>
      <c r="V13" s="162"/>
      <c r="W13" s="162"/>
      <c r="X13" s="162"/>
      <c r="Y13" s="162"/>
      <c r="Z13" s="162"/>
      <c r="AA13" s="162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80"/>
      <c r="B14" s="183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150</f>
        <v>150</v>
      </c>
      <c r="L14" s="144">
        <f t="shared" si="0"/>
        <v>0</v>
      </c>
      <c r="M14" s="144">
        <f t="shared" si="1"/>
        <v>0</v>
      </c>
      <c r="N14" s="149"/>
      <c r="O14" s="145">
        <f t="shared" si="2"/>
        <v>37</v>
      </c>
      <c r="P14" s="146"/>
      <c r="Q14" s="146"/>
      <c r="R14" s="146"/>
      <c r="S14" s="168">
        <f t="shared" si="3"/>
        <v>150</v>
      </c>
      <c r="T14" s="68" t="str">
        <f t="shared" si="4"/>
        <v>OK</v>
      </c>
      <c r="U14" s="162"/>
      <c r="V14" s="162"/>
      <c r="W14" s="162"/>
      <c r="X14" s="162"/>
      <c r="Y14" s="162"/>
      <c r="Z14" s="162"/>
      <c r="AA14" s="162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50</f>
        <v>50</v>
      </c>
      <c r="L15" s="144">
        <f t="shared" si="0"/>
        <v>43</v>
      </c>
      <c r="M15" s="144">
        <f t="shared" si="1"/>
        <v>43</v>
      </c>
      <c r="N15" s="149"/>
      <c r="O15" s="145">
        <f t="shared" si="2"/>
        <v>12</v>
      </c>
      <c r="P15" s="146"/>
      <c r="Q15" s="146"/>
      <c r="R15" s="146"/>
      <c r="S15" s="168">
        <f t="shared" si="3"/>
        <v>7</v>
      </c>
      <c r="T15" s="68" t="str">
        <f t="shared" si="4"/>
        <v>OK</v>
      </c>
      <c r="U15" s="163">
        <v>20</v>
      </c>
      <c r="V15" s="162"/>
      <c r="W15" s="163">
        <v>23</v>
      </c>
      <c r="X15" s="162"/>
      <c r="Y15" s="162"/>
      <c r="Z15" s="162"/>
      <c r="AA15" s="162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65.25" customHeight="1" x14ac:dyDescent="0.25">
      <c r="A16" s="180">
        <v>4</v>
      </c>
      <c r="B16" s="181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180</f>
        <v>180</v>
      </c>
      <c r="L16" s="144">
        <f t="shared" si="0"/>
        <v>16</v>
      </c>
      <c r="M16" s="144">
        <f t="shared" si="1"/>
        <v>16</v>
      </c>
      <c r="N16" s="149"/>
      <c r="O16" s="145">
        <f t="shared" si="2"/>
        <v>45</v>
      </c>
      <c r="P16" s="146"/>
      <c r="Q16" s="146"/>
      <c r="R16" s="146"/>
      <c r="S16" s="168">
        <f t="shared" si="3"/>
        <v>164</v>
      </c>
      <c r="T16" s="68" t="str">
        <f t="shared" si="4"/>
        <v>OK</v>
      </c>
      <c r="U16" s="162"/>
      <c r="V16" s="162"/>
      <c r="W16" s="162"/>
      <c r="X16" s="162"/>
      <c r="Y16" s="162"/>
      <c r="Z16" s="162"/>
      <c r="AA16" s="163">
        <v>16</v>
      </c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80"/>
      <c r="B17" s="182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70</f>
        <v>70</v>
      </c>
      <c r="L17" s="144">
        <f t="shared" si="0"/>
        <v>0</v>
      </c>
      <c r="M17" s="144">
        <f t="shared" si="1"/>
        <v>0</v>
      </c>
      <c r="N17" s="149"/>
      <c r="O17" s="145">
        <f t="shared" si="2"/>
        <v>17</v>
      </c>
      <c r="P17" s="146"/>
      <c r="Q17" s="146"/>
      <c r="R17" s="146"/>
      <c r="S17" s="168">
        <f t="shared" si="3"/>
        <v>70</v>
      </c>
      <c r="T17" s="68" t="str">
        <f t="shared" si="4"/>
        <v>OK</v>
      </c>
      <c r="U17" s="162"/>
      <c r="V17" s="162"/>
      <c r="W17" s="162"/>
      <c r="X17" s="162"/>
      <c r="Y17" s="162"/>
      <c r="Z17" s="162"/>
      <c r="AA17" s="162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80"/>
      <c r="B18" s="182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40</f>
        <v>40</v>
      </c>
      <c r="L18" s="144">
        <f t="shared" si="0"/>
        <v>0</v>
      </c>
      <c r="M18" s="144">
        <f t="shared" si="1"/>
        <v>0</v>
      </c>
      <c r="N18" s="149"/>
      <c r="O18" s="145">
        <f t="shared" si="2"/>
        <v>10</v>
      </c>
      <c r="P18" s="146"/>
      <c r="Q18" s="146"/>
      <c r="R18" s="146"/>
      <c r="S18" s="168">
        <f t="shared" si="3"/>
        <v>40</v>
      </c>
      <c r="T18" s="68" t="str">
        <f t="shared" si="4"/>
        <v>OK</v>
      </c>
      <c r="U18" s="162"/>
      <c r="V18" s="162"/>
      <c r="W18" s="162"/>
      <c r="X18" s="162"/>
      <c r="Y18" s="162"/>
      <c r="Z18" s="162"/>
      <c r="AA18" s="162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80"/>
      <c r="B19" s="183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40</f>
        <v>40</v>
      </c>
      <c r="L19" s="144">
        <f t="shared" si="0"/>
        <v>0</v>
      </c>
      <c r="M19" s="144">
        <f t="shared" si="1"/>
        <v>0</v>
      </c>
      <c r="N19" s="149"/>
      <c r="O19" s="145">
        <f t="shared" si="2"/>
        <v>10</v>
      </c>
      <c r="P19" s="146"/>
      <c r="Q19" s="146"/>
      <c r="R19" s="146"/>
      <c r="S19" s="168">
        <f t="shared" si="3"/>
        <v>40</v>
      </c>
      <c r="T19" s="68" t="str">
        <f t="shared" si="4"/>
        <v>OK</v>
      </c>
      <c r="U19" s="162"/>
      <c r="V19" s="162"/>
      <c r="W19" s="162"/>
      <c r="X19" s="162"/>
      <c r="Y19" s="162"/>
      <c r="Z19" s="162"/>
      <c r="AA19" s="162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0</f>
        <v>0</v>
      </c>
      <c r="L20" s="144">
        <f t="shared" si="0"/>
        <v>0</v>
      </c>
      <c r="M20" s="144">
        <f t="shared" si="1"/>
        <v>0</v>
      </c>
      <c r="N20" s="149"/>
      <c r="O20" s="145">
        <f t="shared" si="2"/>
        <v>0</v>
      </c>
      <c r="P20" s="146"/>
      <c r="Q20" s="146"/>
      <c r="R20" s="146"/>
      <c r="S20" s="168">
        <f t="shared" si="3"/>
        <v>0</v>
      </c>
      <c r="T20" s="68" t="str">
        <f t="shared" si="4"/>
        <v>OK</v>
      </c>
      <c r="U20" s="162"/>
      <c r="V20" s="162"/>
      <c r="W20" s="162"/>
      <c r="X20" s="162"/>
      <c r="Y20" s="162"/>
      <c r="Z20" s="162"/>
      <c r="AA20" s="162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0</f>
        <v>0</v>
      </c>
      <c r="L21" s="144">
        <f t="shared" si="0"/>
        <v>0</v>
      </c>
      <c r="M21" s="144">
        <f t="shared" si="1"/>
        <v>0</v>
      </c>
      <c r="N21" s="149"/>
      <c r="O21" s="145">
        <f t="shared" si="2"/>
        <v>0</v>
      </c>
      <c r="P21" s="146"/>
      <c r="Q21" s="146"/>
      <c r="R21" s="146"/>
      <c r="S21" s="168">
        <f t="shared" si="3"/>
        <v>0</v>
      </c>
      <c r="T21" s="68" t="str">
        <f t="shared" si="4"/>
        <v>OK</v>
      </c>
      <c r="U21" s="162"/>
      <c r="V21" s="162"/>
      <c r="W21" s="162"/>
      <c r="X21" s="162"/>
      <c r="Y21" s="162"/>
      <c r="Z21" s="162"/>
      <c r="AA21" s="162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0</f>
        <v>0</v>
      </c>
      <c r="L22" s="144">
        <f t="shared" si="0"/>
        <v>0</v>
      </c>
      <c r="M22" s="144">
        <f t="shared" si="1"/>
        <v>0</v>
      </c>
      <c r="N22" s="149"/>
      <c r="O22" s="145">
        <f t="shared" si="2"/>
        <v>0</v>
      </c>
      <c r="P22" s="146"/>
      <c r="Q22" s="146"/>
      <c r="R22" s="146"/>
      <c r="S22" s="168">
        <f t="shared" si="3"/>
        <v>0</v>
      </c>
      <c r="T22" s="68" t="str">
        <f t="shared" si="4"/>
        <v>OK</v>
      </c>
      <c r="U22" s="162"/>
      <c r="V22" s="162"/>
      <c r="W22" s="162"/>
      <c r="X22" s="162"/>
      <c r="Y22" s="162"/>
      <c r="Z22" s="162"/>
      <c r="AA22" s="162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0</f>
        <v>0</v>
      </c>
      <c r="L23" s="144">
        <f t="shared" si="0"/>
        <v>0</v>
      </c>
      <c r="M23" s="144">
        <f t="shared" si="1"/>
        <v>0</v>
      </c>
      <c r="N23" s="149"/>
      <c r="O23" s="145">
        <f t="shared" si="2"/>
        <v>0</v>
      </c>
      <c r="P23" s="146"/>
      <c r="Q23" s="146"/>
      <c r="R23" s="146"/>
      <c r="S23" s="168">
        <f t="shared" si="3"/>
        <v>0</v>
      </c>
      <c r="T23" s="68" t="str">
        <f t="shared" si="4"/>
        <v>OK</v>
      </c>
      <c r="U23" s="162"/>
      <c r="V23" s="162"/>
      <c r="W23" s="162"/>
      <c r="X23" s="162"/>
      <c r="Y23" s="162"/>
      <c r="Z23" s="162"/>
      <c r="AA23" s="162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0</f>
        <v>0</v>
      </c>
      <c r="L24" s="144">
        <f t="shared" si="0"/>
        <v>0</v>
      </c>
      <c r="M24" s="144">
        <f t="shared" si="1"/>
        <v>0</v>
      </c>
      <c r="N24" s="149"/>
      <c r="O24" s="145">
        <f t="shared" si="2"/>
        <v>0</v>
      </c>
      <c r="P24" s="146"/>
      <c r="Q24" s="146"/>
      <c r="R24" s="146"/>
      <c r="S24" s="168">
        <f t="shared" si="3"/>
        <v>0</v>
      </c>
      <c r="T24" s="68" t="str">
        <f t="shared" si="4"/>
        <v>OK</v>
      </c>
      <c r="U24" s="162"/>
      <c r="V24" s="162"/>
      <c r="W24" s="162"/>
      <c r="X24" s="162"/>
      <c r="Y24" s="162"/>
      <c r="Z24" s="162"/>
      <c r="AA24" s="162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0</f>
        <v>0</v>
      </c>
      <c r="L25" s="147">
        <f t="shared" si="0"/>
        <v>0</v>
      </c>
      <c r="M25" s="147">
        <f t="shared" si="1"/>
        <v>0</v>
      </c>
      <c r="N25" s="149"/>
      <c r="O25" s="145">
        <f t="shared" si="2"/>
        <v>0</v>
      </c>
      <c r="P25" s="146"/>
      <c r="Q25" s="146"/>
      <c r="R25" s="146"/>
      <c r="S25" s="168">
        <f t="shared" si="3"/>
        <v>0</v>
      </c>
      <c r="T25" s="68" t="str">
        <f t="shared" si="4"/>
        <v>OK</v>
      </c>
      <c r="U25" s="162"/>
      <c r="V25" s="162"/>
      <c r="W25" s="162"/>
      <c r="X25" s="162"/>
      <c r="Y25" s="162"/>
      <c r="Z25" s="162"/>
      <c r="AA25" s="162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93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0</f>
        <v>0</v>
      </c>
      <c r="L26" s="144">
        <f t="shared" si="0"/>
        <v>0</v>
      </c>
      <c r="M26" s="144">
        <f t="shared" si="1"/>
        <v>0</v>
      </c>
      <c r="N26" s="149"/>
      <c r="O26" s="145">
        <f t="shared" si="2"/>
        <v>0</v>
      </c>
      <c r="P26" s="146"/>
      <c r="Q26" s="146"/>
      <c r="R26" s="146"/>
      <c r="S26" s="168">
        <f t="shared" si="3"/>
        <v>0</v>
      </c>
      <c r="T26" s="68" t="str">
        <f t="shared" si="4"/>
        <v>OK</v>
      </c>
      <c r="U26" s="162"/>
      <c r="V26" s="162"/>
      <c r="W26" s="162"/>
      <c r="X26" s="162"/>
      <c r="Y26" s="162"/>
      <c r="Z26" s="162"/>
      <c r="AA26" s="162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4">
        <f>SUM(K4:K26)</f>
        <v>1050</v>
      </c>
      <c r="O27" s="4">
        <f t="shared" si="2"/>
        <v>262</v>
      </c>
      <c r="S27" s="169">
        <f>SUM(S4:S26)</f>
        <v>911.25</v>
      </c>
      <c r="U27" s="26">
        <f>SUMPRODUCT($J$4:$J$26,U4:U26)</f>
        <v>1003</v>
      </c>
      <c r="V27" s="26">
        <f t="shared" ref="V27:AA27" si="5">SUMPRODUCT($J$4:$J$26,V4:V26)</f>
        <v>10865.941599999998</v>
      </c>
      <c r="W27" s="26">
        <f t="shared" si="5"/>
        <v>1153.45</v>
      </c>
      <c r="X27" s="26">
        <f t="shared" si="5"/>
        <v>1800.3408999999997</v>
      </c>
      <c r="Y27" s="26">
        <f t="shared" si="5"/>
        <v>354.09999999999997</v>
      </c>
      <c r="Z27" s="26">
        <f t="shared" si="5"/>
        <v>10390</v>
      </c>
      <c r="AA27" s="26">
        <f t="shared" si="5"/>
        <v>1440</v>
      </c>
      <c r="AB27" s="26">
        <f>SUMPRODUCT($J$4:$J$26,AB4:AB26)</f>
        <v>0</v>
      </c>
      <c r="AC27" s="26">
        <f t="shared" ref="U27:AL27" si="6">SUMPRODUCT($J$4:$J$26,AC4:AC26)</f>
        <v>0</v>
      </c>
      <c r="AD27" s="26">
        <f t="shared" si="6"/>
        <v>0</v>
      </c>
      <c r="AE27" s="26">
        <f t="shared" si="6"/>
        <v>0</v>
      </c>
      <c r="AF27" s="26">
        <f t="shared" si="6"/>
        <v>0</v>
      </c>
      <c r="AG27" s="26">
        <f t="shared" si="6"/>
        <v>0</v>
      </c>
      <c r="AH27" s="26">
        <f t="shared" si="6"/>
        <v>0</v>
      </c>
      <c r="AI27" s="26">
        <f t="shared" si="6"/>
        <v>0</v>
      </c>
      <c r="AJ27" s="26">
        <f t="shared" si="6"/>
        <v>0</v>
      </c>
      <c r="AK27" s="26">
        <f t="shared" si="6"/>
        <v>0</v>
      </c>
      <c r="AL27" s="26">
        <f t="shared" si="6"/>
        <v>0</v>
      </c>
    </row>
    <row r="28" spans="1:38" x14ac:dyDescent="0.25">
      <c r="D28" s="215" t="s">
        <v>43</v>
      </c>
      <c r="K28" s="150">
        <f>SUMPRODUCT($J$4:$J$26,K4:K26)</f>
        <v>106109.4</v>
      </c>
      <c r="L28" s="150">
        <f>SUMPRODUCT($J$4:$J$26,L4:L26)</f>
        <v>27006.8325</v>
      </c>
      <c r="M28" s="150">
        <f>SUMPRODUCT($J$4:$J$26,M4:M26)</f>
        <v>27006.8325</v>
      </c>
      <c r="U28" s="164"/>
      <c r="V28" s="164"/>
      <c r="W28" s="164"/>
      <c r="X28" s="164"/>
      <c r="Y28" s="164"/>
      <c r="Z28" s="164"/>
      <c r="AA28" s="164"/>
    </row>
    <row r="29" spans="1:38" ht="30" x14ac:dyDescent="0.25">
      <c r="D29" s="216" t="s">
        <v>44</v>
      </c>
      <c r="U29" s="164"/>
      <c r="V29" s="164"/>
      <c r="W29" s="164"/>
      <c r="X29" s="164"/>
      <c r="Y29" s="164"/>
      <c r="Z29" s="164"/>
      <c r="AA29" s="164"/>
    </row>
    <row r="30" spans="1:38" ht="15" customHeight="1" x14ac:dyDescent="0.25">
      <c r="D30" s="217" t="s">
        <v>106</v>
      </c>
      <c r="U30" s="164"/>
      <c r="V30" s="164"/>
      <c r="W30" s="164"/>
      <c r="X30" s="164"/>
      <c r="Y30" s="164"/>
      <c r="Z30" s="164"/>
      <c r="AA30" s="164"/>
    </row>
    <row r="31" spans="1:38" ht="15.75" customHeight="1" thickBot="1" x14ac:dyDescent="0.3">
      <c r="D31" s="218" t="s">
        <v>105</v>
      </c>
      <c r="U31" s="164"/>
      <c r="V31" s="164"/>
      <c r="W31" s="164"/>
      <c r="X31" s="164"/>
      <c r="Y31" s="164"/>
      <c r="Z31" s="164"/>
      <c r="AA31" s="164"/>
    </row>
  </sheetData>
  <mergeCells count="29"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</mergeCells>
  <conditionalFormatting sqref="AE4:AL26 AB5:AD26">
    <cfRule type="cellIs" dxfId="67" priority="8" stopIfTrue="1" operator="greaterThan">
      <formula>0</formula>
    </cfRule>
    <cfRule type="cellIs" dxfId="66" priority="9" stopIfTrue="1" operator="greaterThan">
      <formula>0</formula>
    </cfRule>
    <cfRule type="cellIs" dxfId="65" priority="10" stopIfTrue="1" operator="greaterThan">
      <formula>0</formula>
    </cfRule>
  </conditionalFormatting>
  <conditionalFormatting sqref="AB4:AD4">
    <cfRule type="cellIs" dxfId="64" priority="5" stopIfTrue="1" operator="greaterThan">
      <formula>0</formula>
    </cfRule>
    <cfRule type="cellIs" dxfId="63" priority="6" stopIfTrue="1" operator="greaterThan">
      <formula>0</formula>
    </cfRule>
    <cfRule type="cellIs" dxfId="62" priority="7" stopIfTrue="1" operator="greaterThan">
      <formula>0</formula>
    </cfRule>
  </conditionalFormatting>
  <conditionalFormatting sqref="AB4:AL26">
    <cfRule type="cellIs" dxfId="6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B807-D42C-40DC-876B-D6E8D4D4B60B}">
  <dimension ref="A1:AL31"/>
  <sheetViews>
    <sheetView topLeftCell="A21" zoomScale="80" zoomScaleNormal="80" workbookViewId="0">
      <selection activeCell="W31" sqref="W31"/>
    </sheetView>
  </sheetViews>
  <sheetFormatPr defaultColWidth="9.7109375" defaultRowHeight="15" x14ac:dyDescent="0.25"/>
  <cols>
    <col min="1" max="1" width="7.140625" style="18" customWidth="1"/>
    <col min="2" max="2" width="15.140625" style="18" customWidth="1"/>
    <col min="3" max="3" width="6" style="14" bestFit="1" customWidth="1"/>
    <col min="4" max="4" width="18.7109375" style="18" customWidth="1"/>
    <col min="5" max="5" width="19" style="18" customWidth="1"/>
    <col min="6" max="6" width="9.28515625" style="18" customWidth="1"/>
    <col min="7" max="7" width="12" style="18" bestFit="1" customWidth="1"/>
    <col min="8" max="8" width="8.85546875" style="18" customWidth="1"/>
    <col min="9" max="9" width="10.140625" style="18" bestFit="1" customWidth="1"/>
    <col min="10" max="10" width="13.42578125" style="19" bestFit="1" customWidth="1"/>
    <col min="11" max="11" width="12.7109375" style="4" bestFit="1" customWidth="1"/>
    <col min="12" max="18" width="11.5703125" style="4" customWidth="1"/>
    <col min="19" max="19" width="11" style="15" customWidth="1"/>
    <col min="20" max="20" width="10.85546875" style="5" customWidth="1"/>
    <col min="21" max="21" width="13.85546875" style="6" customWidth="1"/>
    <col min="22" max="22" width="12.710937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31.7" customHeight="1" x14ac:dyDescent="0.25">
      <c r="A1" s="172" t="s">
        <v>37</v>
      </c>
      <c r="B1" s="172"/>
      <c r="C1" s="172"/>
      <c r="D1" s="172" t="s">
        <v>36</v>
      </c>
      <c r="E1" s="172"/>
      <c r="F1" s="172"/>
      <c r="G1" s="172"/>
      <c r="H1" s="172"/>
      <c r="I1" s="172"/>
      <c r="J1" s="172"/>
      <c r="K1" s="172" t="s">
        <v>38</v>
      </c>
      <c r="L1" s="172"/>
      <c r="M1" s="172"/>
      <c r="N1" s="172"/>
      <c r="O1" s="172"/>
      <c r="P1" s="172"/>
      <c r="Q1" s="172"/>
      <c r="R1" s="172"/>
      <c r="S1" s="172"/>
      <c r="T1" s="172"/>
      <c r="U1" s="189" t="s">
        <v>190</v>
      </c>
      <c r="V1" s="189" t="s">
        <v>191</v>
      </c>
      <c r="W1" s="189" t="s">
        <v>192</v>
      </c>
      <c r="X1" s="171" t="s">
        <v>39</v>
      </c>
      <c r="Y1" s="171" t="s">
        <v>39</v>
      </c>
      <c r="Z1" s="171" t="s">
        <v>39</v>
      </c>
      <c r="AA1" s="171" t="s">
        <v>39</v>
      </c>
      <c r="AB1" s="171" t="s">
        <v>39</v>
      </c>
      <c r="AC1" s="171" t="s">
        <v>39</v>
      </c>
      <c r="AD1" s="171" t="s">
        <v>39</v>
      </c>
      <c r="AE1" s="171" t="s">
        <v>39</v>
      </c>
      <c r="AF1" s="171" t="s">
        <v>39</v>
      </c>
      <c r="AG1" s="171" t="s">
        <v>39</v>
      </c>
      <c r="AH1" s="171" t="s">
        <v>39</v>
      </c>
      <c r="AI1" s="171" t="s">
        <v>39</v>
      </c>
      <c r="AJ1" s="171" t="s">
        <v>39</v>
      </c>
      <c r="AK1" s="171" t="s">
        <v>39</v>
      </c>
      <c r="AL1" s="171" t="s">
        <v>39</v>
      </c>
    </row>
    <row r="2" spans="1:38" ht="24" customHeight="1" x14ac:dyDescent="0.25">
      <c r="A2" s="177" t="s">
        <v>111</v>
      </c>
      <c r="B2" s="178"/>
      <c r="C2" s="178"/>
      <c r="D2" s="178"/>
      <c r="E2" s="178"/>
      <c r="F2" s="178"/>
      <c r="G2" s="178"/>
      <c r="H2" s="178"/>
      <c r="I2" s="178"/>
      <c r="J2" s="179"/>
      <c r="K2" s="174" t="s">
        <v>116</v>
      </c>
      <c r="L2" s="175"/>
      <c r="M2" s="175"/>
      <c r="N2" s="175"/>
      <c r="O2" s="175"/>
      <c r="P2" s="175"/>
      <c r="Q2" s="175"/>
      <c r="R2" s="175"/>
      <c r="S2" s="175"/>
      <c r="T2" s="176"/>
      <c r="U2" s="190"/>
      <c r="V2" s="190"/>
      <c r="W2" s="190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</row>
    <row r="3" spans="1:38" s="3" customFormat="1" ht="75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4" t="s">
        <v>149</v>
      </c>
      <c r="M3" s="94" t="s">
        <v>150</v>
      </c>
      <c r="N3" s="94" t="s">
        <v>151</v>
      </c>
      <c r="O3" s="94" t="s">
        <v>152</v>
      </c>
      <c r="P3" s="94" t="s">
        <v>153</v>
      </c>
      <c r="Q3" s="94" t="s">
        <v>154</v>
      </c>
      <c r="R3" s="94" t="s">
        <v>155</v>
      </c>
      <c r="S3" s="12" t="s">
        <v>0</v>
      </c>
      <c r="T3" s="10" t="s">
        <v>2</v>
      </c>
      <c r="U3" s="219" t="s">
        <v>1</v>
      </c>
      <c r="V3" s="219" t="s">
        <v>1</v>
      </c>
      <c r="W3" s="219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184">
        <v>1</v>
      </c>
      <c r="B4" s="188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0</f>
        <v>0</v>
      </c>
      <c r="L4" s="144">
        <f>IF(SUM(U4:AL4)&gt;K4,K4,SUM(U4:AL4))</f>
        <v>0</v>
      </c>
      <c r="M4" s="144">
        <f>SUM(U4:AL4)</f>
        <v>0</v>
      </c>
      <c r="N4" s="149"/>
      <c r="O4" s="145">
        <f>ROUND(IF(K4*0.25-0.5&lt;0,0,K4*0.25-0.5),0)-P4-R4</f>
        <v>0</v>
      </c>
      <c r="P4" s="146"/>
      <c r="Q4" s="146"/>
      <c r="R4" s="146"/>
      <c r="S4" s="168">
        <f>K4-(SUM(U4:AL4))+N4</f>
        <v>0</v>
      </c>
      <c r="T4" s="68" t="str">
        <f>IF(S4&lt;0,"ATENÇÃO","OK")</f>
        <v>OK</v>
      </c>
      <c r="U4" s="162"/>
      <c r="V4" s="162"/>
      <c r="W4" s="162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184"/>
      <c r="B5" s="186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0</f>
        <v>0</v>
      </c>
      <c r="L5" s="144">
        <f t="shared" ref="L5:L26" si="0">IF(SUM(U5:AL5)&gt;K5,K5,SUM(U5:AL5))</f>
        <v>0</v>
      </c>
      <c r="M5" s="144">
        <f t="shared" ref="M5:M26" si="1">SUM(U5:AL5)</f>
        <v>0</v>
      </c>
      <c r="N5" s="149"/>
      <c r="O5" s="145">
        <f t="shared" ref="O5:O27" si="2">ROUND(IF(K5*0.25-0.5&lt;0,0,K5*0.25-0.5),0)-P5-R5</f>
        <v>0</v>
      </c>
      <c r="P5" s="146"/>
      <c r="Q5" s="146"/>
      <c r="R5" s="146"/>
      <c r="S5" s="168">
        <f t="shared" ref="S5:S26" si="3">K5-(SUM(U5:AL5))+N5</f>
        <v>0</v>
      </c>
      <c r="T5" s="68" t="str">
        <f t="shared" ref="T5:T27" si="4">IF(S5&lt;0,"ATENÇÃO","OK")</f>
        <v>OK</v>
      </c>
      <c r="U5" s="162"/>
      <c r="V5" s="162"/>
      <c r="W5" s="162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184"/>
      <c r="B6" s="186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0</f>
        <v>0</v>
      </c>
      <c r="L6" s="144">
        <f t="shared" si="0"/>
        <v>0</v>
      </c>
      <c r="M6" s="144">
        <f t="shared" si="1"/>
        <v>0</v>
      </c>
      <c r="N6" s="149"/>
      <c r="O6" s="145">
        <f t="shared" si="2"/>
        <v>0</v>
      </c>
      <c r="P6" s="146"/>
      <c r="Q6" s="146"/>
      <c r="R6" s="146"/>
      <c r="S6" s="168">
        <f t="shared" si="3"/>
        <v>0</v>
      </c>
      <c r="T6" s="68" t="str">
        <f t="shared" si="4"/>
        <v>OK</v>
      </c>
      <c r="U6" s="162"/>
      <c r="V6" s="162"/>
      <c r="W6" s="162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50.1" customHeight="1" x14ac:dyDescent="0.25">
      <c r="A7" s="184"/>
      <c r="B7" s="186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20</f>
        <v>20</v>
      </c>
      <c r="L7" s="144">
        <f t="shared" si="0"/>
        <v>0</v>
      </c>
      <c r="M7" s="144">
        <f t="shared" si="1"/>
        <v>0</v>
      </c>
      <c r="N7" s="149"/>
      <c r="O7" s="145">
        <f t="shared" si="2"/>
        <v>5</v>
      </c>
      <c r="P7" s="146"/>
      <c r="Q7" s="146"/>
      <c r="R7" s="146"/>
      <c r="S7" s="168">
        <f t="shared" si="3"/>
        <v>20</v>
      </c>
      <c r="T7" s="68" t="str">
        <f t="shared" si="4"/>
        <v>OK</v>
      </c>
      <c r="U7" s="162"/>
      <c r="V7" s="162"/>
      <c r="W7" s="162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184"/>
      <c r="B8" s="187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0</f>
        <v>0</v>
      </c>
      <c r="L8" s="144">
        <f t="shared" si="0"/>
        <v>0</v>
      </c>
      <c r="M8" s="144">
        <f t="shared" si="1"/>
        <v>0</v>
      </c>
      <c r="N8" s="149"/>
      <c r="O8" s="145">
        <f t="shared" si="2"/>
        <v>0</v>
      </c>
      <c r="P8" s="146"/>
      <c r="Q8" s="146"/>
      <c r="R8" s="146"/>
      <c r="S8" s="168">
        <f t="shared" si="3"/>
        <v>0</v>
      </c>
      <c r="T8" s="68" t="str">
        <f t="shared" si="4"/>
        <v>OK</v>
      </c>
      <c r="U8" s="162"/>
      <c r="V8" s="162"/>
      <c r="W8" s="162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80">
        <v>2</v>
      </c>
      <c r="B9" s="181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0</f>
        <v>0</v>
      </c>
      <c r="L9" s="144">
        <f t="shared" si="0"/>
        <v>0</v>
      </c>
      <c r="M9" s="144">
        <f t="shared" si="1"/>
        <v>0</v>
      </c>
      <c r="N9" s="149"/>
      <c r="O9" s="145">
        <f t="shared" si="2"/>
        <v>0</v>
      </c>
      <c r="P9" s="146"/>
      <c r="Q9" s="146"/>
      <c r="R9" s="146"/>
      <c r="S9" s="168">
        <f t="shared" si="3"/>
        <v>0</v>
      </c>
      <c r="T9" s="68" t="str">
        <f t="shared" si="4"/>
        <v>OK</v>
      </c>
      <c r="U9" s="162"/>
      <c r="V9" s="162"/>
      <c r="W9" s="162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80"/>
      <c r="B10" s="182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0</f>
        <v>0</v>
      </c>
      <c r="L10" s="144">
        <f t="shared" si="0"/>
        <v>0</v>
      </c>
      <c r="M10" s="144">
        <f t="shared" si="1"/>
        <v>0</v>
      </c>
      <c r="N10" s="149"/>
      <c r="O10" s="145">
        <f t="shared" si="2"/>
        <v>0</v>
      </c>
      <c r="P10" s="146"/>
      <c r="Q10" s="146"/>
      <c r="R10" s="146"/>
      <c r="S10" s="168">
        <f t="shared" si="3"/>
        <v>0</v>
      </c>
      <c r="T10" s="68" t="str">
        <f t="shared" si="4"/>
        <v>OK</v>
      </c>
      <c r="U10" s="162"/>
      <c r="V10" s="162"/>
      <c r="W10" s="162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80"/>
      <c r="B11" s="182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0</f>
        <v>0</v>
      </c>
      <c r="L11" s="144">
        <f t="shared" si="0"/>
        <v>0</v>
      </c>
      <c r="M11" s="144">
        <f t="shared" si="1"/>
        <v>0</v>
      </c>
      <c r="N11" s="149"/>
      <c r="O11" s="145">
        <f t="shared" si="2"/>
        <v>0</v>
      </c>
      <c r="P11" s="146"/>
      <c r="Q11" s="146"/>
      <c r="R11" s="146"/>
      <c r="S11" s="168">
        <f t="shared" si="3"/>
        <v>0</v>
      </c>
      <c r="T11" s="68" t="str">
        <f t="shared" si="4"/>
        <v>OK</v>
      </c>
      <c r="U11" s="162"/>
      <c r="V11" s="162"/>
      <c r="W11" s="162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80"/>
      <c r="B12" s="182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0</f>
        <v>0</v>
      </c>
      <c r="L12" s="144">
        <f t="shared" si="0"/>
        <v>0</v>
      </c>
      <c r="M12" s="144">
        <f t="shared" si="1"/>
        <v>0</v>
      </c>
      <c r="N12" s="149"/>
      <c r="O12" s="145">
        <f t="shared" si="2"/>
        <v>0</v>
      </c>
      <c r="P12" s="146"/>
      <c r="Q12" s="146"/>
      <c r="R12" s="146"/>
      <c r="S12" s="168">
        <f t="shared" si="3"/>
        <v>0</v>
      </c>
      <c r="T12" s="68" t="str">
        <f t="shared" si="4"/>
        <v>OK</v>
      </c>
      <c r="U12" s="162"/>
      <c r="V12" s="162"/>
      <c r="W12" s="162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80"/>
      <c r="B13" s="182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0</f>
        <v>0</v>
      </c>
      <c r="L13" s="144">
        <f t="shared" si="0"/>
        <v>0</v>
      </c>
      <c r="M13" s="144">
        <f t="shared" si="1"/>
        <v>0</v>
      </c>
      <c r="N13" s="149"/>
      <c r="O13" s="145">
        <f t="shared" si="2"/>
        <v>0</v>
      </c>
      <c r="P13" s="146"/>
      <c r="Q13" s="146"/>
      <c r="R13" s="146"/>
      <c r="S13" s="168">
        <f t="shared" si="3"/>
        <v>0</v>
      </c>
      <c r="T13" s="68" t="str">
        <f t="shared" si="4"/>
        <v>OK</v>
      </c>
      <c r="U13" s="162"/>
      <c r="V13" s="162"/>
      <c r="W13" s="162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80"/>
      <c r="B14" s="183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0</f>
        <v>0</v>
      </c>
      <c r="L14" s="144">
        <f t="shared" si="0"/>
        <v>0</v>
      </c>
      <c r="M14" s="144">
        <f t="shared" si="1"/>
        <v>0</v>
      </c>
      <c r="N14" s="149"/>
      <c r="O14" s="145">
        <f t="shared" si="2"/>
        <v>0</v>
      </c>
      <c r="P14" s="146"/>
      <c r="Q14" s="146"/>
      <c r="R14" s="146"/>
      <c r="S14" s="168">
        <f t="shared" si="3"/>
        <v>0</v>
      </c>
      <c r="T14" s="68" t="str">
        <f t="shared" si="4"/>
        <v>OK</v>
      </c>
      <c r="U14" s="162"/>
      <c r="V14" s="162"/>
      <c r="W14" s="162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596</f>
        <v>596</v>
      </c>
      <c r="L15" s="144">
        <f t="shared" si="0"/>
        <v>596</v>
      </c>
      <c r="M15" s="144">
        <f t="shared" si="1"/>
        <v>596</v>
      </c>
      <c r="N15" s="149"/>
      <c r="O15" s="145">
        <f t="shared" si="2"/>
        <v>149</v>
      </c>
      <c r="P15" s="146"/>
      <c r="Q15" s="146"/>
      <c r="R15" s="146"/>
      <c r="S15" s="168">
        <f t="shared" si="3"/>
        <v>0</v>
      </c>
      <c r="T15" s="68" t="str">
        <f t="shared" si="4"/>
        <v>OK</v>
      </c>
      <c r="U15" s="162"/>
      <c r="V15" s="162"/>
      <c r="W15" s="163">
        <v>596</v>
      </c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65.25" customHeight="1" x14ac:dyDescent="0.25">
      <c r="A16" s="180">
        <v>4</v>
      </c>
      <c r="B16" s="181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130</f>
        <v>130</v>
      </c>
      <c r="L16" s="144">
        <f t="shared" si="0"/>
        <v>7.34</v>
      </c>
      <c r="M16" s="144">
        <f t="shared" si="1"/>
        <v>7.34</v>
      </c>
      <c r="N16" s="149"/>
      <c r="O16" s="145">
        <f t="shared" si="2"/>
        <v>32</v>
      </c>
      <c r="P16" s="146"/>
      <c r="Q16" s="146"/>
      <c r="R16" s="146"/>
      <c r="S16" s="168">
        <f t="shared" si="3"/>
        <v>122.66</v>
      </c>
      <c r="T16" s="68" t="str">
        <f t="shared" si="4"/>
        <v>OK</v>
      </c>
      <c r="U16" s="162"/>
      <c r="V16" s="163">
        <v>7.34</v>
      </c>
      <c r="W16" s="162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80"/>
      <c r="B17" s="182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0</f>
        <v>0</v>
      </c>
      <c r="L17" s="144">
        <f t="shared" si="0"/>
        <v>0</v>
      </c>
      <c r="M17" s="144">
        <f t="shared" si="1"/>
        <v>0</v>
      </c>
      <c r="N17" s="149"/>
      <c r="O17" s="145">
        <f t="shared" si="2"/>
        <v>0</v>
      </c>
      <c r="P17" s="146"/>
      <c r="Q17" s="146"/>
      <c r="R17" s="146"/>
      <c r="S17" s="168">
        <f t="shared" si="3"/>
        <v>0</v>
      </c>
      <c r="T17" s="68" t="str">
        <f t="shared" si="4"/>
        <v>OK</v>
      </c>
      <c r="U17" s="162"/>
      <c r="V17" s="162"/>
      <c r="W17" s="162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80"/>
      <c r="B18" s="182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0</f>
        <v>0</v>
      </c>
      <c r="L18" s="144">
        <f t="shared" si="0"/>
        <v>0</v>
      </c>
      <c r="M18" s="144">
        <f t="shared" si="1"/>
        <v>0</v>
      </c>
      <c r="N18" s="149"/>
      <c r="O18" s="145">
        <f t="shared" si="2"/>
        <v>0</v>
      </c>
      <c r="P18" s="146"/>
      <c r="Q18" s="146"/>
      <c r="R18" s="146"/>
      <c r="S18" s="168">
        <f t="shared" si="3"/>
        <v>0</v>
      </c>
      <c r="T18" s="68" t="str">
        <f t="shared" si="4"/>
        <v>OK</v>
      </c>
      <c r="U18" s="162"/>
      <c r="V18" s="162"/>
      <c r="W18" s="162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80"/>
      <c r="B19" s="183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0</f>
        <v>0</v>
      </c>
      <c r="L19" s="144">
        <f t="shared" si="0"/>
        <v>0</v>
      </c>
      <c r="M19" s="144">
        <f t="shared" si="1"/>
        <v>0</v>
      </c>
      <c r="N19" s="149"/>
      <c r="O19" s="145">
        <f t="shared" si="2"/>
        <v>0</v>
      </c>
      <c r="P19" s="146"/>
      <c r="Q19" s="146"/>
      <c r="R19" s="146"/>
      <c r="S19" s="168">
        <f t="shared" si="3"/>
        <v>0</v>
      </c>
      <c r="T19" s="68" t="str">
        <f t="shared" si="4"/>
        <v>OK</v>
      </c>
      <c r="U19" s="162"/>
      <c r="V19" s="162"/>
      <c r="W19" s="162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0</f>
        <v>0</v>
      </c>
      <c r="L20" s="144">
        <f t="shared" si="0"/>
        <v>0</v>
      </c>
      <c r="M20" s="144">
        <f t="shared" si="1"/>
        <v>0</v>
      </c>
      <c r="N20" s="149"/>
      <c r="O20" s="145">
        <f t="shared" si="2"/>
        <v>0</v>
      </c>
      <c r="P20" s="146"/>
      <c r="Q20" s="146"/>
      <c r="R20" s="146"/>
      <c r="S20" s="168">
        <f t="shared" si="3"/>
        <v>0</v>
      </c>
      <c r="T20" s="68" t="str">
        <f t="shared" si="4"/>
        <v>OK</v>
      </c>
      <c r="U20" s="162"/>
      <c r="V20" s="162"/>
      <c r="W20" s="162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0</f>
        <v>0</v>
      </c>
      <c r="L21" s="144">
        <f t="shared" si="0"/>
        <v>0</v>
      </c>
      <c r="M21" s="144">
        <f t="shared" si="1"/>
        <v>0</v>
      </c>
      <c r="N21" s="149"/>
      <c r="O21" s="145">
        <f t="shared" si="2"/>
        <v>0</v>
      </c>
      <c r="P21" s="146"/>
      <c r="Q21" s="146"/>
      <c r="R21" s="146"/>
      <c r="S21" s="168">
        <f t="shared" si="3"/>
        <v>0</v>
      </c>
      <c r="T21" s="68" t="str">
        <f t="shared" si="4"/>
        <v>OK</v>
      </c>
      <c r="U21" s="162"/>
      <c r="V21" s="162"/>
      <c r="W21" s="162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0</f>
        <v>0</v>
      </c>
      <c r="L22" s="144">
        <f t="shared" si="0"/>
        <v>0</v>
      </c>
      <c r="M22" s="144">
        <f t="shared" si="1"/>
        <v>0</v>
      </c>
      <c r="N22" s="149"/>
      <c r="O22" s="145">
        <f t="shared" si="2"/>
        <v>0</v>
      </c>
      <c r="P22" s="146"/>
      <c r="Q22" s="146"/>
      <c r="R22" s="146"/>
      <c r="S22" s="168">
        <f t="shared" si="3"/>
        <v>0</v>
      </c>
      <c r="T22" s="68" t="str">
        <f t="shared" si="4"/>
        <v>OK</v>
      </c>
      <c r="U22" s="162"/>
      <c r="V22" s="162"/>
      <c r="W22" s="162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0</f>
        <v>0</v>
      </c>
      <c r="L23" s="144">
        <f t="shared" si="0"/>
        <v>0</v>
      </c>
      <c r="M23" s="144">
        <f t="shared" si="1"/>
        <v>0</v>
      </c>
      <c r="N23" s="149"/>
      <c r="O23" s="145">
        <f t="shared" si="2"/>
        <v>0</v>
      </c>
      <c r="P23" s="146"/>
      <c r="Q23" s="146"/>
      <c r="R23" s="146"/>
      <c r="S23" s="168">
        <f t="shared" si="3"/>
        <v>0</v>
      </c>
      <c r="T23" s="68" t="str">
        <f t="shared" si="4"/>
        <v>OK</v>
      </c>
      <c r="U23" s="162"/>
      <c r="V23" s="162"/>
      <c r="W23" s="162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0</f>
        <v>0</v>
      </c>
      <c r="L24" s="144">
        <f t="shared" si="0"/>
        <v>0</v>
      </c>
      <c r="M24" s="144">
        <f t="shared" si="1"/>
        <v>0</v>
      </c>
      <c r="N24" s="149"/>
      <c r="O24" s="145">
        <f t="shared" si="2"/>
        <v>0</v>
      </c>
      <c r="P24" s="146"/>
      <c r="Q24" s="146"/>
      <c r="R24" s="146"/>
      <c r="S24" s="168">
        <f t="shared" si="3"/>
        <v>0</v>
      </c>
      <c r="T24" s="68" t="str">
        <f t="shared" si="4"/>
        <v>OK</v>
      </c>
      <c r="U24" s="162"/>
      <c r="V24" s="162"/>
      <c r="W24" s="162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0</f>
        <v>0</v>
      </c>
      <c r="L25" s="147">
        <f t="shared" si="0"/>
        <v>0</v>
      </c>
      <c r="M25" s="147">
        <f t="shared" si="1"/>
        <v>0</v>
      </c>
      <c r="N25" s="149"/>
      <c r="O25" s="145">
        <f t="shared" si="2"/>
        <v>0</v>
      </c>
      <c r="P25" s="146"/>
      <c r="Q25" s="146"/>
      <c r="R25" s="146"/>
      <c r="S25" s="168">
        <f t="shared" si="3"/>
        <v>0</v>
      </c>
      <c r="T25" s="68" t="str">
        <f t="shared" si="4"/>
        <v>OK</v>
      </c>
      <c r="U25" s="162"/>
      <c r="V25" s="162"/>
      <c r="W25" s="162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101.25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4</f>
        <v>4</v>
      </c>
      <c r="L26" s="144">
        <f t="shared" si="0"/>
        <v>4</v>
      </c>
      <c r="M26" s="144">
        <f t="shared" si="1"/>
        <v>4</v>
      </c>
      <c r="N26" s="149"/>
      <c r="O26" s="145">
        <f t="shared" si="2"/>
        <v>1</v>
      </c>
      <c r="P26" s="146"/>
      <c r="Q26" s="146"/>
      <c r="R26" s="146"/>
      <c r="S26" s="168">
        <f t="shared" si="3"/>
        <v>0</v>
      </c>
      <c r="T26" s="68" t="str">
        <f t="shared" si="4"/>
        <v>OK</v>
      </c>
      <c r="U26" s="163">
        <v>4</v>
      </c>
      <c r="V26" s="162"/>
      <c r="W26" s="162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4">
        <f>SUM(K4:K26)</f>
        <v>750</v>
      </c>
      <c r="O27" s="4">
        <f t="shared" si="2"/>
        <v>187</v>
      </c>
      <c r="S27" s="169">
        <f>SUM(S4:S26)</f>
        <v>142.66</v>
      </c>
      <c r="T27" s="5" t="str">
        <f t="shared" si="4"/>
        <v>OK</v>
      </c>
      <c r="U27" s="26">
        <f t="shared" ref="U27:AL27" si="5">SUMPRODUCT($J$4:$J$26,U4:U26)</f>
        <v>2399.12</v>
      </c>
      <c r="V27" s="26">
        <f t="shared" si="5"/>
        <v>660.6</v>
      </c>
      <c r="W27" s="26">
        <f t="shared" si="5"/>
        <v>29889.399999999998</v>
      </c>
      <c r="X27" s="26">
        <f t="shared" si="5"/>
        <v>0</v>
      </c>
      <c r="Y27" s="26">
        <f t="shared" si="5"/>
        <v>0</v>
      </c>
      <c r="Z27" s="26">
        <f t="shared" si="5"/>
        <v>0</v>
      </c>
      <c r="AA27" s="26">
        <f t="shared" si="5"/>
        <v>0</v>
      </c>
      <c r="AB27" s="26">
        <f t="shared" si="5"/>
        <v>0</v>
      </c>
      <c r="AC27" s="26">
        <f t="shared" si="5"/>
        <v>0</v>
      </c>
      <c r="AD27" s="26">
        <f t="shared" si="5"/>
        <v>0</v>
      </c>
      <c r="AE27" s="26">
        <f t="shared" si="5"/>
        <v>0</v>
      </c>
      <c r="AF27" s="26">
        <f t="shared" si="5"/>
        <v>0</v>
      </c>
      <c r="AG27" s="26">
        <f t="shared" si="5"/>
        <v>0</v>
      </c>
      <c r="AH27" s="26">
        <f t="shared" si="5"/>
        <v>0</v>
      </c>
      <c r="AI27" s="26">
        <f t="shared" si="5"/>
        <v>0</v>
      </c>
      <c r="AJ27" s="26">
        <f t="shared" si="5"/>
        <v>0</v>
      </c>
      <c r="AK27" s="26">
        <f t="shared" si="5"/>
        <v>0</v>
      </c>
      <c r="AL27" s="26">
        <f t="shared" si="5"/>
        <v>0</v>
      </c>
    </row>
    <row r="28" spans="1:38" x14ac:dyDescent="0.25">
      <c r="D28" s="29" t="s">
        <v>43</v>
      </c>
      <c r="K28" s="150">
        <f>SUMPRODUCT($J$4:$J$26,K4:K26)</f>
        <v>46701.919999999998</v>
      </c>
      <c r="L28" s="150">
        <f>SUMPRODUCT($J$4:$J$26,L4:L26)</f>
        <v>32949.119999999995</v>
      </c>
      <c r="M28" s="150">
        <f>SUMPRODUCT($J$4:$J$26,M4:M26)</f>
        <v>32949.119999999995</v>
      </c>
      <c r="U28" s="164"/>
      <c r="V28" s="164"/>
      <c r="W28" s="164"/>
    </row>
    <row r="29" spans="1:38" x14ac:dyDescent="0.25">
      <c r="D29" s="65" t="s">
        <v>44</v>
      </c>
      <c r="U29" s="164"/>
      <c r="V29" s="164"/>
      <c r="W29" s="164"/>
    </row>
    <row r="30" spans="1:38" ht="15" customHeight="1" x14ac:dyDescent="0.25">
      <c r="D30" s="30" t="s">
        <v>106</v>
      </c>
      <c r="U30" s="164"/>
      <c r="V30" s="164"/>
      <c r="W30" s="164"/>
    </row>
    <row r="31" spans="1:38" ht="15.75" customHeight="1" thickBot="1" x14ac:dyDescent="0.3">
      <c r="D31" s="31" t="s">
        <v>105</v>
      </c>
      <c r="U31" s="164"/>
      <c r="V31" s="164"/>
      <c r="W31" s="164"/>
    </row>
  </sheetData>
  <mergeCells count="29"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</mergeCells>
  <conditionalFormatting sqref="AE4:AL26 AB5:AD26 X4:AA26">
    <cfRule type="cellIs" dxfId="60" priority="8" stopIfTrue="1" operator="greaterThan">
      <formula>0</formula>
    </cfRule>
    <cfRule type="cellIs" dxfId="59" priority="9" stopIfTrue="1" operator="greaterThan">
      <formula>0</formula>
    </cfRule>
    <cfRule type="cellIs" dxfId="58" priority="10" stopIfTrue="1" operator="greaterThan">
      <formula>0</formula>
    </cfRule>
  </conditionalFormatting>
  <conditionalFormatting sqref="AB4:AD4">
    <cfRule type="cellIs" dxfId="57" priority="5" stopIfTrue="1" operator="greaterThan">
      <formula>0</formula>
    </cfRule>
    <cfRule type="cellIs" dxfId="56" priority="6" stopIfTrue="1" operator="greaterThan">
      <formula>0</formula>
    </cfRule>
    <cfRule type="cellIs" dxfId="55" priority="7" stopIfTrue="1" operator="greaterThan">
      <formula>0</formula>
    </cfRule>
  </conditionalFormatting>
  <conditionalFormatting sqref="X4:AL26">
    <cfRule type="cellIs" dxfId="5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D10EC-F294-40B1-B2D5-2F5C621C333B}">
  <dimension ref="A1:AL31"/>
  <sheetViews>
    <sheetView topLeftCell="A25" zoomScale="80" zoomScaleNormal="80" workbookViewId="0">
      <selection activeCell="I48" sqref="I48"/>
    </sheetView>
  </sheetViews>
  <sheetFormatPr defaultColWidth="9.7109375" defaultRowHeight="15" x14ac:dyDescent="0.25"/>
  <cols>
    <col min="1" max="1" width="7.140625" style="18" customWidth="1"/>
    <col min="2" max="2" width="16.140625" style="18" customWidth="1"/>
    <col min="3" max="3" width="6" style="14" bestFit="1" customWidth="1"/>
    <col min="4" max="4" width="25.140625" style="18" customWidth="1"/>
    <col min="5" max="5" width="19" style="18" customWidth="1"/>
    <col min="6" max="6" width="9.28515625" style="18" customWidth="1"/>
    <col min="7" max="7" width="12" style="18" bestFit="1" customWidth="1"/>
    <col min="8" max="8" width="8.85546875" style="18" customWidth="1"/>
    <col min="9" max="9" width="10.140625" style="18" bestFit="1" customWidth="1"/>
    <col min="10" max="10" width="13.42578125" style="19" bestFit="1" customWidth="1"/>
    <col min="11" max="11" width="13.7109375" style="4" bestFit="1" customWidth="1"/>
    <col min="12" max="12" width="13.42578125" style="4" customWidth="1"/>
    <col min="13" max="13" width="13.140625" style="4" customWidth="1"/>
    <col min="14" max="18" width="11.5703125" style="4" customWidth="1"/>
    <col min="19" max="19" width="11" style="15" customWidth="1"/>
    <col min="20" max="20" width="10.85546875" style="5" customWidth="1"/>
    <col min="21" max="21" width="13.85546875" style="6" customWidth="1"/>
    <col min="22" max="22" width="12.710937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36" customHeight="1" x14ac:dyDescent="0.25">
      <c r="A1" s="172" t="s">
        <v>37</v>
      </c>
      <c r="B1" s="172"/>
      <c r="C1" s="172"/>
      <c r="D1" s="172" t="s">
        <v>36</v>
      </c>
      <c r="E1" s="172"/>
      <c r="F1" s="172"/>
      <c r="G1" s="172"/>
      <c r="H1" s="172"/>
      <c r="I1" s="172"/>
      <c r="J1" s="172"/>
      <c r="K1" s="172" t="s">
        <v>38</v>
      </c>
      <c r="L1" s="172"/>
      <c r="M1" s="172"/>
      <c r="N1" s="172"/>
      <c r="O1" s="172"/>
      <c r="P1" s="172"/>
      <c r="Q1" s="172"/>
      <c r="R1" s="172"/>
      <c r="S1" s="172"/>
      <c r="T1" s="172"/>
      <c r="U1" s="189" t="s">
        <v>162</v>
      </c>
      <c r="V1" s="189" t="s">
        <v>163</v>
      </c>
      <c r="W1" s="189" t="s">
        <v>164</v>
      </c>
      <c r="X1" s="189" t="s">
        <v>165</v>
      </c>
      <c r="Y1" s="189" t="s">
        <v>166</v>
      </c>
      <c r="Z1" s="159" t="s">
        <v>167</v>
      </c>
      <c r="AA1" s="159" t="s">
        <v>169</v>
      </c>
      <c r="AB1" s="189" t="s">
        <v>171</v>
      </c>
      <c r="AC1" s="189" t="s">
        <v>172</v>
      </c>
      <c r="AD1" s="171" t="s">
        <v>39</v>
      </c>
      <c r="AE1" s="171" t="s">
        <v>39</v>
      </c>
      <c r="AF1" s="171" t="s">
        <v>39</v>
      </c>
      <c r="AG1" s="171" t="s">
        <v>39</v>
      </c>
      <c r="AH1" s="171" t="s">
        <v>39</v>
      </c>
      <c r="AI1" s="171" t="s">
        <v>39</v>
      </c>
      <c r="AJ1" s="171" t="s">
        <v>39</v>
      </c>
      <c r="AK1" s="171" t="s">
        <v>39</v>
      </c>
      <c r="AL1" s="171" t="s">
        <v>39</v>
      </c>
    </row>
    <row r="2" spans="1:38" ht="24" customHeight="1" x14ac:dyDescent="0.25">
      <c r="A2" s="177" t="s">
        <v>112</v>
      </c>
      <c r="B2" s="178"/>
      <c r="C2" s="178"/>
      <c r="D2" s="178"/>
      <c r="E2" s="178"/>
      <c r="F2" s="178"/>
      <c r="G2" s="178"/>
      <c r="H2" s="178"/>
      <c r="I2" s="178"/>
      <c r="J2" s="179"/>
      <c r="K2" s="174" t="s">
        <v>116</v>
      </c>
      <c r="L2" s="175"/>
      <c r="M2" s="175"/>
      <c r="N2" s="175"/>
      <c r="O2" s="175"/>
      <c r="P2" s="175"/>
      <c r="Q2" s="175"/>
      <c r="R2" s="175"/>
      <c r="S2" s="175"/>
      <c r="T2" s="176"/>
      <c r="U2" s="190"/>
      <c r="V2" s="190"/>
      <c r="W2" s="190"/>
      <c r="X2" s="190"/>
      <c r="Y2" s="190"/>
      <c r="Z2" s="160" t="s">
        <v>168</v>
      </c>
      <c r="AA2" s="160" t="s">
        <v>170</v>
      </c>
      <c r="AB2" s="190"/>
      <c r="AC2" s="190"/>
      <c r="AD2" s="171"/>
      <c r="AE2" s="171"/>
      <c r="AF2" s="171"/>
      <c r="AG2" s="171"/>
      <c r="AH2" s="171"/>
      <c r="AI2" s="171"/>
      <c r="AJ2" s="171"/>
      <c r="AK2" s="171"/>
      <c r="AL2" s="171"/>
    </row>
    <row r="3" spans="1:38" s="3" customFormat="1" ht="75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4" t="s">
        <v>149</v>
      </c>
      <c r="M3" s="94" t="s">
        <v>150</v>
      </c>
      <c r="N3" s="94" t="s">
        <v>151</v>
      </c>
      <c r="O3" s="94" t="s">
        <v>152</v>
      </c>
      <c r="P3" s="94" t="s">
        <v>153</v>
      </c>
      <c r="Q3" s="94" t="s">
        <v>154</v>
      </c>
      <c r="R3" s="94" t="s">
        <v>155</v>
      </c>
      <c r="S3" s="12" t="s">
        <v>0</v>
      </c>
      <c r="T3" s="10" t="s">
        <v>2</v>
      </c>
      <c r="U3" s="161">
        <v>45482</v>
      </c>
      <c r="V3" s="161">
        <v>45488</v>
      </c>
      <c r="W3" s="161">
        <v>45499</v>
      </c>
      <c r="X3" s="161">
        <v>45502</v>
      </c>
      <c r="Y3" s="161">
        <v>45524</v>
      </c>
      <c r="Z3" s="161">
        <v>45540</v>
      </c>
      <c r="AA3" s="161">
        <v>45559</v>
      </c>
      <c r="AB3" s="161">
        <v>45576</v>
      </c>
      <c r="AC3" s="161">
        <v>45596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184">
        <v>1</v>
      </c>
      <c r="B4" s="188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5</f>
        <v>5</v>
      </c>
      <c r="L4" s="144">
        <f>IF(SUM(U4:AL4)&gt;K4,K4,SUM(U4:AL4))</f>
        <v>0</v>
      </c>
      <c r="M4" s="144">
        <f>SUM(U4:AL4)</f>
        <v>0</v>
      </c>
      <c r="N4" s="149"/>
      <c r="O4" s="145">
        <f>ROUND(IF(K4*0.25-0.5&lt;0,0,K4*0.25-0.5),0)-P4-R4</f>
        <v>1</v>
      </c>
      <c r="P4" s="146"/>
      <c r="Q4" s="146"/>
      <c r="R4" s="146"/>
      <c r="S4" s="67">
        <f>K4-(SUM(U4:AL4))+N4</f>
        <v>5</v>
      </c>
      <c r="T4" s="68" t="str">
        <f>IF(S4&lt;0,"ATENÇÃO","OK")</f>
        <v>OK</v>
      </c>
      <c r="U4" s="162"/>
      <c r="V4" s="162"/>
      <c r="W4" s="162"/>
      <c r="X4" s="162"/>
      <c r="Y4" s="162"/>
      <c r="Z4" s="162"/>
      <c r="AA4" s="162"/>
      <c r="AB4" s="162"/>
      <c r="AC4" s="162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184"/>
      <c r="B5" s="186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10</f>
        <v>10</v>
      </c>
      <c r="L5" s="144">
        <f t="shared" ref="L5:L26" si="0">IF(SUM(U5:AL5)&gt;K5,K5,SUM(U5:AL5))</f>
        <v>0</v>
      </c>
      <c r="M5" s="144">
        <f t="shared" ref="M5:M26" si="1">SUM(U5:AL5)</f>
        <v>0</v>
      </c>
      <c r="N5" s="149"/>
      <c r="O5" s="145">
        <f t="shared" ref="O5:O27" si="2">ROUND(IF(K5*0.25-0.5&lt;0,0,K5*0.25-0.5),0)-P5-R5</f>
        <v>2</v>
      </c>
      <c r="P5" s="146"/>
      <c r="Q5" s="146"/>
      <c r="R5" s="146"/>
      <c r="S5" s="67">
        <f t="shared" ref="S5:S25" si="3">K5-(SUM(U5:AL5))+N5</f>
        <v>10</v>
      </c>
      <c r="T5" s="68" t="str">
        <f t="shared" ref="T5:T27" si="4">IF(S5&lt;0,"ATENÇÃO","OK")</f>
        <v>OK</v>
      </c>
      <c r="U5" s="162"/>
      <c r="V5" s="162"/>
      <c r="W5" s="162"/>
      <c r="X5" s="162"/>
      <c r="Y5" s="162"/>
      <c r="Z5" s="162"/>
      <c r="AA5" s="162"/>
      <c r="AB5" s="162"/>
      <c r="AC5" s="162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184"/>
      <c r="B6" s="186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30</f>
        <v>30</v>
      </c>
      <c r="L6" s="144">
        <f t="shared" si="0"/>
        <v>0</v>
      </c>
      <c r="M6" s="144">
        <f t="shared" si="1"/>
        <v>0</v>
      </c>
      <c r="N6" s="149"/>
      <c r="O6" s="145">
        <f t="shared" si="2"/>
        <v>7</v>
      </c>
      <c r="P6" s="146"/>
      <c r="Q6" s="146"/>
      <c r="R6" s="146"/>
      <c r="S6" s="67">
        <f t="shared" si="3"/>
        <v>30</v>
      </c>
      <c r="T6" s="68" t="str">
        <f t="shared" si="4"/>
        <v>OK</v>
      </c>
      <c r="U6" s="162"/>
      <c r="V6" s="162"/>
      <c r="W6" s="162"/>
      <c r="X6" s="162"/>
      <c r="Y6" s="162"/>
      <c r="Z6" s="162"/>
      <c r="AA6" s="162"/>
      <c r="AB6" s="162"/>
      <c r="AC6" s="162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50.1" customHeight="1" x14ac:dyDescent="0.25">
      <c r="A7" s="184"/>
      <c r="B7" s="186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40</f>
        <v>40</v>
      </c>
      <c r="L7" s="144">
        <f t="shared" si="0"/>
        <v>11</v>
      </c>
      <c r="M7" s="144">
        <f t="shared" si="1"/>
        <v>11</v>
      </c>
      <c r="N7" s="149"/>
      <c r="O7" s="145">
        <f t="shared" si="2"/>
        <v>10</v>
      </c>
      <c r="P7" s="146"/>
      <c r="Q7" s="146"/>
      <c r="R7" s="146"/>
      <c r="S7" s="67">
        <f t="shared" si="3"/>
        <v>29</v>
      </c>
      <c r="T7" s="68" t="str">
        <f t="shared" si="4"/>
        <v>OK</v>
      </c>
      <c r="U7" s="162"/>
      <c r="V7" s="163">
        <v>11</v>
      </c>
      <c r="W7" s="162"/>
      <c r="X7" s="162"/>
      <c r="Y7" s="162"/>
      <c r="Z7" s="162"/>
      <c r="AA7" s="162"/>
      <c r="AB7" s="162"/>
      <c r="AC7" s="162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184"/>
      <c r="B8" s="187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40</f>
        <v>40</v>
      </c>
      <c r="L8" s="144">
        <f t="shared" si="0"/>
        <v>0</v>
      </c>
      <c r="M8" s="144">
        <f t="shared" si="1"/>
        <v>0</v>
      </c>
      <c r="N8" s="149"/>
      <c r="O8" s="145">
        <f t="shared" si="2"/>
        <v>10</v>
      </c>
      <c r="P8" s="146"/>
      <c r="Q8" s="146"/>
      <c r="R8" s="146"/>
      <c r="S8" s="67">
        <f t="shared" si="3"/>
        <v>40</v>
      </c>
      <c r="T8" s="68" t="str">
        <f t="shared" si="4"/>
        <v>OK</v>
      </c>
      <c r="U8" s="162"/>
      <c r="V8" s="162"/>
      <c r="W8" s="162"/>
      <c r="X8" s="162"/>
      <c r="Y8" s="162"/>
      <c r="Z8" s="162"/>
      <c r="AA8" s="162"/>
      <c r="AB8" s="162"/>
      <c r="AC8" s="162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80">
        <v>2</v>
      </c>
      <c r="B9" s="181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700</f>
        <v>700</v>
      </c>
      <c r="L9" s="144">
        <f t="shared" si="0"/>
        <v>132</v>
      </c>
      <c r="M9" s="144">
        <f t="shared" si="1"/>
        <v>132</v>
      </c>
      <c r="N9" s="149">
        <v>-250</v>
      </c>
      <c r="O9" s="145">
        <f t="shared" si="2"/>
        <v>175</v>
      </c>
      <c r="P9" s="146"/>
      <c r="Q9" s="146"/>
      <c r="R9" s="146"/>
      <c r="S9" s="67">
        <f t="shared" si="3"/>
        <v>318</v>
      </c>
      <c r="T9" s="68" t="str">
        <f t="shared" si="4"/>
        <v>OK</v>
      </c>
      <c r="U9" s="162"/>
      <c r="V9" s="162"/>
      <c r="W9" s="162"/>
      <c r="X9" s="162"/>
      <c r="Y9" s="163">
        <v>86</v>
      </c>
      <c r="Z9" s="162"/>
      <c r="AA9" s="163">
        <v>46</v>
      </c>
      <c r="AB9" s="162"/>
      <c r="AC9" s="162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80"/>
      <c r="B10" s="182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400</f>
        <v>400</v>
      </c>
      <c r="L10" s="144">
        <f t="shared" si="0"/>
        <v>0</v>
      </c>
      <c r="M10" s="144">
        <f t="shared" si="1"/>
        <v>0</v>
      </c>
      <c r="N10" s="149">
        <v>-200</v>
      </c>
      <c r="O10" s="145">
        <f t="shared" si="2"/>
        <v>100</v>
      </c>
      <c r="P10" s="146"/>
      <c r="Q10" s="146"/>
      <c r="R10" s="146"/>
      <c r="S10" s="67">
        <f t="shared" si="3"/>
        <v>200</v>
      </c>
      <c r="T10" s="68" t="str">
        <f t="shared" si="4"/>
        <v>OK</v>
      </c>
      <c r="U10" s="162"/>
      <c r="V10" s="162"/>
      <c r="W10" s="162"/>
      <c r="X10" s="162"/>
      <c r="Y10" s="162"/>
      <c r="Z10" s="162"/>
      <c r="AA10" s="162"/>
      <c r="AB10" s="162"/>
      <c r="AC10" s="162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80"/>
      <c r="B11" s="182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30</f>
        <v>30</v>
      </c>
      <c r="L11" s="144">
        <f t="shared" si="0"/>
        <v>11</v>
      </c>
      <c r="M11" s="144">
        <f t="shared" si="1"/>
        <v>11</v>
      </c>
      <c r="N11" s="149"/>
      <c r="O11" s="145">
        <f t="shared" si="2"/>
        <v>7</v>
      </c>
      <c r="P11" s="146"/>
      <c r="Q11" s="146"/>
      <c r="R11" s="146"/>
      <c r="S11" s="67">
        <f t="shared" si="3"/>
        <v>19</v>
      </c>
      <c r="T11" s="68" t="str">
        <f t="shared" si="4"/>
        <v>OK</v>
      </c>
      <c r="U11" s="162"/>
      <c r="V11" s="162"/>
      <c r="W11" s="162"/>
      <c r="X11" s="162"/>
      <c r="Y11" s="163">
        <v>11</v>
      </c>
      <c r="Z11" s="162"/>
      <c r="AA11" s="162"/>
      <c r="AB11" s="162"/>
      <c r="AC11" s="162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80"/>
      <c r="B12" s="182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45</f>
        <v>45</v>
      </c>
      <c r="L12" s="144">
        <f t="shared" si="0"/>
        <v>15</v>
      </c>
      <c r="M12" s="144">
        <f t="shared" si="1"/>
        <v>15</v>
      </c>
      <c r="N12" s="149">
        <v>-10</v>
      </c>
      <c r="O12" s="145">
        <f t="shared" si="2"/>
        <v>11</v>
      </c>
      <c r="P12" s="146"/>
      <c r="Q12" s="146"/>
      <c r="R12" s="146"/>
      <c r="S12" s="67">
        <f t="shared" si="3"/>
        <v>20</v>
      </c>
      <c r="T12" s="68" t="str">
        <f t="shared" si="4"/>
        <v>OK</v>
      </c>
      <c r="U12" s="162"/>
      <c r="V12" s="162"/>
      <c r="W12" s="162"/>
      <c r="X12" s="162"/>
      <c r="Y12" s="163">
        <v>14</v>
      </c>
      <c r="Z12" s="162"/>
      <c r="AA12" s="163">
        <v>1</v>
      </c>
      <c r="AB12" s="162"/>
      <c r="AC12" s="162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80"/>
      <c r="B13" s="182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800</f>
        <v>800</v>
      </c>
      <c r="L13" s="144">
        <f t="shared" si="0"/>
        <v>135</v>
      </c>
      <c r="M13" s="144">
        <f t="shared" si="1"/>
        <v>135</v>
      </c>
      <c r="N13" s="149">
        <v>-300</v>
      </c>
      <c r="O13" s="145">
        <f t="shared" si="2"/>
        <v>200</v>
      </c>
      <c r="P13" s="146"/>
      <c r="Q13" s="146"/>
      <c r="R13" s="146"/>
      <c r="S13" s="67">
        <f t="shared" si="3"/>
        <v>365</v>
      </c>
      <c r="T13" s="68" t="str">
        <f t="shared" si="4"/>
        <v>OK</v>
      </c>
      <c r="U13" s="162"/>
      <c r="V13" s="162"/>
      <c r="W13" s="162"/>
      <c r="X13" s="162"/>
      <c r="Y13" s="163">
        <v>91</v>
      </c>
      <c r="Z13" s="162"/>
      <c r="AA13" s="163">
        <v>44</v>
      </c>
      <c r="AB13" s="162"/>
      <c r="AC13" s="162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80"/>
      <c r="B14" s="183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800</f>
        <v>800</v>
      </c>
      <c r="L14" s="144">
        <f t="shared" si="0"/>
        <v>134</v>
      </c>
      <c r="M14" s="144">
        <f t="shared" si="1"/>
        <v>134</v>
      </c>
      <c r="N14" s="149">
        <v>-300</v>
      </c>
      <c r="O14" s="145">
        <f t="shared" si="2"/>
        <v>200</v>
      </c>
      <c r="P14" s="146"/>
      <c r="Q14" s="146"/>
      <c r="R14" s="146"/>
      <c r="S14" s="67">
        <f t="shared" si="3"/>
        <v>366</v>
      </c>
      <c r="T14" s="68" t="str">
        <f t="shared" si="4"/>
        <v>OK</v>
      </c>
      <c r="U14" s="162"/>
      <c r="V14" s="162"/>
      <c r="W14" s="162"/>
      <c r="X14" s="162"/>
      <c r="Y14" s="163">
        <v>77</v>
      </c>
      <c r="Z14" s="162"/>
      <c r="AA14" s="163">
        <v>57</v>
      </c>
      <c r="AB14" s="162"/>
      <c r="AC14" s="162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200</f>
        <v>200</v>
      </c>
      <c r="L15" s="144">
        <f t="shared" si="0"/>
        <v>45</v>
      </c>
      <c r="M15" s="144">
        <f t="shared" si="1"/>
        <v>45</v>
      </c>
      <c r="N15" s="149"/>
      <c r="O15" s="145">
        <f t="shared" si="2"/>
        <v>50</v>
      </c>
      <c r="P15" s="146"/>
      <c r="Q15" s="146"/>
      <c r="R15" s="146"/>
      <c r="S15" s="67">
        <f t="shared" si="3"/>
        <v>155</v>
      </c>
      <c r="T15" s="68" t="str">
        <f t="shared" si="4"/>
        <v>OK</v>
      </c>
      <c r="U15" s="162"/>
      <c r="V15" s="162"/>
      <c r="W15" s="162"/>
      <c r="X15" s="163">
        <v>36</v>
      </c>
      <c r="Y15" s="162"/>
      <c r="Z15" s="162"/>
      <c r="AA15" s="162"/>
      <c r="AB15" s="162"/>
      <c r="AC15" s="163">
        <v>9</v>
      </c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65.25" customHeight="1" x14ac:dyDescent="0.25">
      <c r="A16" s="180">
        <v>4</v>
      </c>
      <c r="B16" s="181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150</f>
        <v>150</v>
      </c>
      <c r="L16" s="144">
        <f t="shared" si="0"/>
        <v>91</v>
      </c>
      <c r="M16" s="144">
        <f t="shared" si="1"/>
        <v>91</v>
      </c>
      <c r="N16" s="149"/>
      <c r="O16" s="145">
        <f t="shared" si="2"/>
        <v>37</v>
      </c>
      <c r="P16" s="146"/>
      <c r="Q16" s="146"/>
      <c r="R16" s="146"/>
      <c r="S16" s="67">
        <f t="shared" si="3"/>
        <v>59</v>
      </c>
      <c r="T16" s="68" t="str">
        <f t="shared" si="4"/>
        <v>OK</v>
      </c>
      <c r="U16" s="162"/>
      <c r="V16" s="162"/>
      <c r="W16" s="162"/>
      <c r="X16" s="162"/>
      <c r="Y16" s="162"/>
      <c r="Z16" s="163">
        <v>91</v>
      </c>
      <c r="AA16" s="162"/>
      <c r="AB16" s="162"/>
      <c r="AC16" s="162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80"/>
      <c r="B17" s="182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150</f>
        <v>150</v>
      </c>
      <c r="L17" s="144">
        <f t="shared" si="0"/>
        <v>0</v>
      </c>
      <c r="M17" s="144">
        <f t="shared" si="1"/>
        <v>0</v>
      </c>
      <c r="N17" s="149"/>
      <c r="O17" s="145">
        <f t="shared" si="2"/>
        <v>37</v>
      </c>
      <c r="P17" s="146"/>
      <c r="Q17" s="146"/>
      <c r="R17" s="146"/>
      <c r="S17" s="67">
        <f t="shared" si="3"/>
        <v>150</v>
      </c>
      <c r="T17" s="68" t="str">
        <f t="shared" si="4"/>
        <v>OK</v>
      </c>
      <c r="U17" s="162"/>
      <c r="V17" s="162"/>
      <c r="W17" s="162"/>
      <c r="X17" s="162"/>
      <c r="Y17" s="162"/>
      <c r="Z17" s="162"/>
      <c r="AA17" s="162"/>
      <c r="AB17" s="162"/>
      <c r="AC17" s="162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80"/>
      <c r="B18" s="182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150</f>
        <v>150</v>
      </c>
      <c r="L18" s="144">
        <f t="shared" si="0"/>
        <v>0</v>
      </c>
      <c r="M18" s="144">
        <f t="shared" si="1"/>
        <v>0</v>
      </c>
      <c r="N18" s="149"/>
      <c r="O18" s="145">
        <f t="shared" si="2"/>
        <v>37</v>
      </c>
      <c r="P18" s="146"/>
      <c r="Q18" s="146"/>
      <c r="R18" s="146"/>
      <c r="S18" s="67">
        <f t="shared" si="3"/>
        <v>150</v>
      </c>
      <c r="T18" s="68" t="str">
        <f t="shared" si="4"/>
        <v>OK</v>
      </c>
      <c r="U18" s="162"/>
      <c r="V18" s="162"/>
      <c r="W18" s="162"/>
      <c r="X18" s="162"/>
      <c r="Y18" s="162"/>
      <c r="Z18" s="162"/>
      <c r="AA18" s="162"/>
      <c r="AB18" s="162"/>
      <c r="AC18" s="162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80"/>
      <c r="B19" s="183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200</f>
        <v>200</v>
      </c>
      <c r="L19" s="144">
        <f t="shared" si="0"/>
        <v>0</v>
      </c>
      <c r="M19" s="144">
        <f t="shared" si="1"/>
        <v>0</v>
      </c>
      <c r="N19" s="149"/>
      <c r="O19" s="145">
        <f t="shared" si="2"/>
        <v>50</v>
      </c>
      <c r="P19" s="146"/>
      <c r="Q19" s="146"/>
      <c r="R19" s="146"/>
      <c r="S19" s="67">
        <f t="shared" si="3"/>
        <v>200</v>
      </c>
      <c r="T19" s="68" t="str">
        <f t="shared" si="4"/>
        <v>OK</v>
      </c>
      <c r="U19" s="162"/>
      <c r="V19" s="162"/>
      <c r="W19" s="162"/>
      <c r="X19" s="162"/>
      <c r="Y19" s="162"/>
      <c r="Z19" s="162"/>
      <c r="AA19" s="162"/>
      <c r="AB19" s="162"/>
      <c r="AC19" s="162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0</f>
        <v>0</v>
      </c>
      <c r="L20" s="144">
        <f t="shared" si="0"/>
        <v>0</v>
      </c>
      <c r="M20" s="144">
        <f t="shared" si="1"/>
        <v>0</v>
      </c>
      <c r="N20" s="149"/>
      <c r="O20" s="145">
        <f t="shared" si="2"/>
        <v>0</v>
      </c>
      <c r="P20" s="146"/>
      <c r="Q20" s="146"/>
      <c r="R20" s="146"/>
      <c r="S20" s="67">
        <f t="shared" si="3"/>
        <v>0</v>
      </c>
      <c r="T20" s="68" t="str">
        <f t="shared" si="4"/>
        <v>OK</v>
      </c>
      <c r="U20" s="162"/>
      <c r="V20" s="162"/>
      <c r="W20" s="162"/>
      <c r="X20" s="162"/>
      <c r="Y20" s="162"/>
      <c r="Z20" s="162"/>
      <c r="AA20" s="162"/>
      <c r="AB20" s="162"/>
      <c r="AC20" s="162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120</f>
        <v>120</v>
      </c>
      <c r="L21" s="144">
        <f t="shared" si="0"/>
        <v>84</v>
      </c>
      <c r="M21" s="144">
        <f t="shared" si="1"/>
        <v>84</v>
      </c>
      <c r="N21" s="149"/>
      <c r="O21" s="145">
        <f t="shared" si="2"/>
        <v>30</v>
      </c>
      <c r="P21" s="146"/>
      <c r="Q21" s="146"/>
      <c r="R21" s="146"/>
      <c r="S21" s="67">
        <f t="shared" si="3"/>
        <v>36</v>
      </c>
      <c r="T21" s="68" t="str">
        <f t="shared" si="4"/>
        <v>OK</v>
      </c>
      <c r="U21" s="163">
        <v>64</v>
      </c>
      <c r="V21" s="162"/>
      <c r="W21" s="162"/>
      <c r="X21" s="162"/>
      <c r="Y21" s="162"/>
      <c r="Z21" s="162"/>
      <c r="AA21" s="162"/>
      <c r="AB21" s="163">
        <v>20</v>
      </c>
      <c r="AC21" s="162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0</f>
        <v>0</v>
      </c>
      <c r="L22" s="144">
        <f t="shared" si="0"/>
        <v>0</v>
      </c>
      <c r="M22" s="144">
        <f t="shared" si="1"/>
        <v>0</v>
      </c>
      <c r="N22" s="149"/>
      <c r="O22" s="145">
        <f t="shared" si="2"/>
        <v>0</v>
      </c>
      <c r="P22" s="146"/>
      <c r="Q22" s="146"/>
      <c r="R22" s="146"/>
      <c r="S22" s="67">
        <f t="shared" si="3"/>
        <v>0</v>
      </c>
      <c r="T22" s="68" t="str">
        <f t="shared" si="4"/>
        <v>OK</v>
      </c>
      <c r="U22" s="162"/>
      <c r="V22" s="162"/>
      <c r="W22" s="162"/>
      <c r="X22" s="162"/>
      <c r="Y22" s="162"/>
      <c r="Z22" s="162"/>
      <c r="AA22" s="162"/>
      <c r="AB22" s="162"/>
      <c r="AC22" s="162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0</f>
        <v>0</v>
      </c>
      <c r="L23" s="144">
        <f t="shared" si="0"/>
        <v>0</v>
      </c>
      <c r="M23" s="144">
        <f t="shared" si="1"/>
        <v>0</v>
      </c>
      <c r="N23" s="149"/>
      <c r="O23" s="145">
        <f t="shared" si="2"/>
        <v>0</v>
      </c>
      <c r="P23" s="146"/>
      <c r="Q23" s="146"/>
      <c r="R23" s="146"/>
      <c r="S23" s="67">
        <f t="shared" si="3"/>
        <v>0</v>
      </c>
      <c r="T23" s="68" t="str">
        <f t="shared" si="4"/>
        <v>OK</v>
      </c>
      <c r="U23" s="162"/>
      <c r="V23" s="162"/>
      <c r="W23" s="162"/>
      <c r="X23" s="162"/>
      <c r="Y23" s="162"/>
      <c r="Z23" s="162"/>
      <c r="AA23" s="162"/>
      <c r="AB23" s="162"/>
      <c r="AC23" s="162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0</f>
        <v>0</v>
      </c>
      <c r="L24" s="144">
        <f t="shared" si="0"/>
        <v>0</v>
      </c>
      <c r="M24" s="144">
        <f t="shared" si="1"/>
        <v>0</v>
      </c>
      <c r="N24" s="149"/>
      <c r="O24" s="145">
        <f t="shared" si="2"/>
        <v>0</v>
      </c>
      <c r="P24" s="146"/>
      <c r="Q24" s="146"/>
      <c r="R24" s="146"/>
      <c r="S24" s="67">
        <f t="shared" si="3"/>
        <v>0</v>
      </c>
      <c r="T24" s="68" t="str">
        <f t="shared" si="4"/>
        <v>OK</v>
      </c>
      <c r="U24" s="162"/>
      <c r="V24" s="162"/>
      <c r="W24" s="162"/>
      <c r="X24" s="162"/>
      <c r="Y24" s="162"/>
      <c r="Z24" s="162"/>
      <c r="AA24" s="162"/>
      <c r="AB24" s="162"/>
      <c r="AC24" s="162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0</f>
        <v>0</v>
      </c>
      <c r="L25" s="147">
        <f t="shared" si="0"/>
        <v>0</v>
      </c>
      <c r="M25" s="147">
        <f t="shared" si="1"/>
        <v>0</v>
      </c>
      <c r="N25" s="149"/>
      <c r="O25" s="145">
        <f t="shared" si="2"/>
        <v>0</v>
      </c>
      <c r="P25" s="146"/>
      <c r="Q25" s="146"/>
      <c r="R25" s="146"/>
      <c r="S25" s="67">
        <f t="shared" si="3"/>
        <v>0</v>
      </c>
      <c r="T25" s="68" t="str">
        <f t="shared" si="4"/>
        <v>OK</v>
      </c>
      <c r="U25" s="162"/>
      <c r="V25" s="162"/>
      <c r="W25" s="162"/>
      <c r="X25" s="162"/>
      <c r="Y25" s="162"/>
      <c r="Z25" s="162"/>
      <c r="AA25" s="162"/>
      <c r="AB25" s="162"/>
      <c r="AC25" s="162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87.75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2</f>
        <v>2</v>
      </c>
      <c r="L26" s="144">
        <f t="shared" si="0"/>
        <v>2</v>
      </c>
      <c r="M26" s="144">
        <f t="shared" si="1"/>
        <v>2</v>
      </c>
      <c r="N26" s="149"/>
      <c r="O26" s="145">
        <f t="shared" si="2"/>
        <v>0</v>
      </c>
      <c r="P26" s="146"/>
      <c r="Q26" s="146"/>
      <c r="R26" s="146"/>
      <c r="S26" s="67">
        <f>K26-(SUM(U26:AL26))+N26</f>
        <v>0</v>
      </c>
      <c r="T26" s="68" t="str">
        <f t="shared" si="4"/>
        <v>OK</v>
      </c>
      <c r="U26" s="162"/>
      <c r="V26" s="162"/>
      <c r="W26" s="163">
        <v>2</v>
      </c>
      <c r="X26" s="162"/>
      <c r="Y26" s="162"/>
      <c r="Z26" s="162"/>
      <c r="AA26" s="162"/>
      <c r="AB26" s="162"/>
      <c r="AC26" s="162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4">
        <f>SUM(K4:K26)</f>
        <v>3872</v>
      </c>
      <c r="O27" s="4">
        <f t="shared" si="2"/>
        <v>968</v>
      </c>
      <c r="S27" s="15">
        <f>SUM(S4:S26)</f>
        <v>2152</v>
      </c>
      <c r="T27" s="5" t="str">
        <f t="shared" si="4"/>
        <v>OK</v>
      </c>
      <c r="U27" s="26">
        <f t="shared" ref="U27:AL27" si="5">SUMPRODUCT($J$4:$J$26,U4:U26)</f>
        <v>8213.1200000000008</v>
      </c>
      <c r="V27" s="26">
        <f t="shared" si="5"/>
        <v>1492.37</v>
      </c>
      <c r="W27" s="26">
        <f t="shared" si="5"/>
        <v>1199.56</v>
      </c>
      <c r="X27" s="26">
        <f t="shared" si="5"/>
        <v>1805.3999999999999</v>
      </c>
      <c r="Y27" s="26">
        <f t="shared" si="5"/>
        <v>23582.9</v>
      </c>
      <c r="Z27" s="26">
        <f t="shared" si="5"/>
        <v>8190</v>
      </c>
      <c r="AA27" s="26">
        <f t="shared" si="5"/>
        <v>8754.85</v>
      </c>
      <c r="AB27" s="26">
        <f t="shared" si="5"/>
        <v>2566.6000000000004</v>
      </c>
      <c r="AC27" s="26">
        <f t="shared" si="5"/>
        <v>451.34999999999997</v>
      </c>
      <c r="AD27" s="26">
        <f t="shared" si="5"/>
        <v>0</v>
      </c>
      <c r="AE27" s="26">
        <f t="shared" si="5"/>
        <v>0</v>
      </c>
      <c r="AF27" s="26">
        <f t="shared" si="5"/>
        <v>0</v>
      </c>
      <c r="AG27" s="26">
        <f t="shared" si="5"/>
        <v>0</v>
      </c>
      <c r="AH27" s="26">
        <f t="shared" si="5"/>
        <v>0</v>
      </c>
      <c r="AI27" s="26">
        <f t="shared" si="5"/>
        <v>0</v>
      </c>
      <c r="AJ27" s="26">
        <f t="shared" si="5"/>
        <v>0</v>
      </c>
      <c r="AK27" s="26">
        <f t="shared" si="5"/>
        <v>0</v>
      </c>
      <c r="AL27" s="26">
        <f t="shared" si="5"/>
        <v>0</v>
      </c>
    </row>
    <row r="28" spans="1:38" x14ac:dyDescent="0.25">
      <c r="D28" s="29" t="s">
        <v>43</v>
      </c>
      <c r="K28" s="150">
        <f>SUMPRODUCT($J$4:$J$26,K4:K26)</f>
        <v>363575.81</v>
      </c>
      <c r="L28" s="150">
        <f>SUMPRODUCT($J$4:$J$26,L4:L26)</f>
        <v>56256.149999999994</v>
      </c>
      <c r="M28" s="150">
        <f>SUMPRODUCT($J$4:$J$26,M4:M26)</f>
        <v>56256.149999999994</v>
      </c>
      <c r="U28" s="164"/>
      <c r="V28" s="164"/>
      <c r="W28" s="164"/>
      <c r="X28" s="164"/>
      <c r="Y28" s="164"/>
      <c r="Z28" s="164"/>
      <c r="AA28" s="164"/>
      <c r="AB28" s="164"/>
      <c r="AC28" s="164"/>
    </row>
    <row r="29" spans="1:38" x14ac:dyDescent="0.25">
      <c r="D29" s="65" t="s">
        <v>44</v>
      </c>
      <c r="U29" s="164"/>
      <c r="V29" s="164"/>
      <c r="W29" s="164"/>
      <c r="X29" s="164"/>
      <c r="Y29" s="164"/>
      <c r="Z29" s="164"/>
      <c r="AA29" s="164"/>
      <c r="AB29" s="164"/>
      <c r="AC29" s="164"/>
    </row>
    <row r="30" spans="1:38" ht="15" customHeight="1" x14ac:dyDescent="0.25">
      <c r="D30" s="30" t="s">
        <v>106</v>
      </c>
      <c r="U30" s="164"/>
      <c r="V30" s="164"/>
      <c r="W30" s="164"/>
      <c r="X30" s="164"/>
      <c r="Y30" s="164"/>
      <c r="Z30" s="164"/>
      <c r="AA30" s="164"/>
      <c r="AB30" s="164"/>
      <c r="AC30" s="164"/>
    </row>
    <row r="31" spans="1:38" ht="15.75" customHeight="1" thickBot="1" x14ac:dyDescent="0.3">
      <c r="D31" s="31" t="s">
        <v>105</v>
      </c>
      <c r="U31" s="164"/>
      <c r="V31" s="164"/>
      <c r="W31" s="164"/>
      <c r="X31" s="164"/>
      <c r="Y31" s="164"/>
      <c r="Z31" s="164"/>
      <c r="AA31" s="164"/>
      <c r="AB31" s="164"/>
      <c r="AC31" s="164"/>
    </row>
  </sheetData>
  <mergeCells count="27"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Y1:Y2"/>
    <mergeCell ref="AB1:AB2"/>
  </mergeCells>
  <conditionalFormatting sqref="AE4:AL26 AD5:AD26">
    <cfRule type="cellIs" dxfId="50" priority="8" stopIfTrue="1" operator="greaterThan">
      <formula>0</formula>
    </cfRule>
    <cfRule type="cellIs" dxfId="49" priority="9" stopIfTrue="1" operator="greaterThan">
      <formula>0</formula>
    </cfRule>
    <cfRule type="cellIs" dxfId="48" priority="10" stopIfTrue="1" operator="greaterThan">
      <formula>0</formula>
    </cfRule>
  </conditionalFormatting>
  <conditionalFormatting sqref="AD4">
    <cfRule type="cellIs" dxfId="47" priority="5" stopIfTrue="1" operator="greaterThan">
      <formula>0</formula>
    </cfRule>
    <cfRule type="cellIs" dxfId="46" priority="6" stopIfTrue="1" operator="greaterThan">
      <formula>0</formula>
    </cfRule>
    <cfRule type="cellIs" dxfId="45" priority="7" stopIfTrue="1" operator="greaterThan">
      <formula>0</formula>
    </cfRule>
  </conditionalFormatting>
  <conditionalFormatting sqref="AD4:AL26">
    <cfRule type="cellIs" dxfId="44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REITORIA_SEMS</vt:lpstr>
      <vt:lpstr>REITORIA_MUSEU</vt:lpstr>
      <vt:lpstr>CESFI</vt:lpstr>
      <vt:lpstr>CEAD</vt:lpstr>
      <vt:lpstr>FAED</vt:lpstr>
      <vt:lpstr>CERES</vt:lpstr>
      <vt:lpstr>CEFID</vt:lpstr>
      <vt:lpstr>CEAVI</vt:lpstr>
      <vt:lpstr>ESAG</vt:lpstr>
      <vt:lpstr>CEART</vt:lpstr>
      <vt:lpstr>GESTOR</vt:lpstr>
      <vt:lpstr>(CARONA)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2015-07-08T21:27:45Z</cp:lastPrinted>
  <dcterms:created xsi:type="dcterms:W3CDTF">2010-06-19T20:43:11Z</dcterms:created>
  <dcterms:modified xsi:type="dcterms:W3CDTF">2025-01-30T17:45:31Z</dcterms:modified>
</cp:coreProperties>
</file>