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0985.2024 SRP SGPE 24533.2024 - Equipamentos de Informática_Projetores - VIG. 29.10.2025\"/>
    </mc:Choice>
  </mc:AlternateContent>
  <xr:revisionPtr revIDLastSave="0" documentId="13_ncr:1_{3FDBCA76-D23F-4F77-8253-D092AFE47E30}" xr6:coauthVersionLast="47" xr6:coauthVersionMax="47" xr10:uidLastSave="{00000000-0000-0000-0000-000000000000}"/>
  <bookViews>
    <workbookView xWindow="-28920" yWindow="-120" windowWidth="29040" windowHeight="15720" tabRatio="707" activeTab="11" xr2:uid="{00000000-000D-0000-FFFF-FFFF00000000}"/>
  </bookViews>
  <sheets>
    <sheet name="REITORIA-SETIC" sheetId="150" r:id="rId1"/>
    <sheet name="FAED" sheetId="177" r:id="rId2"/>
    <sheet name="CEAD" sheetId="178" r:id="rId3"/>
    <sheet name="CEFID" sheetId="179" r:id="rId4"/>
    <sheet name="CERES" sheetId="180" r:id="rId5"/>
    <sheet name="CESFI" sheetId="181" r:id="rId6"/>
    <sheet name="CCT" sheetId="182" r:id="rId7"/>
    <sheet name="CEAVI" sheetId="183" r:id="rId8"/>
    <sheet name="CAV" sheetId="184" r:id="rId9"/>
    <sheet name="CESMO" sheetId="185" r:id="rId10"/>
    <sheet name="CEO" sheetId="186" r:id="rId11"/>
    <sheet name="GESTOR" sheetId="187" r:id="rId12"/>
    <sheet name="(CARONA)" sheetId="188" r:id="rId13"/>
  </sheets>
  <externalReferences>
    <externalReference r:id="rId14"/>
  </externalReferences>
  <definedNames>
    <definedName name="_xlnm._FilterDatabase" localSheetId="8" hidden="1">CAV!$A$3:$AH$10</definedName>
    <definedName name="_xlnm._FilterDatabase" localSheetId="6" hidden="1">CCT!$A$3:$AH$10</definedName>
    <definedName name="_xlnm._FilterDatabase" localSheetId="2" hidden="1">CEAD!$A$2:$AH$10</definedName>
    <definedName name="_xlnm._FilterDatabase" localSheetId="7" hidden="1">CEAVI!$A$3:$AH$10</definedName>
    <definedName name="_xlnm._FilterDatabase" localSheetId="3" hidden="1">CEFID!$A$3:$AH$10</definedName>
    <definedName name="_xlnm._FilterDatabase" localSheetId="10" hidden="1">CEO!$A$3:$AH$10</definedName>
    <definedName name="_xlnm._FilterDatabase" localSheetId="4" hidden="1">CERES!$A$3:$AH$10</definedName>
    <definedName name="_xlnm._FilterDatabase" localSheetId="5" hidden="1">CESFI!$A$3:$AH$10</definedName>
    <definedName name="_xlnm._FilterDatabase" localSheetId="9" hidden="1">CESMO!$A$3:$AH$10</definedName>
    <definedName name="_xlnm._FilterDatabase" localSheetId="1" hidden="1">FAED!$A$3:$AH$10</definedName>
    <definedName name="_xlnm._FilterDatabase" localSheetId="11" hidden="1">GESTOR!$A$3:$R$10</definedName>
    <definedName name="_xlnm._FilterDatabase" localSheetId="0" hidden="1">'REITORIA-SETIC'!$A$3:$AH$11</definedName>
    <definedName name="_PE1451">OFFSET(#REF!,(MATCH(SMALL(#REF!,ROW()-10),#REF!,0)-1),0)</definedName>
    <definedName name="diasuteis" localSheetId="8">#REF!</definedName>
    <definedName name="diasuteis" localSheetId="6">#REF!</definedName>
    <definedName name="diasuteis" localSheetId="2">#REF!</definedName>
    <definedName name="diasuteis" localSheetId="7">#REF!</definedName>
    <definedName name="diasuteis" localSheetId="3">#REF!</definedName>
    <definedName name="diasuteis" localSheetId="10">#REF!</definedName>
    <definedName name="diasuteis" localSheetId="4">#REF!</definedName>
    <definedName name="diasuteis" localSheetId="5">#REF!</definedName>
    <definedName name="diasuteis" localSheetId="9">#REF!</definedName>
    <definedName name="diasuteis" localSheetId="1">#REF!</definedName>
    <definedName name="diasuteis" localSheetId="11">#REF!</definedName>
    <definedName name="diasuteis" localSheetId="0">#REF!</definedName>
    <definedName name="diasuteis">#REF!</definedName>
    <definedName name="Ferias" localSheetId="8">#REF!</definedName>
    <definedName name="Ferias" localSheetId="6">#REF!</definedName>
    <definedName name="Ferias" localSheetId="2">#REF!</definedName>
    <definedName name="Ferias" localSheetId="7">#REF!</definedName>
    <definedName name="Ferias" localSheetId="3">#REF!</definedName>
    <definedName name="Ferias" localSheetId="10">#REF!</definedName>
    <definedName name="Ferias" localSheetId="4">#REF!</definedName>
    <definedName name="Ferias" localSheetId="5">#REF!</definedName>
    <definedName name="Ferias" localSheetId="9">#REF!</definedName>
    <definedName name="Ferias" localSheetId="1">#REF!</definedName>
    <definedName name="Ferias" localSheetId="11">#REF!</definedName>
    <definedName name="Ferias" localSheetId="0">#REF!</definedName>
    <definedName name="Ferias">#REF!</definedName>
    <definedName name="RD" localSheetId="8">OFFSET(#REF!,(MATCH(SMALL(#REF!,ROW()-10),#REF!,0)-1),0)</definedName>
    <definedName name="RD" localSheetId="6">OFFSET(#REF!,(MATCH(SMALL(#REF!,ROW()-10),#REF!,0)-1),0)</definedName>
    <definedName name="RD" localSheetId="2">OFFSET(#REF!,(MATCH(SMALL(#REF!,ROW()-10),#REF!,0)-1),0)</definedName>
    <definedName name="RD" localSheetId="7">OFFSET(#REF!,(MATCH(SMALL(#REF!,ROW()-10),#REF!,0)-1),0)</definedName>
    <definedName name="RD" localSheetId="3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1">OFFSET(#REF!,(MATCH(SMALL(#REF!,ROW()-10),#REF!,0)-1),0)</definedName>
    <definedName name="RD" localSheetId="11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  <definedName name="t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82" l="1"/>
  <c r="M4" i="180"/>
  <c r="J10" i="185" l="1"/>
  <c r="J10" i="184" l="1"/>
  <c r="V10" i="186" l="1"/>
  <c r="U10" i="186"/>
  <c r="T10" i="186"/>
  <c r="J10" i="186" l="1"/>
  <c r="T10" i="183"/>
  <c r="J10" i="183" l="1"/>
  <c r="U10" i="182"/>
  <c r="T10" i="182"/>
  <c r="J11" i="182"/>
  <c r="J10" i="182"/>
  <c r="J10" i="181" l="1"/>
  <c r="J11" i="181"/>
  <c r="Y10" i="180"/>
  <c r="X10" i="180"/>
  <c r="W10" i="180"/>
  <c r="V10" i="180"/>
  <c r="U10" i="180"/>
  <c r="T10" i="180"/>
  <c r="J10" i="180" l="1"/>
  <c r="W10" i="179"/>
  <c r="V10" i="179"/>
  <c r="U10" i="179"/>
  <c r="T10" i="179"/>
  <c r="J10" i="179" l="1"/>
  <c r="J10" i="177"/>
  <c r="J10" i="178"/>
  <c r="J10" i="150"/>
  <c r="U14" i="150" l="1"/>
  <c r="V10" i="150"/>
  <c r="U10" i="150"/>
  <c r="W10" i="150"/>
  <c r="X10" i="150"/>
  <c r="Y10" i="150"/>
  <c r="Z10" i="150"/>
  <c r="AA10" i="150"/>
  <c r="AB10" i="150"/>
  <c r="AC10" i="150"/>
  <c r="AD10" i="150"/>
  <c r="AE10" i="150"/>
  <c r="AF10" i="150"/>
  <c r="AG10" i="150"/>
  <c r="AH10" i="150"/>
  <c r="T10" i="150"/>
  <c r="V9" i="188" l="1"/>
  <c r="U9" i="188"/>
  <c r="R9" i="188"/>
  <c r="O9" i="188"/>
  <c r="L9" i="188"/>
  <c r="I9" i="188"/>
  <c r="V8" i="188"/>
  <c r="U8" i="188"/>
  <c r="R8" i="188"/>
  <c r="O8" i="188"/>
  <c r="L8" i="188"/>
  <c r="I8" i="188"/>
  <c r="V7" i="188"/>
  <c r="U7" i="188"/>
  <c r="R7" i="188"/>
  <c r="O7" i="188"/>
  <c r="L7" i="188"/>
  <c r="I7" i="188"/>
  <c r="V6" i="188"/>
  <c r="U6" i="188"/>
  <c r="R6" i="188"/>
  <c r="O6" i="188"/>
  <c r="L6" i="188"/>
  <c r="I6" i="188"/>
  <c r="V5" i="188"/>
  <c r="U5" i="188"/>
  <c r="R5" i="188"/>
  <c r="O5" i="188"/>
  <c r="L5" i="188"/>
  <c r="I5" i="188"/>
  <c r="V4" i="188"/>
  <c r="U4" i="188"/>
  <c r="R4" i="188"/>
  <c r="O4" i="188"/>
  <c r="L4" i="188"/>
  <c r="I4" i="188"/>
  <c r="J11" i="177" l="1"/>
  <c r="K11" i="177"/>
  <c r="L11" i="177"/>
  <c r="R5" i="150"/>
  <c r="R6" i="150"/>
  <c r="R7" i="150"/>
  <c r="R8" i="150"/>
  <c r="R9" i="150"/>
  <c r="R4" i="150"/>
  <c r="K4" i="150"/>
  <c r="K9" i="186"/>
  <c r="K8" i="186"/>
  <c r="K7" i="186"/>
  <c r="K6" i="186"/>
  <c r="K5" i="186"/>
  <c r="K4" i="186"/>
  <c r="K9" i="185"/>
  <c r="K8" i="185"/>
  <c r="K7" i="185"/>
  <c r="K6" i="185"/>
  <c r="K5" i="185"/>
  <c r="K4" i="185"/>
  <c r="K4" i="184"/>
  <c r="K9" i="184"/>
  <c r="K8" i="184"/>
  <c r="K7" i="184"/>
  <c r="K6" i="184"/>
  <c r="K5" i="184"/>
  <c r="K9" i="183"/>
  <c r="K8" i="183"/>
  <c r="K7" i="183"/>
  <c r="K6" i="183"/>
  <c r="K5" i="183"/>
  <c r="K4" i="183"/>
  <c r="K9" i="182"/>
  <c r="K8" i="182"/>
  <c r="K7" i="182"/>
  <c r="K6" i="182"/>
  <c r="K5" i="182"/>
  <c r="K4" i="182"/>
  <c r="K9" i="181"/>
  <c r="K8" i="181"/>
  <c r="K7" i="181"/>
  <c r="K6" i="181"/>
  <c r="K5" i="181"/>
  <c r="K4" i="181"/>
  <c r="K9" i="180"/>
  <c r="K8" i="180"/>
  <c r="K7" i="180"/>
  <c r="K6" i="180"/>
  <c r="K5" i="180"/>
  <c r="K4" i="180"/>
  <c r="K9" i="179"/>
  <c r="K8" i="179"/>
  <c r="K7" i="179"/>
  <c r="K6" i="179"/>
  <c r="K5" i="179"/>
  <c r="K4" i="179"/>
  <c r="K9" i="178"/>
  <c r="K8" i="178"/>
  <c r="K7" i="178"/>
  <c r="K6" i="178"/>
  <c r="K5" i="178"/>
  <c r="K4" i="178"/>
  <c r="K9" i="177"/>
  <c r="K8" i="177"/>
  <c r="K7" i="177"/>
  <c r="K6" i="177"/>
  <c r="K5" i="177"/>
  <c r="K4" i="177"/>
  <c r="K5" i="150"/>
  <c r="K6" i="150"/>
  <c r="K7" i="150"/>
  <c r="K8" i="150"/>
  <c r="K9" i="150"/>
  <c r="N5" i="187" l="1"/>
  <c r="Q5" i="187" s="1"/>
  <c r="N6" i="187"/>
  <c r="N7" i="187"/>
  <c r="Q7" i="187" s="1"/>
  <c r="N8" i="187"/>
  <c r="Q8" i="187" s="1"/>
  <c r="N9" i="187"/>
  <c r="Q9" i="187" s="1"/>
  <c r="N4" i="187"/>
  <c r="Q4" i="187" s="1"/>
  <c r="K5" i="187"/>
  <c r="K6" i="187"/>
  <c r="K7" i="187"/>
  <c r="K8" i="187"/>
  <c r="K9" i="187"/>
  <c r="K4" i="187"/>
  <c r="L11" i="186"/>
  <c r="K11" i="186"/>
  <c r="J11" i="186"/>
  <c r="L11" i="185"/>
  <c r="K11" i="185"/>
  <c r="J11" i="185"/>
  <c r="L11" i="184"/>
  <c r="K11" i="184"/>
  <c r="J11" i="184"/>
  <c r="K11" i="183"/>
  <c r="J11" i="183"/>
  <c r="K11" i="182"/>
  <c r="L11" i="181"/>
  <c r="K11" i="181"/>
  <c r="K11" i="180"/>
  <c r="J11" i="180"/>
  <c r="L11" i="179"/>
  <c r="K11" i="179"/>
  <c r="J11" i="179"/>
  <c r="L11" i="178"/>
  <c r="K11" i="178"/>
  <c r="J11" i="178"/>
  <c r="K11" i="150"/>
  <c r="J11" i="150"/>
  <c r="R9" i="185"/>
  <c r="N9" i="185"/>
  <c r="L9" i="185"/>
  <c r="R8" i="185"/>
  <c r="N8" i="185"/>
  <c r="L8" i="185"/>
  <c r="R7" i="185"/>
  <c r="N7" i="185"/>
  <c r="L7" i="185"/>
  <c r="R6" i="185"/>
  <c r="N6" i="185"/>
  <c r="L6" i="185"/>
  <c r="R5" i="185"/>
  <c r="N5" i="185"/>
  <c r="L5" i="185"/>
  <c r="R4" i="185"/>
  <c r="R10" i="185" s="1"/>
  <c r="N4" i="185"/>
  <c r="L4" i="185"/>
  <c r="R9" i="184"/>
  <c r="N9" i="184"/>
  <c r="L9" i="184"/>
  <c r="R8" i="184"/>
  <c r="N8" i="184"/>
  <c r="L8" i="184"/>
  <c r="R7" i="184"/>
  <c r="N7" i="184"/>
  <c r="L7" i="184"/>
  <c r="R6" i="184"/>
  <c r="N6" i="184"/>
  <c r="L6" i="184"/>
  <c r="R5" i="184"/>
  <c r="N5" i="184"/>
  <c r="L5" i="184"/>
  <c r="R4" i="184"/>
  <c r="N4" i="184"/>
  <c r="L4" i="184"/>
  <c r="R9" i="183"/>
  <c r="N9" i="183"/>
  <c r="L9" i="183"/>
  <c r="R8" i="183"/>
  <c r="N8" i="183"/>
  <c r="L8" i="183"/>
  <c r="R7" i="183"/>
  <c r="N7" i="183"/>
  <c r="L7" i="183"/>
  <c r="R6" i="183"/>
  <c r="N6" i="183"/>
  <c r="L6" i="183"/>
  <c r="R5" i="183"/>
  <c r="N5" i="183"/>
  <c r="L5" i="183"/>
  <c r="R4" i="183"/>
  <c r="N4" i="183"/>
  <c r="L4" i="183"/>
  <c r="L11" i="183" s="1"/>
  <c r="R9" i="182"/>
  <c r="N9" i="182"/>
  <c r="L9" i="182"/>
  <c r="R8" i="182"/>
  <c r="N8" i="182"/>
  <c r="L8" i="182"/>
  <c r="L11" i="182" s="1"/>
  <c r="R7" i="182"/>
  <c r="N7" i="182"/>
  <c r="L7" i="182"/>
  <c r="R6" i="182"/>
  <c r="N6" i="182"/>
  <c r="L6" i="182"/>
  <c r="R5" i="182"/>
  <c r="N5" i="182"/>
  <c r="L5" i="182"/>
  <c r="R4" i="182"/>
  <c r="N4" i="182"/>
  <c r="L4" i="182"/>
  <c r="R9" i="181"/>
  <c r="N9" i="181"/>
  <c r="L9" i="181"/>
  <c r="R8" i="181"/>
  <c r="N8" i="181"/>
  <c r="L8" i="181"/>
  <c r="R7" i="181"/>
  <c r="N7" i="181"/>
  <c r="L7" i="181"/>
  <c r="R6" i="181"/>
  <c r="N6" i="181"/>
  <c r="L6" i="181"/>
  <c r="R5" i="181"/>
  <c r="R10" i="181" s="1"/>
  <c r="N5" i="181"/>
  <c r="L5" i="181"/>
  <c r="R4" i="181"/>
  <c r="N4" i="181"/>
  <c r="L4" i="181"/>
  <c r="R9" i="180"/>
  <c r="N9" i="180"/>
  <c r="L9" i="180"/>
  <c r="R8" i="180"/>
  <c r="N8" i="180"/>
  <c r="L8" i="180"/>
  <c r="R7" i="180"/>
  <c r="N7" i="180"/>
  <c r="L7" i="180"/>
  <c r="R6" i="180"/>
  <c r="N6" i="180"/>
  <c r="L6" i="180"/>
  <c r="L11" i="180" s="1"/>
  <c r="R5" i="180"/>
  <c r="N5" i="180"/>
  <c r="L5" i="180"/>
  <c r="R4" i="180"/>
  <c r="R10" i="180" s="1"/>
  <c r="N4" i="180"/>
  <c r="L4" i="180"/>
  <c r="R9" i="179"/>
  <c r="N9" i="179"/>
  <c r="L9" i="179"/>
  <c r="R8" i="179"/>
  <c r="N8" i="179"/>
  <c r="L8" i="179"/>
  <c r="R7" i="179"/>
  <c r="N7" i="179"/>
  <c r="L7" i="179"/>
  <c r="R6" i="179"/>
  <c r="N6" i="179"/>
  <c r="L6" i="179"/>
  <c r="R5" i="179"/>
  <c r="N5" i="179"/>
  <c r="L5" i="179"/>
  <c r="R4" i="179"/>
  <c r="N4" i="179"/>
  <c r="L4" i="179"/>
  <c r="R9" i="178"/>
  <c r="N9" i="178"/>
  <c r="L9" i="178"/>
  <c r="R8" i="178"/>
  <c r="N8" i="178"/>
  <c r="L8" i="178"/>
  <c r="R7" i="178"/>
  <c r="N7" i="178"/>
  <c r="L7" i="178"/>
  <c r="R6" i="178"/>
  <c r="R10" i="178" s="1"/>
  <c r="N6" i="178"/>
  <c r="L6" i="178"/>
  <c r="R5" i="178"/>
  <c r="N5" i="178"/>
  <c r="L5" i="178"/>
  <c r="R4" i="178"/>
  <c r="N4" i="178"/>
  <c r="L4" i="178"/>
  <c r="R9" i="177"/>
  <c r="N9" i="177"/>
  <c r="L9" i="177"/>
  <c r="R8" i="177"/>
  <c r="N8" i="177"/>
  <c r="L8" i="177"/>
  <c r="R7" i="177"/>
  <c r="N7" i="177"/>
  <c r="L7" i="177"/>
  <c r="R6" i="177"/>
  <c r="N6" i="177"/>
  <c r="L6" i="177"/>
  <c r="R5" i="177"/>
  <c r="N5" i="177"/>
  <c r="L5" i="177"/>
  <c r="R4" i="177"/>
  <c r="R10" i="177" s="1"/>
  <c r="N4" i="177"/>
  <c r="L4" i="177"/>
  <c r="N9" i="150"/>
  <c r="M9" i="187" s="1"/>
  <c r="L9" i="150"/>
  <c r="N8" i="150"/>
  <c r="M8" i="187" s="1"/>
  <c r="L8" i="150"/>
  <c r="N7" i="150"/>
  <c r="M7" i="187" s="1"/>
  <c r="L7" i="150"/>
  <c r="N6" i="150"/>
  <c r="M6" i="187" s="1"/>
  <c r="L6" i="150"/>
  <c r="N5" i="150"/>
  <c r="M5" i="187" s="1"/>
  <c r="L5" i="150"/>
  <c r="N4" i="150"/>
  <c r="M4" i="187" s="1"/>
  <c r="L4" i="150"/>
  <c r="L5" i="186"/>
  <c r="N5" i="186"/>
  <c r="R5" i="186"/>
  <c r="L6" i="186"/>
  <c r="N6" i="186"/>
  <c r="R6" i="186"/>
  <c r="L7" i="186"/>
  <c r="N7" i="186"/>
  <c r="R7" i="186"/>
  <c r="L8" i="186"/>
  <c r="N8" i="186"/>
  <c r="R8" i="186"/>
  <c r="L9" i="186"/>
  <c r="N9" i="186"/>
  <c r="R9" i="186"/>
  <c r="R4" i="186"/>
  <c r="N4" i="186"/>
  <c r="L4" i="186"/>
  <c r="J5" i="150"/>
  <c r="J4" i="150"/>
  <c r="J4" i="186"/>
  <c r="J4" i="184"/>
  <c r="J4" i="183"/>
  <c r="J4" i="182"/>
  <c r="J4" i="181"/>
  <c r="J4" i="180"/>
  <c r="L4" i="187" l="1"/>
  <c r="R4" i="187" s="1"/>
  <c r="R10" i="183"/>
  <c r="R10" i="182"/>
  <c r="R10" i="179"/>
  <c r="L11" i="150"/>
  <c r="R10" i="150"/>
  <c r="R10" i="184"/>
  <c r="J4" i="187"/>
  <c r="G4" i="188" s="1"/>
  <c r="J5" i="187"/>
  <c r="J6" i="187"/>
  <c r="G6" i="188" s="1"/>
  <c r="J7" i="187"/>
  <c r="J8" i="187"/>
  <c r="G8" i="188" s="1"/>
  <c r="J9" i="187"/>
  <c r="G9" i="188" s="1"/>
  <c r="F14" i="187"/>
  <c r="F13" i="187"/>
  <c r="F12" i="187"/>
  <c r="Y8" i="188" l="1"/>
  <c r="T8" i="188"/>
  <c r="W8" i="188" s="1"/>
  <c r="Q8" i="188" s="1"/>
  <c r="S8" i="188" s="1"/>
  <c r="P7" i="187"/>
  <c r="G7" i="188"/>
  <c r="Y6" i="188"/>
  <c r="T6" i="188"/>
  <c r="W6" i="188" s="1"/>
  <c r="N6" i="188" s="1"/>
  <c r="P6" i="188" s="1"/>
  <c r="Y4" i="188"/>
  <c r="T4" i="188"/>
  <c r="W4" i="188" s="1"/>
  <c r="N4" i="188" s="1"/>
  <c r="P4" i="188" s="1"/>
  <c r="T9" i="188"/>
  <c r="W9" i="188" s="1"/>
  <c r="K9" i="188" s="1"/>
  <c r="M9" i="188" s="1"/>
  <c r="Y9" i="188"/>
  <c r="P5" i="187"/>
  <c r="G5" i="188"/>
  <c r="P4" i="187"/>
  <c r="O4" i="187"/>
  <c r="P9" i="187"/>
  <c r="P8" i="187"/>
  <c r="AH10" i="186"/>
  <c r="AG10" i="186"/>
  <c r="AF10" i="186"/>
  <c r="AE10" i="186"/>
  <c r="AD10" i="186"/>
  <c r="AC10" i="186"/>
  <c r="AB10" i="186"/>
  <c r="AA10" i="186"/>
  <c r="Z10" i="186"/>
  <c r="Y10" i="186"/>
  <c r="X10" i="186"/>
  <c r="W10" i="186"/>
  <c r="S9" i="186"/>
  <c r="S8" i="186"/>
  <c r="S7" i="186"/>
  <c r="S6" i="186"/>
  <c r="S5" i="186"/>
  <c r="AH10" i="185"/>
  <c r="AG10" i="185"/>
  <c r="AF10" i="185"/>
  <c r="AE10" i="185"/>
  <c r="AD10" i="185"/>
  <c r="AC10" i="185"/>
  <c r="AB10" i="185"/>
  <c r="AA10" i="185"/>
  <c r="Z10" i="185"/>
  <c r="Y10" i="185"/>
  <c r="X10" i="185"/>
  <c r="W10" i="185"/>
  <c r="V10" i="185"/>
  <c r="U10" i="185"/>
  <c r="T10" i="185"/>
  <c r="S9" i="185"/>
  <c r="S8" i="185"/>
  <c r="S7" i="185"/>
  <c r="S6" i="185"/>
  <c r="S5" i="185"/>
  <c r="S4" i="185"/>
  <c r="AH10" i="184"/>
  <c r="AG10" i="184"/>
  <c r="AF10" i="184"/>
  <c r="AE10" i="184"/>
  <c r="AD10" i="184"/>
  <c r="AC10" i="184"/>
  <c r="AB10" i="184"/>
  <c r="AA10" i="184"/>
  <c r="Z10" i="184"/>
  <c r="Y10" i="184"/>
  <c r="X10" i="184"/>
  <c r="W10" i="184"/>
  <c r="V10" i="184"/>
  <c r="U10" i="184"/>
  <c r="T10" i="184"/>
  <c r="S9" i="184"/>
  <c r="S8" i="184"/>
  <c r="S7" i="184"/>
  <c r="S6" i="184"/>
  <c r="S5" i="184"/>
  <c r="S4" i="184"/>
  <c r="AH10" i="183"/>
  <c r="AG10" i="183"/>
  <c r="AF10" i="183"/>
  <c r="AE10" i="183"/>
  <c r="AD10" i="183"/>
  <c r="AC10" i="183"/>
  <c r="AB10" i="183"/>
  <c r="AA10" i="183"/>
  <c r="Z10" i="183"/>
  <c r="Y10" i="183"/>
  <c r="X10" i="183"/>
  <c r="W10" i="183"/>
  <c r="V10" i="183"/>
  <c r="U10" i="183"/>
  <c r="S9" i="183"/>
  <c r="S8" i="183"/>
  <c r="S7" i="183"/>
  <c r="S6" i="183"/>
  <c r="S5" i="183"/>
  <c r="AH10" i="182"/>
  <c r="AG10" i="182"/>
  <c r="AF10" i="182"/>
  <c r="AE10" i="182"/>
  <c r="AD10" i="182"/>
  <c r="AC10" i="182"/>
  <c r="AB10" i="182"/>
  <c r="AA10" i="182"/>
  <c r="Z10" i="182"/>
  <c r="Y10" i="182"/>
  <c r="X10" i="182"/>
  <c r="W10" i="182"/>
  <c r="V10" i="182"/>
  <c r="S9" i="182"/>
  <c r="S8" i="182"/>
  <c r="S7" i="182"/>
  <c r="S6" i="182"/>
  <c r="S5" i="182"/>
  <c r="S4" i="182"/>
  <c r="AH10" i="181"/>
  <c r="AG10" i="181"/>
  <c r="AF10" i="181"/>
  <c r="AE10" i="181"/>
  <c r="AD10" i="181"/>
  <c r="AC10" i="181"/>
  <c r="AB10" i="181"/>
  <c r="AA10" i="181"/>
  <c r="Z10" i="181"/>
  <c r="Y10" i="181"/>
  <c r="X10" i="181"/>
  <c r="W10" i="181"/>
  <c r="V10" i="181"/>
  <c r="U10" i="181"/>
  <c r="T10" i="181"/>
  <c r="S9" i="181"/>
  <c r="S8" i="181"/>
  <c r="S7" i="181"/>
  <c r="S6" i="181"/>
  <c r="S4" i="181"/>
  <c r="AH10" i="180"/>
  <c r="AG10" i="180"/>
  <c r="AF10" i="180"/>
  <c r="AE10" i="180"/>
  <c r="AD10" i="180"/>
  <c r="AC10" i="180"/>
  <c r="AB10" i="180"/>
  <c r="AA10" i="180"/>
  <c r="Z10" i="180"/>
  <c r="S9" i="180"/>
  <c r="S8" i="180"/>
  <c r="S7" i="180"/>
  <c r="S6" i="180"/>
  <c r="S5" i="180"/>
  <c r="S4" i="180"/>
  <c r="AH10" i="179"/>
  <c r="AG10" i="179"/>
  <c r="AF10" i="179"/>
  <c r="AE10" i="179"/>
  <c r="AD10" i="179"/>
  <c r="AC10" i="179"/>
  <c r="AB10" i="179"/>
  <c r="AA10" i="179"/>
  <c r="Z10" i="179"/>
  <c r="Y10" i="179"/>
  <c r="X10" i="179"/>
  <c r="S9" i="179"/>
  <c r="S8" i="179"/>
  <c r="S7" i="179"/>
  <c r="S6" i="179"/>
  <c r="S5" i="179"/>
  <c r="AH10" i="178"/>
  <c r="AG10" i="178"/>
  <c r="AF10" i="178"/>
  <c r="AE10" i="178"/>
  <c r="AD10" i="178"/>
  <c r="AC10" i="178"/>
  <c r="AB10" i="178"/>
  <c r="AA10" i="178"/>
  <c r="Z10" i="178"/>
  <c r="Y10" i="178"/>
  <c r="X10" i="178"/>
  <c r="W10" i="178"/>
  <c r="V10" i="178"/>
  <c r="U10" i="178"/>
  <c r="S4" i="178"/>
  <c r="AH10" i="177"/>
  <c r="AG10" i="177"/>
  <c r="AF10" i="177"/>
  <c r="AE10" i="177"/>
  <c r="AD10" i="177"/>
  <c r="AC10" i="177"/>
  <c r="AB10" i="177"/>
  <c r="AA10" i="177"/>
  <c r="Z10" i="177"/>
  <c r="Y10" i="177"/>
  <c r="X10" i="177"/>
  <c r="W10" i="177"/>
  <c r="V10" i="177"/>
  <c r="U10" i="177"/>
  <c r="T10" i="177"/>
  <c r="S9" i="177"/>
  <c r="S8" i="177"/>
  <c r="S7" i="177"/>
  <c r="S6" i="177"/>
  <c r="S5" i="177"/>
  <c r="Q9" i="188" l="1"/>
  <c r="S9" i="188" s="1"/>
  <c r="K8" i="188"/>
  <c r="M8" i="188" s="1"/>
  <c r="Q6" i="188"/>
  <c r="S6" i="188" s="1"/>
  <c r="N8" i="188"/>
  <c r="P8" i="188" s="1"/>
  <c r="H9" i="188"/>
  <c r="J9" i="188" s="1"/>
  <c r="H6" i="188"/>
  <c r="J6" i="188" s="1"/>
  <c r="H8" i="188"/>
  <c r="J8" i="188" s="1"/>
  <c r="N9" i="188"/>
  <c r="P9" i="188" s="1"/>
  <c r="K6" i="188"/>
  <c r="M6" i="188" s="1"/>
  <c r="H4" i="188"/>
  <c r="J4" i="188" s="1"/>
  <c r="T5" i="188"/>
  <c r="W5" i="188" s="1"/>
  <c r="K5" i="188" s="1"/>
  <c r="M5" i="188" s="1"/>
  <c r="Y5" i="188"/>
  <c r="Q4" i="188"/>
  <c r="S4" i="188" s="1"/>
  <c r="K4" i="188"/>
  <c r="M4" i="188" s="1"/>
  <c r="T7" i="188"/>
  <c r="W7" i="188" s="1"/>
  <c r="Q7" i="188" s="1"/>
  <c r="S7" i="188" s="1"/>
  <c r="Y7" i="188"/>
  <c r="S5" i="178"/>
  <c r="S7" i="178"/>
  <c r="S8" i="178"/>
  <c r="S9" i="178"/>
  <c r="S6" i="178"/>
  <c r="S4" i="186"/>
  <c r="R10" i="186"/>
  <c r="S4" i="183"/>
  <c r="S5" i="181"/>
  <c r="S4" i="179"/>
  <c r="S4" i="177"/>
  <c r="N5" i="188" l="1"/>
  <c r="P5" i="188" s="1"/>
  <c r="Q5" i="188"/>
  <c r="S5" i="188" s="1"/>
  <c r="H5" i="188"/>
  <c r="J5" i="188" s="1"/>
  <c r="K7" i="188"/>
  <c r="M7" i="188" s="1"/>
  <c r="N7" i="188"/>
  <c r="P7" i="188" s="1"/>
  <c r="H7" i="188"/>
  <c r="J7" i="188" s="1"/>
  <c r="L9" i="187"/>
  <c r="L5" i="187"/>
  <c r="L6" i="187"/>
  <c r="L7" i="187"/>
  <c r="L8" i="187"/>
  <c r="O8" i="187" l="1"/>
  <c r="R8" i="187"/>
  <c r="O7" i="187"/>
  <c r="R7" i="187"/>
  <c r="O6" i="187"/>
  <c r="R6" i="187"/>
  <c r="O5" i="187"/>
  <c r="R5" i="187"/>
  <c r="O9" i="187"/>
  <c r="R9" i="187"/>
  <c r="S8" i="150"/>
  <c r="S9" i="150"/>
  <c r="S7" i="150"/>
  <c r="S5" i="150"/>
  <c r="S6" i="150"/>
  <c r="S4" i="150"/>
  <c r="O10" i="187" l="1"/>
  <c r="R10" i="187" l="1"/>
  <c r="I16" i="187" s="1"/>
  <c r="P6" i="187"/>
  <c r="P10" i="187" s="1"/>
  <c r="I15" i="187" s="1"/>
  <c r="Q6" i="187"/>
  <c r="Q10" i="187" s="1"/>
  <c r="I18" i="18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AF0D5557-8482-45EA-A9DA-B876DEDC750B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22412A63-E76E-401E-A7B0-B26BC51AFF3F}">
      <text>
        <r>
          <rPr>
            <b/>
            <sz val="10"/>
            <color indexed="81"/>
            <rFont val="Segoe UI"/>
            <family val="2"/>
          </rPr>
          <t xml:space="preserve">CAMILA DE ALMEIDA LUCA BATISTA:
CESSÕES  -28/11/2024 : </t>
        </r>
        <r>
          <rPr>
            <sz val="10"/>
            <color indexed="81"/>
            <rFont val="Segoe UI"/>
            <family val="2"/>
          </rPr>
          <t xml:space="preserve"> Reitoria (8)+ CESFI (5) + CERES (10) + CCT (15) + CEAVI (6) + CEO (10) + CAV (20)</t>
        </r>
      </text>
    </comment>
    <comment ref="I6" authorId="0" shapeId="0" xr:uid="{1CEE7118-CC8E-4F1D-AD5D-E0656BE335D6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FDFFEF37-E13F-4706-9E51-329EB238C732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I6" authorId="0" shapeId="0" xr:uid="{B08E0FFF-D152-43A2-81AC-B5A15A69F40C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00EEC889-D8D8-4D3A-9E57-F27F66704164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7E5005CC-2E7B-4A0A-B209-E8CD9EE53955}">
      <text>
        <r>
          <rPr>
            <b/>
            <sz val="10"/>
            <color indexed="81"/>
            <rFont val="Segoe UI"/>
            <family val="2"/>
          </rPr>
          <t>CAMILA DE ALMEIDA LUCA BATISTA:</t>
        </r>
        <r>
          <rPr>
            <sz val="10"/>
            <color indexed="81"/>
            <rFont val="Segoe UI"/>
            <family val="2"/>
          </rPr>
          <t xml:space="preserve">
demanda SED 09/12/2024 (10) - </t>
        </r>
        <r>
          <rPr>
            <b/>
            <sz val="10"/>
            <color indexed="81"/>
            <rFont val="Segoe UI"/>
            <family val="2"/>
          </rPr>
          <t xml:space="preserve">LETÍCIA-SEGECON/FPOLIS: 10/04/2025: </t>
        </r>
        <r>
          <rPr>
            <sz val="10"/>
            <color indexed="81"/>
            <rFont val="Segoe UI"/>
            <family val="2"/>
          </rPr>
          <t>(CEDIDO PARA REITORIA - AF DA SED)</t>
        </r>
      </text>
    </comment>
    <comment ref="I6" authorId="0" shapeId="0" xr:uid="{B76DFDB8-BEB9-4901-802E-68A1F3698FC0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1CF9E97E-4A04-455D-B45C-0744497A74B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I6" authorId="0" shapeId="0" xr:uid="{D177DA63-7B68-4E99-B56C-899C857709E5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LETÍCIA-SEGECON/FPOLIS</author>
  </authors>
  <commentList>
    <comment ref="G3" authorId="0" shapeId="0" xr:uid="{341B3CC9-41D1-4606-845A-48742FB5FDF2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  <comment ref="Z3" authorId="1" shapeId="0" xr:uid="{251D3783-67AA-401A-B93E-16B71FD9BE1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14/03/2025: OFÍCIO 17/2025.</t>
        </r>
      </text>
    </comment>
    <comment ref="E4" authorId="1" shapeId="0" xr:uid="{A5B6F5A2-0984-406B-B609-338405C7175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X6" authorId="1" shapeId="0" xr:uid="{4662A691-13CE-4ACA-B92D-B6BB2036B8F4}">
      <text>
        <r>
          <rPr>
            <b/>
            <sz val="10"/>
            <color indexed="81"/>
            <rFont val="Segoe UI"/>
            <family val="2"/>
          </rPr>
          <t xml:space="preserve">AKAUA FLORES ARROYO:
Alterado de 4.508,46 para 5.570,07 a partir de 19/02/2025  por concessão de reequilibrio econômico finânceiro.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7AB24940-6EB2-4B26-BB1C-39418E828492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I6" authorId="0" shapeId="0" xr:uid="{FDC81249-08A5-46C4-B784-A4A769D8230A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43640E62-E325-4824-839B-BFC5363C121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I6" authorId="0" shapeId="0" xr:uid="{7303E0CC-D093-45A0-879C-F9C9AF6A2E17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57E3E432-3326-4F92-8058-A41F93C9E78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I6" authorId="0" shapeId="0" xr:uid="{2AA47CF4-8367-4360-BC83-CCB87E3EC8A2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8BB851CC-8B74-4D21-B0B9-3EFDD029650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BA7059FF-BDF8-4895-BD36-3BBE70F5DBCD}">
      <text>
        <r>
          <rPr>
            <b/>
            <sz val="10"/>
            <color indexed="81"/>
            <rFont val="Segoe UI"/>
            <family val="2"/>
          </rPr>
          <t>CAMILA DE ALMEIDA LUCA BATISTA:</t>
        </r>
        <r>
          <rPr>
            <sz val="10"/>
            <color indexed="81"/>
            <rFont val="Segoe UI"/>
            <family val="2"/>
          </rPr>
          <t xml:space="preserve">
demanda SED 28.11.2024 (10) - </t>
        </r>
        <r>
          <rPr>
            <b/>
            <sz val="10"/>
            <color indexed="81"/>
            <rFont val="Segoe UI"/>
            <family val="2"/>
          </rPr>
          <t xml:space="preserve">LETÍCIA-SEGECON/FPOLIS: 10/04/2025: </t>
        </r>
        <r>
          <rPr>
            <sz val="10"/>
            <color indexed="81"/>
            <rFont val="Segoe UI"/>
            <family val="2"/>
          </rPr>
          <t xml:space="preserve">(CEDIDO PARA REITORIA - AF DA SED).
</t>
        </r>
      </text>
    </comment>
    <comment ref="I6" authorId="0" shapeId="0" xr:uid="{D1E89B2D-8CF3-49D7-8E1E-A9445006476B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CAMILA DE ALMEIDA LUCA BATISTA</author>
  </authors>
  <commentList>
    <comment ref="E4" authorId="0" shapeId="0" xr:uid="{D631C78C-DC3C-4FD2-B797-386EAE05BBAE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J4" authorId="1" shapeId="0" xr:uid="{73ED8369-7EE7-43D1-96C3-79AF0B307316}">
      <text>
        <r>
          <rPr>
            <b/>
            <sz val="9"/>
            <color indexed="81"/>
            <rFont val="Segoe UI"/>
            <family val="2"/>
          </rPr>
          <t>CAMILA DE ALMEIDA LUCA BATISTA:</t>
        </r>
        <r>
          <rPr>
            <sz val="9"/>
            <color indexed="81"/>
            <rFont val="Segoe UI"/>
            <family val="2"/>
          </rPr>
          <t xml:space="preserve">
demanda SED 28.11.2024</t>
        </r>
      </text>
    </comment>
    <comment ref="I6" authorId="0" shapeId="0" xr:uid="{9C5497BD-0DBE-42FE-A33B-8C1E7A2B60B0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A9B0BA24-72A2-4135-B465-5DA0020D3067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E9DB2BCC-50B9-4D31-8619-B7187A751623}">
      <text>
        <r>
          <rPr>
            <b/>
            <sz val="10"/>
            <color indexed="81"/>
            <rFont val="Segoe UI"/>
            <family val="2"/>
          </rPr>
          <t>CAMILA DE ALMEIDA LUCA BATISTA:</t>
        </r>
        <r>
          <rPr>
            <sz val="10"/>
            <color indexed="81"/>
            <rFont val="Segoe UI"/>
            <family val="2"/>
          </rPr>
          <t xml:space="preserve">
demanda SED 28.11.2024 (15) - </t>
        </r>
      </text>
    </comment>
    <comment ref="I6" authorId="0" shapeId="0" xr:uid="{E6C6525F-641C-46F3-B399-4E95F37D2220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19325B5C-8CF4-4EDE-AA9D-242B1B236E5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221B9E73-A973-4C25-8952-B130E191435C}">
      <text>
        <r>
          <rPr>
            <b/>
            <sz val="10"/>
            <color indexed="81"/>
            <rFont val="Segoe UI"/>
            <family val="2"/>
          </rPr>
          <t>CAMILA DE ALMEIDA LUCA BATISTA:</t>
        </r>
        <r>
          <rPr>
            <sz val="10"/>
            <color indexed="81"/>
            <rFont val="Segoe UI"/>
            <family val="2"/>
          </rPr>
          <t xml:space="preserve">
demanda SED 28.11.2024 (6) - </t>
        </r>
        <r>
          <rPr>
            <b/>
            <sz val="10"/>
            <color indexed="81"/>
            <rFont val="Segoe UI"/>
            <family val="2"/>
          </rPr>
          <t>LETÍCIA-SEGECON/FPOLIS: 10/04/2025:</t>
        </r>
        <r>
          <rPr>
            <sz val="10"/>
            <color indexed="81"/>
            <rFont val="Segoe UI"/>
            <family val="2"/>
          </rPr>
          <t xml:space="preserve"> (CEDIDO PARA REITORIA - AF DA SED)</t>
        </r>
      </text>
    </comment>
    <comment ref="I6" authorId="0" shapeId="0" xr:uid="{D1ABCC61-E5AE-4638-A8C7-4717F38A642C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659BF1BC-BDD5-477A-8828-3D03DE4536AA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2D657E39-5CBE-44A6-B8F6-3494563B1A07}">
      <text>
        <r>
          <rPr>
            <b/>
            <sz val="10"/>
            <color indexed="81"/>
            <rFont val="Segoe UI"/>
            <family val="2"/>
          </rPr>
          <t>CAMILA DE ALMEIDA LUCA BATISTA:</t>
        </r>
        <r>
          <rPr>
            <sz val="10"/>
            <color indexed="81"/>
            <rFont val="Segoe UI"/>
            <family val="2"/>
          </rPr>
          <t xml:space="preserve">
demanda SED 28.11.2024 (20)
</t>
        </r>
        <r>
          <rPr>
            <b/>
            <sz val="10"/>
            <color indexed="81"/>
            <rFont val="Segoe UI"/>
            <family val="2"/>
          </rPr>
          <t>LETÍCIA-SEGECON/FPOLIS: 10/04/2025:</t>
        </r>
        <r>
          <rPr>
            <sz val="10"/>
            <color indexed="81"/>
            <rFont val="Segoe UI"/>
            <family val="2"/>
          </rPr>
          <t xml:space="preserve"> (CEDIDO PARA REITORIA - AF DA SED)</t>
        </r>
      </text>
    </comment>
    <comment ref="J5" authorId="0" shapeId="0" xr:uid="{52FE1E1C-DFD4-491A-AF75-CE9BD84ED27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12/12/202415:06 Cedido à Reitoria: 20.</t>
        </r>
      </text>
    </comment>
    <comment ref="I6" authorId="0" shapeId="0" xr:uid="{9C8EEAA3-D0DF-4189-95A9-74E97D94340B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<sst xmlns="http://schemas.openxmlformats.org/spreadsheetml/2006/main" count="1250" uniqueCount="143">
  <si>
    <t>Saldo / Automático</t>
  </si>
  <si>
    <t>...../...../......</t>
  </si>
  <si>
    <t>ALERTA</t>
  </si>
  <si>
    <t>Item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</si>
  <si>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</si>
  <si>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</si>
  <si>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</si>
  <si>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</si>
  <si>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</si>
  <si>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</si>
  <si>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</si>
  <si>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</si>
  <si>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Grupo-Classe</t>
  </si>
  <si>
    <t>Código NUC</t>
  </si>
  <si>
    <t>Empresa</t>
  </si>
  <si>
    <t>Preço  Unitário</t>
  </si>
  <si>
    <t xml:space="preserve">Valor Total da Ata </t>
  </si>
  <si>
    <t>13-01</t>
  </si>
  <si>
    <t>Detalhamento</t>
  </si>
  <si>
    <t>449052.35</t>
  </si>
  <si>
    <t>00472 3 349</t>
  </si>
  <si>
    <t xml:space="preserve">13 01 </t>
  </si>
  <si>
    <t xml:space="preserve"> AF nº  xxxx/2024 Qtde.</t>
  </si>
  <si>
    <t xml:space="preserve">13 04 </t>
  </si>
  <si>
    <r>
      <rPr>
        <b/>
        <sz val="11"/>
        <rFont val="Calibri"/>
        <family val="2"/>
        <scheme val="minor"/>
      </rPr>
      <t>OBJETO</t>
    </r>
    <r>
      <rPr>
        <sz val="11"/>
        <rFont val="Calibri"/>
        <family val="2"/>
        <scheme val="minor"/>
      </rPr>
      <t>: AQUISIÇÃO DE EQUIPAMENTOS DE INFORMÁTICA E DE PROJEÇÃO (PROJETOR MULTIMÍDIA AVANÇADO, TELA DE PROJEÇÃO, TABLET, LEITOR DE CÓDIGO DE BARRAS 2D, KITS DE ESTAÇÃO DE GERENCIAMENTO DE INDÚSTRIA 4.0 E SCANNER PLANETÁRIO) PARA A UDESC</t>
    </r>
  </si>
  <si>
    <r>
      <t xml:space="preserve">VIGÊNCIA DA ATA: 29/10/2024 </t>
    </r>
    <r>
      <rPr>
        <b/>
        <sz val="11"/>
        <rFont val="Calibri"/>
        <family val="2"/>
        <scheme val="minor"/>
      </rPr>
      <t>até 29/10/2025</t>
    </r>
  </si>
  <si>
    <t>PE 0985/2024/UDESC SRP - (SGPE DE ORIGEM: 24533/2024)</t>
  </si>
  <si>
    <t>Descrição</t>
  </si>
  <si>
    <t>Modelo</t>
  </si>
  <si>
    <t xml:space="preserve">Marca </t>
  </si>
  <si>
    <t>CEK INFORMÁTICA EIRELI ME - CNPJ: 00.949.640/0001-42</t>
  </si>
  <si>
    <t>Projetor Multimídia Avançado</t>
  </si>
  <si>
    <t xml:space="preserve">Tela para Projeção </t>
  </si>
  <si>
    <t>Tablet</t>
  </si>
  <si>
    <t xml:space="preserve">	D&amp;B INFORMATICA COMÉRCIO DE ELETROELETRONICOS LTDA - CNPJ:  29.767.790/0001-17</t>
  </si>
  <si>
    <t>Leitor de Código de Barras 2D</t>
  </si>
  <si>
    <t xml:space="preserve">	STUDIO COMERCIO ATACADISTA DE PRODUTOS DE INFORMATICA EIRELI - CNPJ: 08.710871/0001-00</t>
  </si>
  <si>
    <t xml:space="preserve">Kit de Estação de Gerenciamento de Indústria 4.0 </t>
  </si>
  <si>
    <t xml:space="preserve">	NAVISYSTEM IMPORTAÇÃO LTDA - EPP - CNPJ: 08.395.059/0001-38</t>
  </si>
  <si>
    <t>Scanner Planetário</t>
  </si>
  <si>
    <t>INFOCUS</t>
  </si>
  <si>
    <t xml:space="preserve">NARDELII </t>
  </si>
  <si>
    <t xml:space="preserve">NES 003 </t>
  </si>
  <si>
    <t xml:space="preserve">SAMSUNG </t>
  </si>
  <si>
    <t xml:space="preserve">GALAXY TAB S9 </t>
  </si>
  <si>
    <t xml:space="preserve">Zebra DS2278  </t>
  </si>
  <si>
    <t xml:space="preserve">	Zebra DS2278 </t>
  </si>
  <si>
    <t>HP 400 DM G9</t>
  </si>
  <si>
    <t xml:space="preserve">Scansystem </t>
  </si>
  <si>
    <t xml:space="preserve">SCAN23 </t>
  </si>
  <si>
    <t>24 03</t>
  </si>
  <si>
    <t>01277 7 019</t>
  </si>
  <si>
    <t>24 07</t>
  </si>
  <si>
    <t>03060 0 014</t>
  </si>
  <si>
    <t>11664-5-001</t>
  </si>
  <si>
    <t>08738 6 013</t>
  </si>
  <si>
    <t>00468 5 001</t>
  </si>
  <si>
    <t xml:space="preserve">449052.33 </t>
  </si>
  <si>
    <t>339030.29</t>
  </si>
  <si>
    <r>
      <rPr>
        <b/>
        <sz val="11"/>
        <rFont val="Calibri"/>
        <family val="2"/>
        <scheme val="minor"/>
      </rPr>
      <t>OBS:</t>
    </r>
    <r>
      <rPr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scheme val="minor"/>
      </rPr>
      <t>VALOR MÍNIMO</t>
    </r>
    <r>
      <rPr>
        <sz val="11"/>
        <rFont val="Calibri"/>
        <family val="2"/>
        <scheme val="minor"/>
      </rPr>
      <t xml:space="preserve"> DA AF:</t>
    </r>
    <r>
      <rPr>
        <u/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scheme val="minor"/>
      </rPr>
      <t>R$ 500,00</t>
    </r>
  </si>
  <si>
    <t xml:space="preserve">OBS: </t>
  </si>
  <si>
    <t>PRAZO DE PAGAMENTO: 30 dias</t>
  </si>
  <si>
    <t>PRAZO DE ENTREGA: ATÉ 60 DIAS CORRIDOS (item 6.2.1 do termo de referência);</t>
  </si>
  <si>
    <t xml:space="preserve">VALOR MÍNIMO DA AF: R$ 500,00 (item 6.2.2 do termo de referência); </t>
  </si>
  <si>
    <r>
      <t xml:space="preserve">CENTRO PARTICIPANTE: </t>
    </r>
    <r>
      <rPr>
        <b/>
        <sz val="11"/>
        <rFont val="Calibri"/>
        <family val="2"/>
        <scheme val="minor"/>
      </rPr>
      <t>FAED</t>
    </r>
  </si>
  <si>
    <r>
      <t xml:space="preserve">CENTRO PARTICIPANTE: </t>
    </r>
    <r>
      <rPr>
        <b/>
        <sz val="11"/>
        <rFont val="Calibri"/>
        <family val="2"/>
        <scheme val="minor"/>
      </rPr>
      <t>REITORIA/SETIC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</si>
  <si>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</si>
  <si>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CEFID</t>
    </r>
  </si>
  <si>
    <r>
      <t xml:space="preserve">CENTRO PARTICIPANTE: </t>
    </r>
    <r>
      <rPr>
        <b/>
        <sz val="11"/>
        <rFont val="Calibri"/>
        <family val="2"/>
        <scheme val="minor"/>
      </rPr>
      <t>CERES</t>
    </r>
  </si>
  <si>
    <t>ART INTEGRA LTDA - CNPJ: 10.786.518/0001-56</t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</si>
  <si>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</si>
  <si>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r>
      <t xml:space="preserve">CENTRO PARTICIPANTE: </t>
    </r>
    <r>
      <rPr>
        <b/>
        <sz val="11"/>
        <rFont val="Calibri"/>
        <family val="2"/>
        <scheme val="minor"/>
      </rPr>
      <t>CCT</t>
    </r>
  </si>
  <si>
    <r>
      <t xml:space="preserve">CENTRO PARTICIPANTE: </t>
    </r>
    <r>
      <rPr>
        <b/>
        <sz val="11"/>
        <rFont val="Calibri"/>
        <family val="2"/>
        <scheme val="minor"/>
      </rPr>
      <t>CEAVI</t>
    </r>
  </si>
  <si>
    <r>
      <t xml:space="preserve">CENTRO PARTICIPANTE: </t>
    </r>
    <r>
      <rPr>
        <b/>
        <sz val="11"/>
        <rFont val="Calibri"/>
        <family val="2"/>
        <scheme val="minor"/>
      </rPr>
      <t>CAV</t>
    </r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</si>
  <si>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</si>
  <si>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</si>
  <si>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t>CONTROLE DO GESTOR</t>
  </si>
  <si>
    <t xml:space="preserve"> AF nº 2815/2024 Qtde.</t>
  </si>
  <si>
    <r>
      <t xml:space="preserve"> AF nº 3175/2024 Qtde. </t>
    </r>
    <r>
      <rPr>
        <b/>
        <sz val="11"/>
        <color rgb="FFC00000"/>
        <rFont val="Calibri"/>
        <family val="2"/>
        <scheme val="minor"/>
      </rPr>
      <t>(DEMANDA SED)</t>
    </r>
  </si>
  <si>
    <t>Valor Total Aditivado</t>
  </si>
  <si>
    <t>Qtde Utilizada Ata</t>
  </si>
  <si>
    <t>Quantidade disponível para aditivar</t>
  </si>
  <si>
    <t>Qtde Aditivada</t>
  </si>
  <si>
    <t>Quantidade Registrada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</si>
  <si>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</si>
  <si>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</si>
  <si>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</si>
  <si>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</si>
  <si>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</si>
  <si>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</si>
  <si>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</si>
  <si>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r>
      <rPr>
        <b/>
        <strike/>
        <sz val="11"/>
        <rFont val="Calibri"/>
        <family val="2"/>
        <scheme val="minor"/>
      </rPr>
      <t>IN1026</t>
    </r>
    <r>
      <rPr>
        <b/>
        <sz val="11"/>
        <rFont val="Calibri"/>
        <family val="2"/>
        <scheme val="minor"/>
      </rPr>
      <t xml:space="preserve"> IN1036</t>
    </r>
  </si>
  <si>
    <t xml:space="preserve"> AF nº  xxxx/2025 Qtde.</t>
  </si>
  <si>
    <t>AF nº 114/2025 Qtde.</t>
  </si>
  <si>
    <t>AF nº 115/2025 Qtde.</t>
  </si>
  <si>
    <t>NAVISYSTEM IMPORTAÇÃO LTDA - EPP - CNPJ: 08.395.059/0001-38</t>
  </si>
  <si>
    <t>ÓRGÃO B</t>
  </si>
  <si>
    <t>ÓRGÃO C</t>
  </si>
  <si>
    <t>ÓRGÃO D</t>
  </si>
  <si>
    <t>TOTAL</t>
  </si>
  <si>
    <t>PREÇOS</t>
  </si>
  <si>
    <t>INSERIR ÓRGÃO</t>
  </si>
  <si>
    <t>ITEM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</si>
  <si>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</si>
  <si>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t xml:space="preserve">Passível de Carona </t>
  </si>
  <si>
    <t xml:space="preserve">Saldo RESTANTE para CARONA </t>
  </si>
  <si>
    <t>Quantidade Aditivada</t>
  </si>
  <si>
    <t xml:space="preserve">Valor Unitário </t>
  </si>
  <si>
    <t xml:space="preserve">Total Registrado </t>
  </si>
  <si>
    <t>SGPe (ÓRGÃO) XXX/2025</t>
  </si>
  <si>
    <t>Marca</t>
  </si>
  <si>
    <r>
      <rPr>
        <b/>
        <sz val="14"/>
        <rFont val="Calibri"/>
        <family val="2"/>
        <scheme val="minor"/>
      </rPr>
      <t>OBJETO:</t>
    </r>
    <r>
      <rPr>
        <sz val="14"/>
        <rFont val="Calibri"/>
        <family val="2"/>
        <scheme val="minor"/>
      </rPr>
      <t xml:space="preserve"> AQUISIÇÃO DE EQUIPAMENTOS DE INFORMÁTICA E DE PROJEÇÃO (PROJETOR MULTIMÍDIA AVANÇADO, TELA DE PROJEÇÃO, TABLET, LEITOR DE CÓDIGO DE BARRAS 2D, KITS DE ESTAÇÃO DE GERENCIAMENTO DE INDÚSTRIA 4.0 E SCANNER PLANETÁRIO) PARA A UDESC</t>
    </r>
  </si>
  <si>
    <r>
      <rPr>
        <b/>
        <sz val="14"/>
        <rFont val="Calibri"/>
        <family val="2"/>
        <scheme val="minor"/>
      </rPr>
      <t>PE 0985/2024</t>
    </r>
    <r>
      <rPr>
        <sz val="14"/>
        <rFont val="Calibri"/>
        <family val="2"/>
        <scheme val="minor"/>
      </rPr>
      <t>/UDESC SRP - (SGPE DE ORIGEM: 24533/2024)</t>
    </r>
  </si>
  <si>
    <t>Peça</t>
  </si>
  <si>
    <r>
      <t xml:space="preserve">VIGÊNCIA DA ATA: 06/01/2025 </t>
    </r>
    <r>
      <rPr>
        <b/>
        <u/>
        <sz val="14"/>
        <rFont val="Calibri"/>
        <family val="2"/>
        <scheme val="minor"/>
      </rPr>
      <t>até 06/01/2026</t>
    </r>
  </si>
  <si>
    <t>PCI/SC</t>
  </si>
  <si>
    <t>SGPe PCI 2602/2025</t>
  </si>
  <si>
    <r>
      <rPr>
        <strike/>
        <sz val="11"/>
        <rFont val="Calibri"/>
        <family val="2"/>
        <scheme val="minor"/>
      </rPr>
      <t>IN1026</t>
    </r>
    <r>
      <rPr>
        <sz val="11"/>
        <rFont val="Calibri"/>
        <family val="2"/>
        <scheme val="minor"/>
      </rPr>
      <t xml:space="preserve"> IN1036</t>
    </r>
  </si>
  <si>
    <t xml:space="preserve">Quantidade utilizada Carona </t>
  </si>
  <si>
    <t xml:space="preserve">Quantidade TOTAL Carona </t>
  </si>
  <si>
    <t>Unidade</t>
  </si>
  <si>
    <r>
      <rPr>
        <strike/>
        <sz val="12"/>
        <color theme="1"/>
        <rFont val="Calibri"/>
        <family val="2"/>
        <scheme val="minor"/>
      </rPr>
      <t>IN1026</t>
    </r>
    <r>
      <rPr>
        <sz val="12"/>
        <color theme="1"/>
        <rFont val="Calibri"/>
        <family val="2"/>
        <scheme val="minor"/>
      </rPr>
      <t xml:space="preserve"> IN1036</t>
    </r>
  </si>
  <si>
    <r>
      <rPr>
        <b/>
        <sz val="14"/>
        <rFont val="Calibri"/>
        <family val="2"/>
        <scheme val="minor"/>
      </rPr>
      <t>REGISTRO DE CARONA PARA OUTROS ÓRGÃOS:</t>
    </r>
    <r>
      <rPr>
        <sz val="14"/>
        <rFont val="Calibri"/>
        <family val="2"/>
        <scheme val="minor"/>
      </rPr>
      <t xml:space="preserve">  (</t>
    </r>
    <r>
      <rPr>
        <u/>
        <sz val="14"/>
        <rFont val="Calibri"/>
        <family val="2"/>
        <scheme val="minor"/>
      </rPr>
      <t xml:space="preserve">ATENÇÃO: Itens com só </t>
    </r>
    <r>
      <rPr>
        <u/>
        <sz val="14"/>
        <color rgb="FFFF0000"/>
        <rFont val="Calibri"/>
        <family val="2"/>
        <scheme val="minor"/>
      </rPr>
      <t>01 unidade</t>
    </r>
    <r>
      <rPr>
        <u/>
        <sz val="14"/>
        <rFont val="Calibri"/>
        <family val="2"/>
        <scheme val="minor"/>
      </rPr>
      <t xml:space="preserve"> registrada -</t>
    </r>
    <r>
      <rPr>
        <u/>
        <sz val="14"/>
        <color rgb="FFFF0000"/>
        <rFont val="Calibri"/>
        <family val="2"/>
        <scheme val="minor"/>
      </rPr>
      <t xml:space="preserve"> INDISPONÍVEIS PARA CARONA</t>
    </r>
    <r>
      <rPr>
        <sz val="14"/>
        <rFont val="Calibri"/>
        <family val="2"/>
        <scheme val="minor"/>
      </rPr>
      <t>!)</t>
    </r>
  </si>
  <si>
    <r>
      <t xml:space="preserve"> </t>
    </r>
    <r>
      <rPr>
        <u/>
        <sz val="14"/>
        <rFont val="Calibri"/>
        <family val="2"/>
        <scheme val="minor"/>
      </rPr>
      <t>Quantidade cedida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por Solicitação</t>
    </r>
  </si>
  <si>
    <t>AF 114/2025 - valor anterior:</t>
  </si>
  <si>
    <t xml:space="preserve">(REFORÇO) </t>
  </si>
  <si>
    <t xml:space="preserve"> AF nº  333/2025 </t>
  </si>
  <si>
    <t xml:space="preserve"> AF nº  2773/2024 </t>
  </si>
  <si>
    <t xml:space="preserve"> AF nº  2774/2024 </t>
  </si>
  <si>
    <t xml:space="preserve"> AF nº  471/2025</t>
  </si>
  <si>
    <t xml:space="preserve"> AF nº  2927/2024 Qtde.</t>
  </si>
  <si>
    <t xml:space="preserve"> AF nº  2929/2024 Qtde.</t>
  </si>
  <si>
    <t xml:space="preserve"> AF nº  2931/2024 Qtde.</t>
  </si>
  <si>
    <t xml:space="preserve"> AF nº  2978/2024 Qtde.</t>
  </si>
  <si>
    <t xml:space="preserve"> AF nº  2984/2024 Qtde.</t>
  </si>
  <si>
    <t xml:space="preserve"> AF nº  2985/2024 Qtde.</t>
  </si>
  <si>
    <t xml:space="preserve"> AF nº  2780/2024 Qtde.</t>
  </si>
  <si>
    <t xml:space="preserve"> AF nº  2942/2024 Qtde.</t>
  </si>
  <si>
    <t xml:space="preserve"> AF nº  3055/2024 Qtde.</t>
  </si>
  <si>
    <t xml:space="preserve"> AF nº  2818/2024 Qtde.</t>
  </si>
  <si>
    <t xml:space="preserve"> AF nº  2387/2024 Qtde.</t>
  </si>
  <si>
    <t xml:space="preserve"> AF nº  2936/2024 Qtde.</t>
  </si>
  <si>
    <t>Resumo Atualizado em 14/04/2025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</si>
</sst>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&quot;R$&quot;\ #,##0.00"/>
    <numFmt numFmtId="169" formatCode="00"/>
    <numFmt numFmtId="170" formatCode="_-[$R$-416]\ * #,##0.00_-;\-[$R$-416]\ * #,##0.00_-;_-[$R$-416]\ * &quot;-&quot;??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1"/>
      <color rgb="FFC00000"/>
      <name val="Calibri"/>
      <family val="2"/>
      <scheme val="minor"/>
    </font>
    <font>
      <b/>
      <strike/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9"/>
      <color indexed="81"/>
      <name val="Segoe UI"/>
      <family val="2"/>
    </font>
    <font>
      <b/>
      <u/>
      <sz val="14"/>
      <name val="Calibri"/>
      <family val="2"/>
      <scheme val="minor"/>
    </font>
    <font>
      <strike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8"/>
      <name val="Arial"/>
      <family val="2"/>
    </font>
    <font>
      <u/>
      <sz val="14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theme="9" tint="0.59999389629810485"/>
        <bgColor indexed="1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rgb="FF95B3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10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5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00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3" fontId="5" fillId="0" borderId="0" xfId="1" applyNumberFormat="1" applyFont="1" applyAlignment="1" applyProtection="1">
      <alignment wrapText="1"/>
      <protection locked="0"/>
    </xf>
    <xf numFmtId="1" fontId="5" fillId="0" borderId="0" xfId="1" applyNumberFormat="1" applyFont="1" applyFill="1" applyAlignment="1" applyProtection="1">
      <alignment horizont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8" fillId="6" borderId="1" xfId="13" applyFont="1" applyFill="1" applyBorder="1" applyAlignment="1" applyProtection="1">
      <alignment horizontal="center" vertical="center" wrapText="1"/>
    </xf>
    <xf numFmtId="44" fontId="5" fillId="0" borderId="0" xfId="13" applyFont="1" applyFill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5" fillId="5" borderId="4" xfId="0" applyNumberFormat="1" applyFont="1" applyFill="1" applyBorder="1" applyAlignment="1">
      <alignment horizontal="center" vertical="center"/>
    </xf>
    <xf numFmtId="168" fontId="5" fillId="7" borderId="4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4" fontId="5" fillId="0" borderId="0" xfId="13" applyFont="1" applyAlignment="1">
      <alignment wrapText="1"/>
    </xf>
    <xf numFmtId="0" fontId="5" fillId="5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3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10" borderId="1" xfId="0" applyNumberFormat="1" applyFont="1" applyFill="1" applyBorder="1" applyAlignment="1" applyProtection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7" borderId="1" xfId="194" applyFont="1" applyFill="1" applyBorder="1" applyAlignment="1">
      <alignment horizontal="center" vertical="center" wrapText="1"/>
    </xf>
    <xf numFmtId="0" fontId="5" fillId="5" borderId="1" xfId="194" applyFont="1" applyFill="1" applyBorder="1" applyAlignment="1">
      <alignment horizontal="center" vertical="center" wrapText="1"/>
    </xf>
    <xf numFmtId="169" fontId="5" fillId="7" borderId="1" xfId="0" applyNumberFormat="1" applyFont="1" applyFill="1" applyBorder="1" applyAlignment="1">
      <alignment horizontal="center" vertical="center" wrapText="1"/>
    </xf>
    <xf numFmtId="169" fontId="5" fillId="5" borderId="1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3" fontId="2" fillId="12" borderId="1" xfId="0" applyNumberFormat="1" applyFont="1" applyFill="1" applyBorder="1" applyAlignment="1" applyProtection="1">
      <alignment horizontal="center" vertical="center"/>
    </xf>
    <xf numFmtId="3" fontId="5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Border="1" applyAlignment="1">
      <alignment vertical="center" wrapText="1"/>
    </xf>
    <xf numFmtId="0" fontId="5" fillId="3" borderId="13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44" fontId="5" fillId="0" borderId="0" xfId="13" applyFont="1" applyFill="1" applyAlignment="1" applyProtection="1">
      <alignment horizontal="center" wrapText="1"/>
      <protection locked="0"/>
    </xf>
    <xf numFmtId="44" fontId="5" fillId="3" borderId="13" xfId="1" applyNumberFormat="1" applyFont="1" applyFill="1" applyBorder="1" applyAlignment="1">
      <alignment vertical="center" wrapText="1"/>
    </xf>
    <xf numFmtId="44" fontId="5" fillId="4" borderId="1" xfId="13" applyFont="1" applyFill="1" applyBorder="1" applyAlignment="1">
      <alignment horizontal="center" vertical="center" wrapText="1"/>
    </xf>
    <xf numFmtId="44" fontId="5" fillId="16" borderId="1" xfId="13" applyFont="1" applyFill="1" applyBorder="1" applyAlignment="1" applyProtection="1">
      <alignment horizontal="center" vertical="center" wrapText="1"/>
      <protection locked="0"/>
    </xf>
    <xf numFmtId="10" fontId="5" fillId="3" borderId="13" xfId="13" applyNumberFormat="1" applyFont="1" applyFill="1" applyBorder="1" applyAlignment="1">
      <alignment horizontal="right" vertical="center" wrapText="1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13" applyFont="1" applyAlignment="1">
      <alignment wrapText="1"/>
    </xf>
    <xf numFmtId="3" fontId="8" fillId="12" borderId="1" xfId="0" applyNumberFormat="1" applyFont="1" applyFill="1" applyBorder="1" applyAlignment="1" applyProtection="1">
      <alignment horizontal="center" vertical="center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6" fontId="9" fillId="6" borderId="1" xfId="1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3" fontId="5" fillId="12" borderId="1" xfId="0" applyNumberFormat="1" applyFont="1" applyFill="1" applyBorder="1" applyAlignment="1">
      <alignment horizontal="center" vertical="center" wrapText="1"/>
    </xf>
    <xf numFmtId="3" fontId="5" fillId="17" borderId="1" xfId="0" applyNumberFormat="1" applyFont="1" applyFill="1" applyBorder="1" applyAlignment="1">
      <alignment horizontal="center" vertical="center" wrapText="1"/>
    </xf>
    <xf numFmtId="3" fontId="5" fillId="18" borderId="1" xfId="0" applyNumberFormat="1" applyFont="1" applyFill="1" applyBorder="1" applyAlignment="1">
      <alignment horizontal="center" vertical="center" wrapText="1"/>
    </xf>
    <xf numFmtId="166" fontId="5" fillId="19" borderId="1" xfId="0" applyNumberFormat="1" applyFont="1" applyFill="1" applyBorder="1" applyAlignment="1">
      <alignment horizontal="center" vertical="center" wrapText="1"/>
    </xf>
    <xf numFmtId="168" fontId="5" fillId="0" borderId="0" xfId="1" applyNumberFormat="1" applyFont="1" applyFill="1" applyAlignment="1" applyProtection="1">
      <alignment horizontal="center" wrapText="1"/>
      <protection locked="0"/>
    </xf>
    <xf numFmtId="3" fontId="8" fillId="20" borderId="1" xfId="0" applyNumberFormat="1" applyFont="1" applyFill="1" applyBorder="1" applyAlignment="1" applyProtection="1">
      <alignment horizontal="center" vertical="center"/>
    </xf>
    <xf numFmtId="166" fontId="5" fillId="20" borderId="1" xfId="0" applyNumberFormat="1" applyFont="1" applyFill="1" applyBorder="1" applyAlignment="1">
      <alignment horizontal="center" vertical="center" wrapText="1"/>
    </xf>
    <xf numFmtId="166" fontId="5" fillId="17" borderId="1" xfId="0" applyNumberFormat="1" applyFont="1" applyFill="1" applyBorder="1" applyAlignment="1">
      <alignment horizontal="center" vertical="center" wrapText="1"/>
    </xf>
    <xf numFmtId="166" fontId="5" fillId="21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23" borderId="11" xfId="0" applyFont="1" applyFill="1" applyBorder="1" applyAlignment="1">
      <alignment horizontal="center" vertical="center"/>
    </xf>
    <xf numFmtId="169" fontId="5" fillId="23" borderId="1" xfId="0" applyNumberFormat="1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168" fontId="5" fillId="23" borderId="4" xfId="0" applyNumberFormat="1" applyFont="1" applyFill="1" applyBorder="1" applyAlignment="1">
      <alignment horizontal="center" vertical="center"/>
    </xf>
    <xf numFmtId="0" fontId="5" fillId="26" borderId="2" xfId="1" applyFont="1" applyFill="1" applyBorder="1" applyAlignment="1">
      <alignment horizontal="center" vertical="center" wrapText="1"/>
    </xf>
    <xf numFmtId="166" fontId="20" fillId="27" borderId="20" xfId="1" applyNumberFormat="1" applyFont="1" applyFill="1" applyBorder="1" applyAlignment="1">
      <alignment horizontal="center" vertical="center" wrapText="1"/>
    </xf>
    <xf numFmtId="166" fontId="20" fillId="27" borderId="21" xfId="1" applyNumberFormat="1" applyFont="1" applyFill="1" applyBorder="1" applyAlignment="1">
      <alignment horizontal="center" vertical="center" wrapText="1"/>
    </xf>
    <xf numFmtId="166" fontId="20" fillId="28" borderId="21" xfId="1" applyNumberFormat="1" applyFont="1" applyFill="1" applyBorder="1" applyAlignment="1">
      <alignment horizontal="center" vertical="center" wrapText="1"/>
    </xf>
    <xf numFmtId="166" fontId="20" fillId="29" borderId="21" xfId="1" applyNumberFormat="1" applyFont="1" applyFill="1" applyBorder="1" applyAlignment="1">
      <alignment horizontal="center" vertical="center" wrapText="1"/>
    </xf>
    <xf numFmtId="166" fontId="20" fillId="30" borderId="21" xfId="1" applyNumberFormat="1" applyFont="1" applyFill="1" applyBorder="1" applyAlignment="1">
      <alignment horizontal="center" vertical="center" wrapText="1"/>
    </xf>
    <xf numFmtId="166" fontId="20" fillId="30" borderId="22" xfId="1" applyNumberFormat="1" applyFont="1" applyFill="1" applyBorder="1" applyAlignment="1">
      <alignment horizontal="center" vertical="center" wrapText="1"/>
    </xf>
    <xf numFmtId="166" fontId="21" fillId="31" borderId="4" xfId="1" applyNumberFormat="1" applyFont="1" applyFill="1" applyBorder="1" applyAlignment="1">
      <alignment horizontal="center" vertical="center" wrapText="1"/>
    </xf>
    <xf numFmtId="0" fontId="21" fillId="31" borderId="1" xfId="1" applyFont="1" applyFill="1" applyBorder="1" applyAlignment="1" applyProtection="1">
      <alignment horizontal="center" vertical="center" wrapText="1"/>
      <protection locked="0"/>
    </xf>
    <xf numFmtId="170" fontId="5" fillId="8" borderId="1" xfId="3" applyNumberFormat="1" applyFont="1" applyFill="1" applyBorder="1" applyAlignment="1" applyProtection="1">
      <alignment horizontal="center" vertical="center" wrapText="1"/>
    </xf>
    <xf numFmtId="0" fontId="5" fillId="0" borderId="0" xfId="1" applyFont="1" applyAlignment="1">
      <alignment vertical="center" wrapText="1"/>
    </xf>
    <xf numFmtId="169" fontId="22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/>
    </xf>
    <xf numFmtId="166" fontId="5" fillId="27" borderId="23" xfId="0" applyNumberFormat="1" applyFont="1" applyFill="1" applyBorder="1" applyAlignment="1">
      <alignment horizontal="center" vertical="center" wrapText="1"/>
    </xf>
    <xf numFmtId="166" fontId="5" fillId="27" borderId="2" xfId="0" applyNumberFormat="1" applyFont="1" applyFill="1" applyBorder="1" applyAlignment="1">
      <alignment horizontal="center" vertical="center" wrapText="1"/>
    </xf>
    <xf numFmtId="166" fontId="5" fillId="28" borderId="1" xfId="0" applyNumberFormat="1" applyFont="1" applyFill="1" applyBorder="1" applyAlignment="1">
      <alignment horizontal="center" vertical="center" wrapText="1"/>
    </xf>
    <xf numFmtId="166" fontId="5" fillId="28" borderId="2" xfId="0" applyNumberFormat="1" applyFont="1" applyFill="1" applyBorder="1" applyAlignment="1">
      <alignment horizontal="center" vertical="center" wrapText="1"/>
    </xf>
    <xf numFmtId="166" fontId="5" fillId="29" borderId="1" xfId="0" applyNumberFormat="1" applyFont="1" applyFill="1" applyBorder="1" applyAlignment="1">
      <alignment horizontal="center" vertical="center" wrapText="1"/>
    </xf>
    <xf numFmtId="166" fontId="5" fillId="29" borderId="2" xfId="0" applyNumberFormat="1" applyFont="1" applyFill="1" applyBorder="1" applyAlignment="1">
      <alignment horizontal="center" vertical="center" wrapText="1"/>
    </xf>
    <xf numFmtId="166" fontId="5" fillId="30" borderId="1" xfId="0" applyNumberFormat="1" applyFont="1" applyFill="1" applyBorder="1" applyAlignment="1">
      <alignment horizontal="center" vertical="center" wrapText="1"/>
    </xf>
    <xf numFmtId="166" fontId="5" fillId="30" borderId="2" xfId="0" applyNumberFormat="1" applyFont="1" applyFill="1" applyBorder="1" applyAlignment="1">
      <alignment horizontal="center" vertical="center" wrapText="1"/>
    </xf>
    <xf numFmtId="166" fontId="5" fillId="30" borderId="24" xfId="0" applyNumberFormat="1" applyFont="1" applyFill="1" applyBorder="1" applyAlignment="1">
      <alignment horizontal="center" vertical="center" wrapText="1"/>
    </xf>
    <xf numFmtId="166" fontId="9" fillId="31" borderId="4" xfId="0" applyNumberFormat="1" applyFont="1" applyFill="1" applyBorder="1" applyAlignment="1">
      <alignment horizontal="center" vertical="center" wrapText="1"/>
    </xf>
    <xf numFmtId="166" fontId="9" fillId="31" borderId="1" xfId="0" applyNumberFormat="1" applyFont="1" applyFill="1" applyBorder="1" applyAlignment="1">
      <alignment horizontal="center" vertical="center" wrapText="1"/>
    </xf>
    <xf numFmtId="3" fontId="9" fillId="32" borderId="2" xfId="1" applyNumberFormat="1" applyFont="1" applyFill="1" applyBorder="1" applyAlignment="1" applyProtection="1">
      <alignment horizontal="center" vertical="center" wrapText="1"/>
      <protection locked="0"/>
    </xf>
    <xf numFmtId="44" fontId="5" fillId="8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 applyProtection="1">
      <alignment wrapText="1"/>
      <protection locked="0"/>
    </xf>
    <xf numFmtId="166" fontId="5" fillId="0" borderId="0" xfId="0" applyNumberFormat="1" applyFont="1" applyAlignment="1">
      <alignment horizontal="center" vertical="center" wrapText="1"/>
    </xf>
    <xf numFmtId="169" fontId="20" fillId="5" borderId="1" xfId="0" applyNumberFormat="1" applyFont="1" applyFill="1" applyBorder="1" applyAlignment="1">
      <alignment horizontal="center" vertical="center" wrapText="1"/>
    </xf>
    <xf numFmtId="169" fontId="20" fillId="5" borderId="1" xfId="0" applyNumberFormat="1" applyFont="1" applyFill="1" applyBorder="1" applyAlignment="1">
      <alignment vertical="center" wrapText="1"/>
    </xf>
    <xf numFmtId="169" fontId="20" fillId="5" borderId="19" xfId="0" applyNumberFormat="1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3" fontId="5" fillId="26" borderId="2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justify" vertical="center" wrapText="1"/>
    </xf>
    <xf numFmtId="0" fontId="20" fillId="5" borderId="1" xfId="0" applyFont="1" applyFill="1" applyBorder="1" applyAlignment="1">
      <alignment horizontal="justify" vertical="center" wrapText="1"/>
    </xf>
    <xf numFmtId="0" fontId="25" fillId="5" borderId="1" xfId="0" applyFont="1" applyFill="1" applyBorder="1" applyAlignment="1">
      <alignment horizontal="justify" vertical="center" wrapText="1"/>
    </xf>
    <xf numFmtId="166" fontId="30" fillId="28" borderId="21" xfId="1" applyNumberFormat="1" applyFont="1" applyFill="1" applyBorder="1" applyAlignment="1">
      <alignment horizontal="center" vertical="center" wrapText="1"/>
    </xf>
    <xf numFmtId="166" fontId="30" fillId="29" borderId="21" xfId="1" applyNumberFormat="1" applyFont="1" applyFill="1" applyBorder="1" applyAlignment="1">
      <alignment horizontal="center" vertical="center" wrapText="1"/>
    </xf>
    <xf numFmtId="166" fontId="30" fillId="30" borderId="21" xfId="1" quotePrefix="1" applyNumberFormat="1" applyFont="1" applyFill="1" applyBorder="1" applyAlignment="1">
      <alignment horizontal="center" vertical="center" wrapText="1"/>
    </xf>
    <xf numFmtId="166" fontId="29" fillId="31" borderId="4" xfId="1" applyNumberFormat="1" applyFont="1" applyFill="1" applyBorder="1" applyAlignment="1">
      <alignment horizontal="center" vertical="center" wrapText="1"/>
    </xf>
    <xf numFmtId="166" fontId="30" fillId="27" borderId="21" xfId="1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3" fontId="12" fillId="25" borderId="19" xfId="1" applyNumberFormat="1" applyFont="1" applyFill="1" applyBorder="1" applyAlignment="1" applyProtection="1">
      <alignment horizontal="center" vertical="center" wrapText="1"/>
      <protection locked="0"/>
    </xf>
    <xf numFmtId="3" fontId="19" fillId="25" borderId="19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Alignment="1">
      <alignment wrapText="1"/>
    </xf>
    <xf numFmtId="3" fontId="19" fillId="25" borderId="15" xfId="1" applyNumberFormat="1" applyFont="1" applyFill="1" applyBorder="1" applyAlignment="1" applyProtection="1">
      <alignment horizontal="center" vertical="center" wrapText="1"/>
      <protection locked="0"/>
    </xf>
    <xf numFmtId="168" fontId="5" fillId="7" borderId="4" xfId="0" applyNumberFormat="1" applyFont="1" applyFill="1" applyBorder="1" applyAlignment="1">
      <alignment horizontal="center" vertical="center" wrapText="1"/>
    </xf>
    <xf numFmtId="168" fontId="5" fillId="8" borderId="1" xfId="0" applyNumberFormat="1" applyFont="1" applyFill="1" applyBorder="1" applyAlignment="1">
      <alignment horizontal="center" vertical="center" wrapText="1"/>
    </xf>
    <xf numFmtId="44" fontId="9" fillId="18" borderId="0" xfId="13" applyFont="1" applyFill="1" applyAlignment="1">
      <alignment wrapText="1"/>
    </xf>
    <xf numFmtId="0" fontId="35" fillId="12" borderId="0" xfId="1" applyFont="1" applyFill="1" applyAlignment="1">
      <alignment horizontal="center" wrapText="1"/>
    </xf>
    <xf numFmtId="44" fontId="36" fillId="12" borderId="0" xfId="13" applyFont="1" applyFill="1" applyAlignment="1">
      <alignment wrapText="1"/>
    </xf>
    <xf numFmtId="44" fontId="36" fillId="3" borderId="0" xfId="1" applyNumberFormat="1" applyFont="1" applyFill="1" applyAlignment="1">
      <alignment wrapText="1"/>
    </xf>
    <xf numFmtId="0" fontId="36" fillId="3" borderId="0" xfId="1" applyFont="1" applyFill="1" applyAlignment="1">
      <alignment horizontal="center" wrapText="1"/>
    </xf>
    <xf numFmtId="3" fontId="5" fillId="0" borderId="0" xfId="1" applyNumberFormat="1" applyFont="1" applyFill="1" applyAlignment="1">
      <alignment horizontal="center" vertical="center" wrapText="1"/>
    </xf>
    <xf numFmtId="44" fontId="5" fillId="0" borderId="0" xfId="106" applyFont="1" applyAlignment="1">
      <alignment wrapText="1"/>
    </xf>
    <xf numFmtId="168" fontId="5" fillId="0" borderId="0" xfId="1" applyNumberFormat="1" applyFont="1" applyAlignment="1">
      <alignment wrapText="1"/>
    </xf>
    <xf numFmtId="3" fontId="8" fillId="33" borderId="1" xfId="0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vertical="center" wrapText="1"/>
    </xf>
    <xf numFmtId="0" fontId="5" fillId="0" borderId="14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13" borderId="2" xfId="0" applyNumberFormat="1" applyFont="1" applyFill="1" applyBorder="1" applyAlignment="1">
      <alignment horizontal="center" vertical="center" wrapText="1"/>
    </xf>
    <xf numFmtId="0" fontId="5" fillId="13" borderId="3" xfId="0" applyNumberFormat="1" applyFont="1" applyFill="1" applyBorder="1" applyAlignment="1">
      <alignment horizontal="center" vertical="center" wrapText="1"/>
    </xf>
    <xf numFmtId="0" fontId="5" fillId="13" borderId="4" xfId="0" applyNumberFormat="1" applyFont="1" applyFill="1" applyBorder="1" applyAlignment="1">
      <alignment horizontal="center" vertical="center" wrapText="1"/>
    </xf>
    <xf numFmtId="0" fontId="5" fillId="8" borderId="2" xfId="0" applyNumberFormat="1" applyFont="1" applyFill="1" applyBorder="1" applyAlignment="1">
      <alignment horizontal="left" vertical="center" wrapText="1"/>
    </xf>
    <xf numFmtId="0" fontId="5" fillId="8" borderId="3" xfId="0" applyNumberFormat="1" applyFont="1" applyFill="1" applyBorder="1" applyAlignment="1">
      <alignment horizontal="left" vertical="center" wrapText="1"/>
    </xf>
    <xf numFmtId="0" fontId="5" fillId="8" borderId="4" xfId="0" applyNumberFormat="1" applyFont="1" applyFill="1" applyBorder="1" applyAlignment="1">
      <alignment horizontal="left" vertical="center" wrapText="1"/>
    </xf>
    <xf numFmtId="0" fontId="5" fillId="8" borderId="2" xfId="0" applyNumberFormat="1" applyFont="1" applyFill="1" applyBorder="1" applyAlignment="1">
      <alignment horizontal="center" vertical="center" wrapText="1"/>
    </xf>
    <xf numFmtId="0" fontId="5" fillId="8" borderId="3" xfId="0" applyNumberFormat="1" applyFont="1" applyFill="1" applyBorder="1" applyAlignment="1">
      <alignment horizontal="center" vertical="center" wrapText="1"/>
    </xf>
    <xf numFmtId="0" fontId="5" fillId="8" borderId="2" xfId="0" applyNumberFormat="1" applyFont="1" applyFill="1" applyBorder="1" applyAlignment="1">
      <alignment vertical="center" wrapText="1"/>
    </xf>
    <xf numFmtId="0" fontId="5" fillId="8" borderId="3" xfId="0" applyNumberFormat="1" applyFont="1" applyFill="1" applyBorder="1" applyAlignment="1">
      <alignment vertical="center" wrapText="1"/>
    </xf>
    <xf numFmtId="0" fontId="5" fillId="8" borderId="4" xfId="0" applyNumberFormat="1" applyFont="1" applyFill="1" applyBorder="1" applyAlignment="1">
      <alignment vertical="center" wrapText="1"/>
    </xf>
    <xf numFmtId="0" fontId="9" fillId="0" borderId="5" xfId="1" applyFont="1" applyFill="1" applyBorder="1" applyAlignment="1">
      <alignment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2" xfId="1" applyFont="1" applyFill="1" applyBorder="1" applyAlignment="1">
      <alignment vertical="center" wrapText="1"/>
    </xf>
    <xf numFmtId="3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2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4" borderId="2" xfId="0" applyNumberFormat="1" applyFont="1" applyFill="1" applyBorder="1" applyAlignment="1">
      <alignment horizontal="center" vertical="center" wrapText="1"/>
    </xf>
    <xf numFmtId="0" fontId="12" fillId="14" borderId="3" xfId="0" applyNumberFormat="1" applyFont="1" applyFill="1" applyBorder="1" applyAlignment="1">
      <alignment horizontal="center" vertical="center" wrapText="1"/>
    </xf>
    <xf numFmtId="0" fontId="12" fillId="14" borderId="4" xfId="0" applyNumberFormat="1" applyFont="1" applyFill="1" applyBorder="1" applyAlignment="1">
      <alignment horizontal="center" vertical="center" wrapText="1"/>
    </xf>
    <xf numFmtId="0" fontId="5" fillId="14" borderId="2" xfId="0" applyNumberFormat="1" applyFont="1" applyFill="1" applyBorder="1" applyAlignment="1">
      <alignment horizontal="center" vertical="center" wrapText="1"/>
    </xf>
    <xf numFmtId="0" fontId="5" fillId="14" borderId="3" xfId="0" applyNumberFormat="1" applyFont="1" applyFill="1" applyBorder="1" applyAlignment="1">
      <alignment horizontal="center" vertical="center" wrapText="1"/>
    </xf>
    <xf numFmtId="0" fontId="5" fillId="14" borderId="2" xfId="0" applyNumberFormat="1" applyFont="1" applyFill="1" applyBorder="1" applyAlignment="1">
      <alignment vertical="center" wrapText="1"/>
    </xf>
    <xf numFmtId="0" fontId="5" fillId="14" borderId="3" xfId="0" applyNumberFormat="1" applyFont="1" applyFill="1" applyBorder="1" applyAlignment="1">
      <alignment vertical="center" wrapText="1"/>
    </xf>
    <xf numFmtId="0" fontId="5" fillId="14" borderId="4" xfId="0" applyNumberFormat="1" applyFont="1" applyFill="1" applyBorder="1" applyAlignment="1">
      <alignment vertical="center" wrapText="1"/>
    </xf>
    <xf numFmtId="0" fontId="5" fillId="14" borderId="2" xfId="0" applyNumberFormat="1" applyFont="1" applyFill="1" applyBorder="1" applyAlignment="1">
      <alignment horizontal="left" vertical="center" wrapText="1"/>
    </xf>
    <xf numFmtId="0" fontId="5" fillId="14" borderId="3" xfId="0" applyNumberFormat="1" applyFont="1" applyFill="1" applyBorder="1" applyAlignment="1">
      <alignment horizontal="left" vertical="center" wrapText="1"/>
    </xf>
    <xf numFmtId="0" fontId="5" fillId="14" borderId="4" xfId="0" applyNumberFormat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9" fillId="3" borderId="7" xfId="1" applyFont="1" applyFill="1" applyBorder="1" applyAlignment="1">
      <alignment horizontal="left" vertical="center" wrapText="1"/>
    </xf>
    <xf numFmtId="0" fontId="9" fillId="3" borderId="8" xfId="1" applyFont="1" applyFill="1" applyBorder="1" applyAlignment="1">
      <alignment horizontal="left" vertical="center" wrapText="1"/>
    </xf>
    <xf numFmtId="0" fontId="9" fillId="3" borderId="14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19" fillId="24" borderId="2" xfId="0" quotePrefix="1" applyFont="1" applyFill="1" applyBorder="1" applyAlignment="1">
      <alignment horizontal="center" vertical="center" wrapText="1"/>
    </xf>
    <xf numFmtId="0" fontId="19" fillId="24" borderId="3" xfId="0" quotePrefix="1" applyFont="1" applyFill="1" applyBorder="1" applyAlignment="1">
      <alignment horizontal="center" vertical="center" wrapText="1"/>
    </xf>
    <xf numFmtId="0" fontId="19" fillId="24" borderId="4" xfId="0" quotePrefix="1" applyFont="1" applyFill="1" applyBorder="1" applyAlignment="1">
      <alignment horizontal="center" vertical="center" wrapText="1"/>
    </xf>
    <xf numFmtId="0" fontId="19" fillId="24" borderId="2" xfId="0" applyFont="1" applyFill="1" applyBorder="1" applyAlignment="1">
      <alignment vertical="center" wrapText="1"/>
    </xf>
    <xf numFmtId="0" fontId="19" fillId="24" borderId="3" xfId="0" applyFont="1" applyFill="1" applyBorder="1" applyAlignment="1">
      <alignment vertical="center" wrapText="1"/>
    </xf>
    <xf numFmtId="0" fontId="19" fillId="24" borderId="4" xfId="0" applyFont="1" applyFill="1" applyBorder="1" applyAlignment="1">
      <alignment vertical="center" wrapText="1"/>
    </xf>
    <xf numFmtId="0" fontId="19" fillId="24" borderId="7" xfId="0" applyFont="1" applyFill="1" applyBorder="1" applyAlignment="1">
      <alignment vertical="center" wrapText="1"/>
    </xf>
    <xf numFmtId="0" fontId="19" fillId="24" borderId="8" xfId="0" applyFont="1" applyFill="1" applyBorder="1" applyAlignment="1">
      <alignment vertical="center" wrapText="1"/>
    </xf>
    <xf numFmtId="0" fontId="19" fillId="24" borderId="14" xfId="0" applyFont="1" applyFill="1" applyBorder="1" applyAlignment="1">
      <alignment vertical="center" wrapText="1"/>
    </xf>
    <xf numFmtId="0" fontId="12" fillId="27" borderId="16" xfId="0" applyFont="1" applyFill="1" applyBorder="1" applyAlignment="1">
      <alignment horizontal="center" vertical="center" wrapText="1"/>
    </xf>
    <xf numFmtId="0" fontId="12" fillId="27" borderId="17" xfId="0" applyFont="1" applyFill="1" applyBorder="1" applyAlignment="1">
      <alignment horizontal="center" vertical="center" wrapText="1"/>
    </xf>
    <xf numFmtId="0" fontId="12" fillId="27" borderId="18" xfId="0" applyFont="1" applyFill="1" applyBorder="1" applyAlignment="1">
      <alignment horizontal="center" vertical="center" wrapText="1"/>
    </xf>
    <xf numFmtId="0" fontId="12" fillId="28" borderId="16" xfId="0" applyFont="1" applyFill="1" applyBorder="1" applyAlignment="1">
      <alignment horizontal="center" vertical="center" wrapText="1"/>
    </xf>
    <xf numFmtId="0" fontId="12" fillId="28" borderId="17" xfId="0" applyFont="1" applyFill="1" applyBorder="1" applyAlignment="1">
      <alignment horizontal="center" vertical="center" wrapText="1"/>
    </xf>
    <xf numFmtId="0" fontId="12" fillId="28" borderId="18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 wrapText="1"/>
    </xf>
    <xf numFmtId="0" fontId="12" fillId="29" borderId="17" xfId="0" applyFont="1" applyFill="1" applyBorder="1" applyAlignment="1">
      <alignment horizontal="center" vertical="center" wrapText="1"/>
    </xf>
    <xf numFmtId="0" fontId="12" fillId="29" borderId="18" xfId="0" applyFont="1" applyFill="1" applyBorder="1" applyAlignment="1">
      <alignment horizontal="center" vertical="center" wrapText="1"/>
    </xf>
    <xf numFmtId="0" fontId="12" fillId="30" borderId="16" xfId="0" applyFont="1" applyFill="1" applyBorder="1" applyAlignment="1">
      <alignment horizontal="center" vertical="center" wrapText="1"/>
    </xf>
    <xf numFmtId="0" fontId="12" fillId="30" borderId="17" xfId="0" applyFont="1" applyFill="1" applyBorder="1" applyAlignment="1">
      <alignment horizontal="center" vertical="center" wrapText="1"/>
    </xf>
    <xf numFmtId="0" fontId="12" fillId="30" borderId="18" xfId="0" applyFont="1" applyFill="1" applyBorder="1" applyAlignment="1">
      <alignment horizontal="center" vertical="center" wrapText="1"/>
    </xf>
    <xf numFmtId="0" fontId="19" fillId="31" borderId="2" xfId="0" applyFont="1" applyFill="1" applyBorder="1" applyAlignment="1">
      <alignment horizontal="center" vertical="center" wrapText="1"/>
    </xf>
    <xf numFmtId="0" fontId="19" fillId="31" borderId="3" xfId="0" applyFont="1" applyFill="1" applyBorder="1" applyAlignment="1">
      <alignment horizontal="center" vertical="center" wrapText="1"/>
    </xf>
    <xf numFmtId="0" fontId="19" fillId="31" borderId="4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</cellXfs>
  <cellStyles count="195">
    <cellStyle name="Moeda" xfId="13" builtinId="4"/>
    <cellStyle name="Moeda 10" xfId="106" xr:uid="{00000000-0005-0000-0000-000092000000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4000000}"/>
    <cellStyle name="Moeda 3 2 2" xfId="37" xr:uid="{00000000-0005-0000-0000-000004000000}"/>
    <cellStyle name="Moeda 3 2 2 2" xfId="130" xr:uid="{00000000-0005-0000-0000-000004000000}"/>
    <cellStyle name="Moeda 3 2 3" xfId="56" xr:uid="{00000000-0005-0000-0000-000004000000}"/>
    <cellStyle name="Moeda 3 2 3 2" xfId="149" xr:uid="{00000000-0005-0000-0000-000004000000}"/>
    <cellStyle name="Moeda 3 2 4" xfId="75" xr:uid="{00000000-0005-0000-0000-000004000000}"/>
    <cellStyle name="Moeda 3 2 4 2" xfId="168" xr:uid="{00000000-0005-0000-0000-000004000000}"/>
    <cellStyle name="Moeda 3 2 5" xfId="93" xr:uid="{00000000-0005-0000-0000-000004000000}"/>
    <cellStyle name="Moeda 3 2 5 2" xfId="186" xr:uid="{00000000-0005-0000-0000-000004000000}"/>
    <cellStyle name="Moeda 3 2 6" xfId="112" xr:uid="{00000000-0005-0000-0000-000004000000}"/>
    <cellStyle name="Moeda 3 3" xfId="28" xr:uid="{00000000-0005-0000-0000-000003000000}"/>
    <cellStyle name="Moeda 3 3 2" xfId="121" xr:uid="{00000000-0005-0000-0000-000003000000}"/>
    <cellStyle name="Moeda 3 4" xfId="47" xr:uid="{00000000-0005-0000-0000-000003000000}"/>
    <cellStyle name="Moeda 3 4 2" xfId="140" xr:uid="{00000000-0005-0000-0000-000003000000}"/>
    <cellStyle name="Moeda 3 5" xfId="66" xr:uid="{00000000-0005-0000-0000-000003000000}"/>
    <cellStyle name="Moeda 3 5 2" xfId="159" xr:uid="{00000000-0005-0000-0000-000003000000}"/>
    <cellStyle name="Moeda 3 6" xfId="84" xr:uid="{00000000-0005-0000-0000-000003000000}"/>
    <cellStyle name="Moeda 3 6 2" xfId="177" xr:uid="{00000000-0005-0000-0000-000003000000}"/>
    <cellStyle name="Moeda 3 7" xfId="103" xr:uid="{00000000-0005-0000-0000-000003000000}"/>
    <cellStyle name="Moeda 4" xfId="14" xr:uid="{00000000-0005-0000-0000-000005000000}"/>
    <cellStyle name="Moeda 4 2" xfId="23" xr:uid="{00000000-0005-0000-0000-000006000000}"/>
    <cellStyle name="Moeda 4 2 2" xfId="41" xr:uid="{00000000-0005-0000-0000-000006000000}"/>
    <cellStyle name="Moeda 4 2 2 2" xfId="134" xr:uid="{00000000-0005-0000-0000-000006000000}"/>
    <cellStyle name="Moeda 4 2 3" xfId="60" xr:uid="{00000000-0005-0000-0000-000006000000}"/>
    <cellStyle name="Moeda 4 2 3 2" xfId="153" xr:uid="{00000000-0005-0000-0000-000006000000}"/>
    <cellStyle name="Moeda 4 2 4" xfId="79" xr:uid="{00000000-0005-0000-0000-000006000000}"/>
    <cellStyle name="Moeda 4 2 4 2" xfId="172" xr:uid="{00000000-0005-0000-0000-000006000000}"/>
    <cellStyle name="Moeda 4 2 5" xfId="97" xr:uid="{00000000-0005-0000-0000-000006000000}"/>
    <cellStyle name="Moeda 4 2 5 2" xfId="190" xr:uid="{00000000-0005-0000-0000-000006000000}"/>
    <cellStyle name="Moeda 4 2 6" xfId="116" xr:uid="{00000000-0005-0000-0000-000006000000}"/>
    <cellStyle name="Moeda 4 3" xfId="32" xr:uid="{00000000-0005-0000-0000-000005000000}"/>
    <cellStyle name="Moeda 4 3 2" xfId="125" xr:uid="{00000000-0005-0000-0000-000005000000}"/>
    <cellStyle name="Moeda 4 4" xfId="51" xr:uid="{00000000-0005-0000-0000-000005000000}"/>
    <cellStyle name="Moeda 4 4 2" xfId="144" xr:uid="{00000000-0005-0000-0000-000005000000}"/>
    <cellStyle name="Moeda 4 5" xfId="70" xr:uid="{00000000-0005-0000-0000-000005000000}"/>
    <cellStyle name="Moeda 4 5 2" xfId="163" xr:uid="{00000000-0005-0000-0000-000005000000}"/>
    <cellStyle name="Moeda 4 6" xfId="88" xr:uid="{00000000-0005-0000-0000-000005000000}"/>
    <cellStyle name="Moeda 4 6 2" xfId="181" xr:uid="{00000000-0005-0000-0000-000005000000}"/>
    <cellStyle name="Moeda 4 7" xfId="107" xr:uid="{00000000-0005-0000-0000-000005000000}"/>
    <cellStyle name="Moeda 5" xfId="22" xr:uid="{00000000-0005-0000-0000-000007000000}"/>
    <cellStyle name="Moeda 5 2" xfId="40" xr:uid="{00000000-0005-0000-0000-000007000000}"/>
    <cellStyle name="Moeda 5 2 2" xfId="133" xr:uid="{00000000-0005-0000-0000-000007000000}"/>
    <cellStyle name="Moeda 5 3" xfId="59" xr:uid="{00000000-0005-0000-0000-000007000000}"/>
    <cellStyle name="Moeda 5 3 2" xfId="152" xr:uid="{00000000-0005-0000-0000-000007000000}"/>
    <cellStyle name="Moeda 5 4" xfId="78" xr:uid="{00000000-0005-0000-0000-000007000000}"/>
    <cellStyle name="Moeda 5 4 2" xfId="171" xr:uid="{00000000-0005-0000-0000-000007000000}"/>
    <cellStyle name="Moeda 5 5" xfId="96" xr:uid="{00000000-0005-0000-0000-000007000000}"/>
    <cellStyle name="Moeda 5 5 2" xfId="189" xr:uid="{00000000-0005-0000-0000-000007000000}"/>
    <cellStyle name="Moeda 5 6" xfId="115" xr:uid="{00000000-0005-0000-0000-000007000000}"/>
    <cellStyle name="Moeda 6" xfId="31" xr:uid="{00000000-0005-0000-0000-000047000000}"/>
    <cellStyle name="Moeda 6 2" xfId="124" xr:uid="{00000000-0005-0000-0000-000047000000}"/>
    <cellStyle name="Moeda 7" xfId="50" xr:uid="{00000000-0005-0000-0000-00005A000000}"/>
    <cellStyle name="Moeda 7 2" xfId="143" xr:uid="{00000000-0005-0000-0000-00005A000000}"/>
    <cellStyle name="Moeda 8" xfId="69" xr:uid="{00000000-0005-0000-0000-00006D000000}"/>
    <cellStyle name="Moeda 8 2" xfId="162" xr:uid="{00000000-0005-0000-0000-00006D000000}"/>
    <cellStyle name="Moeda 9" xfId="87" xr:uid="{00000000-0005-0000-0000-00007F000000}"/>
    <cellStyle name="Moeda 9 2" xfId="180" xr:uid="{00000000-0005-0000-0000-00007F000000}"/>
    <cellStyle name="Normal" xfId="0" builtinId="0"/>
    <cellStyle name="Normal 2" xfId="1" xr:uid="{00000000-0005-0000-0000-000009000000}"/>
    <cellStyle name="Normal 3" xfId="194" xr:uid="{EDC3C84E-3653-4DB2-B54A-31A4DF39F2DD}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1" xr:uid="{00000000-0005-0000-0000-00000F000000}"/>
    <cellStyle name="Separador de milhares 2 2 2 2 2" xfId="39" xr:uid="{00000000-0005-0000-0000-00000E000000}"/>
    <cellStyle name="Separador de milhares 2 2 2 2 2 2" xfId="132" xr:uid="{00000000-0005-0000-0000-00000E000000}"/>
    <cellStyle name="Separador de milhares 2 2 2 2 3" xfId="58" xr:uid="{00000000-0005-0000-0000-00000F000000}"/>
    <cellStyle name="Separador de milhares 2 2 2 2 3 2" xfId="151" xr:uid="{00000000-0005-0000-0000-00000F000000}"/>
    <cellStyle name="Separador de milhares 2 2 2 2 4" xfId="77" xr:uid="{00000000-0005-0000-0000-00000F000000}"/>
    <cellStyle name="Separador de milhares 2 2 2 2 4 2" xfId="170" xr:uid="{00000000-0005-0000-0000-00000F000000}"/>
    <cellStyle name="Separador de milhares 2 2 2 2 5" xfId="95" xr:uid="{00000000-0005-0000-0000-00000F000000}"/>
    <cellStyle name="Separador de milhares 2 2 2 2 5 2" xfId="188" xr:uid="{00000000-0005-0000-0000-00000F000000}"/>
    <cellStyle name="Separador de milhares 2 2 2 2 6" xfId="114" xr:uid="{00000000-0005-0000-0000-00000F000000}"/>
    <cellStyle name="Separador de milhares 2 2 2 3" xfId="30" xr:uid="{00000000-0005-0000-0000-00000D000000}"/>
    <cellStyle name="Separador de milhares 2 2 2 3 2" xfId="123" xr:uid="{00000000-0005-0000-0000-00000D000000}"/>
    <cellStyle name="Separador de milhares 2 2 2 4" xfId="49" xr:uid="{00000000-0005-0000-0000-00000E000000}"/>
    <cellStyle name="Separador de milhares 2 2 2 4 2" xfId="142" xr:uid="{00000000-0005-0000-0000-00000E000000}"/>
    <cellStyle name="Separador de milhares 2 2 2 5" xfId="68" xr:uid="{00000000-0005-0000-0000-00000E000000}"/>
    <cellStyle name="Separador de milhares 2 2 2 5 2" xfId="161" xr:uid="{00000000-0005-0000-0000-00000E000000}"/>
    <cellStyle name="Separador de milhares 2 2 2 6" xfId="86" xr:uid="{00000000-0005-0000-0000-00000E000000}"/>
    <cellStyle name="Separador de milhares 2 2 2 6 2" xfId="179" xr:uid="{00000000-0005-0000-0000-00000E000000}"/>
    <cellStyle name="Separador de milhares 2 2 2 7" xfId="105" xr:uid="{00000000-0005-0000-0000-00000E000000}"/>
    <cellStyle name="Separador de milhares 2 2 3" xfId="16" xr:uid="{00000000-0005-0000-0000-000010000000}"/>
    <cellStyle name="Separador de milhares 2 2 3 2" xfId="25" xr:uid="{00000000-0005-0000-0000-000011000000}"/>
    <cellStyle name="Separador de milhares 2 2 3 2 2" xfId="43" xr:uid="{00000000-0005-0000-0000-000010000000}"/>
    <cellStyle name="Separador de milhares 2 2 3 2 2 2" xfId="136" xr:uid="{00000000-0005-0000-0000-000010000000}"/>
    <cellStyle name="Separador de milhares 2 2 3 2 3" xfId="62" xr:uid="{00000000-0005-0000-0000-000011000000}"/>
    <cellStyle name="Separador de milhares 2 2 3 2 3 2" xfId="155" xr:uid="{00000000-0005-0000-0000-000011000000}"/>
    <cellStyle name="Separador de milhares 2 2 3 2 4" xfId="81" xr:uid="{00000000-0005-0000-0000-000011000000}"/>
    <cellStyle name="Separador de milhares 2 2 3 2 4 2" xfId="174" xr:uid="{00000000-0005-0000-0000-000011000000}"/>
    <cellStyle name="Separador de milhares 2 2 3 2 5" xfId="99" xr:uid="{00000000-0005-0000-0000-000011000000}"/>
    <cellStyle name="Separador de milhares 2 2 3 2 5 2" xfId="192" xr:uid="{00000000-0005-0000-0000-000011000000}"/>
    <cellStyle name="Separador de milhares 2 2 3 2 6" xfId="118" xr:uid="{00000000-0005-0000-0000-000011000000}"/>
    <cellStyle name="Separador de milhares 2 2 3 3" xfId="34" xr:uid="{00000000-0005-0000-0000-00000F000000}"/>
    <cellStyle name="Separador de milhares 2 2 3 3 2" xfId="127" xr:uid="{00000000-0005-0000-0000-00000F000000}"/>
    <cellStyle name="Separador de milhares 2 2 3 4" xfId="53" xr:uid="{00000000-0005-0000-0000-000010000000}"/>
    <cellStyle name="Separador de milhares 2 2 3 4 2" xfId="146" xr:uid="{00000000-0005-0000-0000-000010000000}"/>
    <cellStyle name="Separador de milhares 2 2 3 5" xfId="72" xr:uid="{00000000-0005-0000-0000-000010000000}"/>
    <cellStyle name="Separador de milhares 2 2 3 5 2" xfId="165" xr:uid="{00000000-0005-0000-0000-000010000000}"/>
    <cellStyle name="Separador de milhares 2 2 3 6" xfId="90" xr:uid="{00000000-0005-0000-0000-000010000000}"/>
    <cellStyle name="Separador de milhares 2 2 3 6 2" xfId="183" xr:uid="{00000000-0005-0000-0000-000010000000}"/>
    <cellStyle name="Separador de milhares 2 2 3 7" xfId="109" xr:uid="{00000000-0005-0000-0000-000010000000}"/>
    <cellStyle name="Separador de milhares 2 2 4" xfId="18" xr:uid="{00000000-0005-0000-0000-000012000000}"/>
    <cellStyle name="Separador de milhares 2 2 4 2" xfId="36" xr:uid="{00000000-0005-0000-0000-000011000000}"/>
    <cellStyle name="Separador de milhares 2 2 4 2 2" xfId="129" xr:uid="{00000000-0005-0000-0000-000011000000}"/>
    <cellStyle name="Separador de milhares 2 2 4 3" xfId="55" xr:uid="{00000000-0005-0000-0000-000012000000}"/>
    <cellStyle name="Separador de milhares 2 2 4 3 2" xfId="148" xr:uid="{00000000-0005-0000-0000-000012000000}"/>
    <cellStyle name="Separador de milhares 2 2 4 4" xfId="74" xr:uid="{00000000-0005-0000-0000-000012000000}"/>
    <cellStyle name="Separador de milhares 2 2 4 4 2" xfId="167" xr:uid="{00000000-0005-0000-0000-000012000000}"/>
    <cellStyle name="Separador de milhares 2 2 4 5" xfId="92" xr:uid="{00000000-0005-0000-0000-000012000000}"/>
    <cellStyle name="Separador de milhares 2 2 4 5 2" xfId="185" xr:uid="{00000000-0005-0000-0000-000012000000}"/>
    <cellStyle name="Separador de milhares 2 2 4 6" xfId="111" xr:uid="{00000000-0005-0000-0000-000012000000}"/>
    <cellStyle name="Separador de milhares 2 2 5" xfId="27" xr:uid="{00000000-0005-0000-0000-00000C000000}"/>
    <cellStyle name="Separador de milhares 2 2 5 2" xfId="120" xr:uid="{00000000-0005-0000-0000-00000C000000}"/>
    <cellStyle name="Separador de milhares 2 2 6" xfId="46" xr:uid="{00000000-0005-0000-0000-00000D000000}"/>
    <cellStyle name="Separador de milhares 2 2 6 2" xfId="139" xr:uid="{00000000-0005-0000-0000-00000D000000}"/>
    <cellStyle name="Separador de milhares 2 2 7" xfId="65" xr:uid="{00000000-0005-0000-0000-00000D000000}"/>
    <cellStyle name="Separador de milhares 2 2 7 2" xfId="158" xr:uid="{00000000-0005-0000-0000-00000D000000}"/>
    <cellStyle name="Separador de milhares 2 2 8" xfId="83" xr:uid="{00000000-0005-0000-0000-00000D000000}"/>
    <cellStyle name="Separador de milhares 2 2 8 2" xfId="176" xr:uid="{00000000-0005-0000-0000-00000D000000}"/>
    <cellStyle name="Separador de milhares 2 2 9" xfId="102" xr:uid="{00000000-0005-0000-0000-00000D000000}"/>
    <cellStyle name="Separador de milhares 2 3" xfId="6" xr:uid="{00000000-0005-0000-0000-000013000000}"/>
    <cellStyle name="Separador de milhares 2 3 2" xfId="10" xr:uid="{00000000-0005-0000-0000-000014000000}"/>
    <cellStyle name="Separador de milhares 2 3 2 2" xfId="20" xr:uid="{00000000-0005-0000-0000-000015000000}"/>
    <cellStyle name="Separador de milhares 2 3 2 2 2" xfId="38" xr:uid="{00000000-0005-0000-0000-000014000000}"/>
    <cellStyle name="Separador de milhares 2 3 2 2 2 2" xfId="131" xr:uid="{00000000-0005-0000-0000-000014000000}"/>
    <cellStyle name="Separador de milhares 2 3 2 2 3" xfId="57" xr:uid="{00000000-0005-0000-0000-000015000000}"/>
    <cellStyle name="Separador de milhares 2 3 2 2 3 2" xfId="150" xr:uid="{00000000-0005-0000-0000-000015000000}"/>
    <cellStyle name="Separador de milhares 2 3 2 2 4" xfId="76" xr:uid="{00000000-0005-0000-0000-000015000000}"/>
    <cellStyle name="Separador de milhares 2 3 2 2 4 2" xfId="169" xr:uid="{00000000-0005-0000-0000-000015000000}"/>
    <cellStyle name="Separador de milhares 2 3 2 2 5" xfId="94" xr:uid="{00000000-0005-0000-0000-000015000000}"/>
    <cellStyle name="Separador de milhares 2 3 2 2 5 2" xfId="187" xr:uid="{00000000-0005-0000-0000-000015000000}"/>
    <cellStyle name="Separador de milhares 2 3 2 2 6" xfId="113" xr:uid="{00000000-0005-0000-0000-000015000000}"/>
    <cellStyle name="Separador de milhares 2 3 2 3" xfId="29" xr:uid="{00000000-0005-0000-0000-000013000000}"/>
    <cellStyle name="Separador de milhares 2 3 2 3 2" xfId="122" xr:uid="{00000000-0005-0000-0000-000013000000}"/>
    <cellStyle name="Separador de milhares 2 3 2 4" xfId="48" xr:uid="{00000000-0005-0000-0000-000014000000}"/>
    <cellStyle name="Separador de milhares 2 3 2 4 2" xfId="141" xr:uid="{00000000-0005-0000-0000-000014000000}"/>
    <cellStyle name="Separador de milhares 2 3 2 5" xfId="67" xr:uid="{00000000-0005-0000-0000-000014000000}"/>
    <cellStyle name="Separador de milhares 2 3 2 5 2" xfId="160" xr:uid="{00000000-0005-0000-0000-000014000000}"/>
    <cellStyle name="Separador de milhares 2 3 2 6" xfId="85" xr:uid="{00000000-0005-0000-0000-000014000000}"/>
    <cellStyle name="Separador de milhares 2 3 2 6 2" xfId="178" xr:uid="{00000000-0005-0000-0000-000014000000}"/>
    <cellStyle name="Separador de milhares 2 3 2 7" xfId="104" xr:uid="{00000000-0005-0000-0000-000014000000}"/>
    <cellStyle name="Separador de milhares 2 3 3" xfId="15" xr:uid="{00000000-0005-0000-0000-000016000000}"/>
    <cellStyle name="Separador de milhares 2 3 3 2" xfId="24" xr:uid="{00000000-0005-0000-0000-000017000000}"/>
    <cellStyle name="Separador de milhares 2 3 3 2 2" xfId="42" xr:uid="{00000000-0005-0000-0000-000016000000}"/>
    <cellStyle name="Separador de milhares 2 3 3 2 2 2" xfId="135" xr:uid="{00000000-0005-0000-0000-000016000000}"/>
    <cellStyle name="Separador de milhares 2 3 3 2 3" xfId="61" xr:uid="{00000000-0005-0000-0000-000017000000}"/>
    <cellStyle name="Separador de milhares 2 3 3 2 3 2" xfId="154" xr:uid="{00000000-0005-0000-0000-000017000000}"/>
    <cellStyle name="Separador de milhares 2 3 3 2 4" xfId="80" xr:uid="{00000000-0005-0000-0000-000017000000}"/>
    <cellStyle name="Separador de milhares 2 3 3 2 4 2" xfId="173" xr:uid="{00000000-0005-0000-0000-000017000000}"/>
    <cellStyle name="Separador de milhares 2 3 3 2 5" xfId="98" xr:uid="{00000000-0005-0000-0000-000017000000}"/>
    <cellStyle name="Separador de milhares 2 3 3 2 5 2" xfId="191" xr:uid="{00000000-0005-0000-0000-000017000000}"/>
    <cellStyle name="Separador de milhares 2 3 3 2 6" xfId="117" xr:uid="{00000000-0005-0000-0000-000017000000}"/>
    <cellStyle name="Separador de milhares 2 3 3 3" xfId="33" xr:uid="{00000000-0005-0000-0000-000015000000}"/>
    <cellStyle name="Separador de milhares 2 3 3 3 2" xfId="126" xr:uid="{00000000-0005-0000-0000-000015000000}"/>
    <cellStyle name="Separador de milhares 2 3 3 4" xfId="52" xr:uid="{00000000-0005-0000-0000-000016000000}"/>
    <cellStyle name="Separador de milhares 2 3 3 4 2" xfId="145" xr:uid="{00000000-0005-0000-0000-000016000000}"/>
    <cellStyle name="Separador de milhares 2 3 3 5" xfId="71" xr:uid="{00000000-0005-0000-0000-000016000000}"/>
    <cellStyle name="Separador de milhares 2 3 3 5 2" xfId="164" xr:uid="{00000000-0005-0000-0000-000016000000}"/>
    <cellStyle name="Separador de milhares 2 3 3 6" xfId="89" xr:uid="{00000000-0005-0000-0000-000016000000}"/>
    <cellStyle name="Separador de milhares 2 3 3 6 2" xfId="182" xr:uid="{00000000-0005-0000-0000-000016000000}"/>
    <cellStyle name="Separador de milhares 2 3 3 7" xfId="108" xr:uid="{00000000-0005-0000-0000-000016000000}"/>
    <cellStyle name="Separador de milhares 2 3 4" xfId="17" xr:uid="{00000000-0005-0000-0000-000018000000}"/>
    <cellStyle name="Separador de milhares 2 3 4 2" xfId="35" xr:uid="{00000000-0005-0000-0000-000017000000}"/>
    <cellStyle name="Separador de milhares 2 3 4 2 2" xfId="128" xr:uid="{00000000-0005-0000-0000-000017000000}"/>
    <cellStyle name="Separador de milhares 2 3 4 3" xfId="54" xr:uid="{00000000-0005-0000-0000-000018000000}"/>
    <cellStyle name="Separador de milhares 2 3 4 3 2" xfId="147" xr:uid="{00000000-0005-0000-0000-000018000000}"/>
    <cellStyle name="Separador de milhares 2 3 4 4" xfId="73" xr:uid="{00000000-0005-0000-0000-000018000000}"/>
    <cellStyle name="Separador de milhares 2 3 4 4 2" xfId="166" xr:uid="{00000000-0005-0000-0000-000018000000}"/>
    <cellStyle name="Separador de milhares 2 3 4 5" xfId="91" xr:uid="{00000000-0005-0000-0000-000018000000}"/>
    <cellStyle name="Separador de milhares 2 3 4 5 2" xfId="184" xr:uid="{00000000-0005-0000-0000-000018000000}"/>
    <cellStyle name="Separador de milhares 2 3 4 6" xfId="110" xr:uid="{00000000-0005-0000-0000-000018000000}"/>
    <cellStyle name="Separador de milhares 2 3 5" xfId="26" xr:uid="{00000000-0005-0000-0000-000012000000}"/>
    <cellStyle name="Separador de milhares 2 3 5 2" xfId="119" xr:uid="{00000000-0005-0000-0000-000012000000}"/>
    <cellStyle name="Separador de milhares 2 3 6" xfId="45" xr:uid="{00000000-0005-0000-0000-000013000000}"/>
    <cellStyle name="Separador de milhares 2 3 6 2" xfId="138" xr:uid="{00000000-0005-0000-0000-000013000000}"/>
    <cellStyle name="Separador de milhares 2 3 7" xfId="64" xr:uid="{00000000-0005-0000-0000-000013000000}"/>
    <cellStyle name="Separador de milhares 2 3 7 2" xfId="157" xr:uid="{00000000-0005-0000-0000-000013000000}"/>
    <cellStyle name="Separador de milhares 2 3 8" xfId="82" xr:uid="{00000000-0005-0000-0000-000013000000}"/>
    <cellStyle name="Separador de milhares 2 3 8 2" xfId="175" xr:uid="{00000000-0005-0000-0000-000013000000}"/>
    <cellStyle name="Separador de milhares 2 3 9" xfId="101" xr:uid="{00000000-0005-0000-0000-000013000000}"/>
    <cellStyle name="Separador de milhares 3" xfId="3" xr:uid="{00000000-0005-0000-0000-000019000000}"/>
    <cellStyle name="Título 5" xfId="4" xr:uid="{00000000-0005-0000-0000-00001A000000}"/>
    <cellStyle name="Vírgula 2" xfId="44" xr:uid="{00000000-0005-0000-0000-000059000000}"/>
    <cellStyle name="Vírgula 2 2" xfId="137" xr:uid="{00000000-0005-0000-0000-000059000000}"/>
    <cellStyle name="Vírgula 3" xfId="63" xr:uid="{00000000-0005-0000-0000-00006C000000}"/>
    <cellStyle name="Vírgula 3 2" xfId="156" xr:uid="{00000000-0005-0000-0000-00006C000000}"/>
    <cellStyle name="Vírgula 4" xfId="100" xr:uid="{00000000-0005-0000-0000-000091000000}"/>
    <cellStyle name="Vírgula 4 2" xfId="193" xr:uid="{00000000-0005-0000-0000-000091000000}"/>
  </cellStyles>
  <dxfs count="50"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</dxfs>
  <tableStyles count="0" defaultTableStyle="TableStyleMedium9" defaultPivotStyle="PivotStyleLight16"/>
  <colors>
    <mruColors>
      <color rgb="FFFFFF99"/>
      <color rgb="FFFFFF66"/>
      <color rgb="FF95B3D7"/>
      <color rgb="FFFFFFCC"/>
      <color rgb="FFCCFFFF"/>
      <color rgb="FFCC0000"/>
      <color rgb="FF66FF66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10AB672-37A8-40BC-8E06-9F7D33B2D7AE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3939911-3A50-4A17-B6AF-9330B1C9B24C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5A97629-94DE-47B3-9E22-2448AD01C990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7D43E5C-FB33-4DF0-9B02-8AA060CBD2FE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318D104A-0D09-49C4-AE32-D4D3E23B51F4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FB6E4991-C495-4A43-A169-B94D5974F376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911B80F-590B-4247-B84B-B131B9FEF2E2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752728A-92E0-4B97-B848-BED07703BEB9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63339DF-79BF-4219-B8A9-AC32569B7F41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7606D0A-55D5-4FE6-B774-D75C0A4CFBF4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BCA68C2-1158-4CA9-9CF1-93DAD326680B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GECON/2.%20Atas%20SRP/Atas%20UDESC/PE%201664.2024%20SRP%20SGPE%2037706.2024%20-%20Pe&#231;as%20Incorpor&#225;veis%20-%20VIG%2006.01.2026/Controle%20ARP%20PE%201664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dos Dashboard"/>
      <sheetName val="Reitoria-SETIC"/>
      <sheetName val="Reit - PROEX-PROPPG"/>
      <sheetName val="Reit - BU"/>
      <sheetName val="Reit - SEMS"/>
      <sheetName val="ESAG"/>
      <sheetName val="CEART"/>
      <sheetName val="FAED"/>
      <sheetName val="CEAD"/>
      <sheetName val="CEFID"/>
      <sheetName val="CERES"/>
      <sheetName val="CESFI"/>
      <sheetName val="CCT"/>
      <sheetName val="CEPLAN"/>
      <sheetName val="CEAVI"/>
      <sheetName val="CAV"/>
      <sheetName val="CEO"/>
      <sheetName val="CESMO"/>
      <sheetName val="GESTOR"/>
      <sheetName val="(CARON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N4">
            <v>0</v>
          </cell>
        </row>
        <row r="5">
          <cell r="N5">
            <v>0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</sheetData>
      <sheetData sheetId="2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6"/>
  <sheetViews>
    <sheetView zoomScale="80" zoomScaleNormal="80" workbookViewId="0">
      <pane xSplit="19" topLeftCell="V1" activePane="topRight" state="frozen"/>
      <selection pane="topRight" activeCell="M4" sqref="M4"/>
    </sheetView>
  </sheetViews>
  <sheetFormatPr defaultColWidth="9.7109375" defaultRowHeight="15" x14ac:dyDescent="0.25"/>
  <cols>
    <col min="1" max="1" width="8" style="1" customWidth="1"/>
    <col min="2" max="2" width="18.28515625" style="1" customWidth="1"/>
    <col min="3" max="3" width="28.85546875" style="9" customWidth="1"/>
    <col min="4" max="4" width="15" style="9" customWidth="1"/>
    <col min="5" max="5" width="10.28515625" style="9" customWidth="1"/>
    <col min="6" max="6" width="12.85546875" style="1" hidden="1" customWidth="1"/>
    <col min="7" max="7" width="16.28515625" style="1" hidden="1" customWidth="1"/>
    <col min="8" max="8" width="12.85546875" style="1" customWidth="1"/>
    <col min="9" max="9" width="13.140625" style="14" customWidth="1"/>
    <col min="10" max="10" width="8.42578125" style="5" customWidth="1"/>
    <col min="11" max="11" width="11.28515625" style="5" customWidth="1"/>
    <col min="12" max="12" width="9.7109375" style="5" customWidth="1"/>
    <col min="13" max="13" width="13.28515625" style="5" customWidth="1"/>
    <col min="14" max="14" width="6.5703125" style="5" customWidth="1"/>
    <col min="15" max="15" width="7.7109375" style="5" customWidth="1"/>
    <col min="16" max="16" width="6.5703125" style="5" customWidth="1"/>
    <col min="17" max="17" width="4.85546875" style="5" customWidth="1"/>
    <col min="18" max="18" width="7.28515625" style="10" customWidth="1"/>
    <col min="19" max="19" width="7.28515625" style="4" customWidth="1"/>
    <col min="20" max="20" width="13.7109375" style="2" customWidth="1"/>
    <col min="21" max="21" width="14.28515625" style="2" customWidth="1"/>
    <col min="22" max="24" width="13.7109375" style="2" customWidth="1"/>
    <col min="25" max="25" width="13.85546875" style="2" customWidth="1"/>
    <col min="26" max="34" width="13.7109375" style="2" customWidth="1"/>
    <col min="35" max="16384" width="9.7109375" style="2"/>
  </cols>
  <sheetData>
    <row r="1" spans="1:34" ht="54" customHeight="1" x14ac:dyDescent="0.25">
      <c r="A1" s="143" t="s">
        <v>26</v>
      </c>
      <c r="B1" s="144"/>
      <c r="C1" s="145" t="s">
        <v>24</v>
      </c>
      <c r="D1" s="146"/>
      <c r="E1" s="146"/>
      <c r="F1" s="146"/>
      <c r="G1" s="146"/>
      <c r="H1" s="146"/>
      <c r="I1" s="147"/>
      <c r="J1" s="140" t="s">
        <v>25</v>
      </c>
      <c r="K1" s="141"/>
      <c r="L1" s="141"/>
      <c r="M1" s="141"/>
      <c r="N1" s="141"/>
      <c r="O1" s="141"/>
      <c r="P1" s="141"/>
      <c r="Q1" s="141"/>
      <c r="R1" s="141"/>
      <c r="S1" s="142"/>
      <c r="T1" s="153" t="s">
        <v>78</v>
      </c>
      <c r="U1" s="152" t="s">
        <v>93</v>
      </c>
      <c r="V1" s="152" t="s">
        <v>94</v>
      </c>
      <c r="W1" s="151" t="s">
        <v>92</v>
      </c>
      <c r="X1" s="151" t="s">
        <v>92</v>
      </c>
      <c r="Y1" s="151" t="s">
        <v>92</v>
      </c>
      <c r="Z1" s="151" t="s">
        <v>92</v>
      </c>
      <c r="AA1" s="151" t="s">
        <v>92</v>
      </c>
      <c r="AB1" s="151" t="s">
        <v>92</v>
      </c>
      <c r="AC1" s="151" t="s">
        <v>92</v>
      </c>
      <c r="AD1" s="151" t="s">
        <v>92</v>
      </c>
      <c r="AE1" s="151" t="s">
        <v>92</v>
      </c>
      <c r="AF1" s="151" t="s">
        <v>92</v>
      </c>
      <c r="AG1" s="151" t="s">
        <v>92</v>
      </c>
      <c r="AH1" s="151" t="s">
        <v>92</v>
      </c>
    </row>
    <row r="2" spans="1:34" ht="27" customHeight="1" x14ac:dyDescent="0.25">
      <c r="A2" s="145" t="s">
        <v>65</v>
      </c>
      <c r="B2" s="146"/>
      <c r="C2" s="146"/>
      <c r="D2" s="146"/>
      <c r="E2" s="146"/>
      <c r="F2" s="146"/>
      <c r="G2" s="146"/>
      <c r="H2" s="146"/>
      <c r="I2" s="147"/>
      <c r="J2" s="137" t="s">
        <v>59</v>
      </c>
      <c r="K2" s="138"/>
      <c r="L2" s="138"/>
      <c r="M2" s="138"/>
      <c r="N2" s="138"/>
      <c r="O2" s="138"/>
      <c r="P2" s="138"/>
      <c r="Q2" s="138"/>
      <c r="R2" s="138"/>
      <c r="S2" s="139"/>
      <c r="T2" s="153"/>
      <c r="U2" s="152"/>
      <c r="V2" s="152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s="3" customFormat="1" ht="30" customHeight="1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3" t="s">
        <v>0</v>
      </c>
      <c r="S3" s="6" t="s">
        <v>2</v>
      </c>
      <c r="T3" s="46">
        <v>45639</v>
      </c>
      <c r="U3" s="43">
        <v>45699</v>
      </c>
      <c r="V3" s="43">
        <v>45699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64" t="s">
        <v>91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8</f>
        <v>8</v>
      </c>
      <c r="K4" s="54">
        <f>IF(SUM(T4:AK4)&gt;J4+M4,J4,SUM(T4:AK4))</f>
        <v>74</v>
      </c>
      <c r="L4" s="55">
        <f>(SUM(T4:AK4))</f>
        <v>74</v>
      </c>
      <c r="M4" s="56">
        <v>66</v>
      </c>
      <c r="N4" s="57">
        <f>ROUND(IF(J4*0.25-0.5&lt;0,0,J4*0.25-0.5),0)-Q4-O4</f>
        <v>2</v>
      </c>
      <c r="O4" s="56"/>
      <c r="P4" s="56"/>
      <c r="Q4" s="56"/>
      <c r="R4" s="58">
        <f>J4-(SUM(T4:AH4))+M4</f>
        <v>0</v>
      </c>
      <c r="S4" s="24" t="str">
        <f t="shared" ref="S4:S9" si="0">IF(R4&lt;0,"ATENÇÃO","OK")</f>
        <v>OK</v>
      </c>
      <c r="T4" s="26">
        <v>74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f>0</f>
        <v>0</v>
      </c>
      <c r="K5" s="54">
        <f t="shared" ref="K5:K9" si="1">IF(SUM(T5:AK5)&gt;J5+M5,J5,SUM(T5:AK5))</f>
        <v>0</v>
      </c>
      <c r="L5" s="55">
        <f t="shared" ref="L5:L9" si="2">(SUM(T5:AK5))</f>
        <v>0</v>
      </c>
      <c r="M5" s="56"/>
      <c r="N5" s="57">
        <f t="shared" ref="N5:N9" si="3">ROUND(IF(J5*0.25-0.5&lt;0,0,J5*0.25-0.5),0)-Q5-O5</f>
        <v>0</v>
      </c>
      <c r="O5" s="56"/>
      <c r="P5" s="56"/>
      <c r="Q5" s="56"/>
      <c r="R5" s="58">
        <f t="shared" ref="R5:R9" si="4">J5-(SUM(T5:AH5))+M5</f>
        <v>0</v>
      </c>
      <c r="S5" s="24" t="str">
        <f t="shared" si="0"/>
        <v>OK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25">
        <v>16</v>
      </c>
      <c r="K6" s="54">
        <f t="shared" si="1"/>
        <v>12</v>
      </c>
      <c r="L6" s="55">
        <f t="shared" si="2"/>
        <v>12</v>
      </c>
      <c r="M6" s="56"/>
      <c r="N6" s="57">
        <f t="shared" si="3"/>
        <v>4</v>
      </c>
      <c r="O6" s="56"/>
      <c r="P6" s="56"/>
      <c r="Q6" s="56"/>
      <c r="R6" s="58">
        <f t="shared" si="4"/>
        <v>4</v>
      </c>
      <c r="S6" s="24" t="str">
        <f t="shared" si="0"/>
        <v>OK</v>
      </c>
      <c r="T6" s="26"/>
      <c r="U6" s="26">
        <v>12</v>
      </c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2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20</v>
      </c>
      <c r="K7" s="54">
        <f t="shared" si="1"/>
        <v>0</v>
      </c>
      <c r="L7" s="55">
        <f t="shared" si="2"/>
        <v>0</v>
      </c>
      <c r="M7" s="56"/>
      <c r="N7" s="57">
        <f t="shared" si="3"/>
        <v>5</v>
      </c>
      <c r="O7" s="56"/>
      <c r="P7" s="56"/>
      <c r="Q7" s="56"/>
      <c r="R7" s="58">
        <f t="shared" si="4"/>
        <v>20</v>
      </c>
      <c r="S7" s="24" t="str">
        <f t="shared" si="0"/>
        <v>OK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4">
        <f t="shared" si="1"/>
        <v>0</v>
      </c>
      <c r="L8" s="55">
        <f t="shared" si="2"/>
        <v>0</v>
      </c>
      <c r="M8" s="56"/>
      <c r="N8" s="57">
        <f t="shared" si="3"/>
        <v>0</v>
      </c>
      <c r="O8" s="56"/>
      <c r="P8" s="56"/>
      <c r="Q8" s="56"/>
      <c r="R8" s="58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25">
      <c r="A9" s="21">
        <v>6</v>
      </c>
      <c r="B9" s="30" t="s">
        <v>95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1</v>
      </c>
      <c r="K9" s="54">
        <f t="shared" si="1"/>
        <v>1</v>
      </c>
      <c r="L9" s="55">
        <f t="shared" si="2"/>
        <v>1</v>
      </c>
      <c r="M9" s="56"/>
      <c r="N9" s="57">
        <f t="shared" si="3"/>
        <v>0</v>
      </c>
      <c r="O9" s="56"/>
      <c r="P9" s="56"/>
      <c r="Q9" s="56"/>
      <c r="R9" s="58">
        <f t="shared" si="4"/>
        <v>0</v>
      </c>
      <c r="S9" s="24" t="str">
        <f t="shared" si="0"/>
        <v>OK</v>
      </c>
      <c r="T9" s="26"/>
      <c r="U9" s="26"/>
      <c r="V9" s="26">
        <v>1</v>
      </c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25">
      <c r="J10" s="5">
        <f>SUM(J4:J9)</f>
        <v>45</v>
      </c>
      <c r="R10" s="5">
        <f>SUM(R4:R9)</f>
        <v>24</v>
      </c>
      <c r="T10" s="20">
        <f>SUMPRODUCT($I$4:$I$9,T4:T9)</f>
        <v>297110</v>
      </c>
      <c r="U10" s="122">
        <f t="shared" ref="U10:AH10" si="5">SUMPRODUCT($I$4:$I$9,U4:U9)</f>
        <v>66840.84</v>
      </c>
      <c r="V10" s="20">
        <f>SUMPRODUCT($I$4:$I$9,V4:V9)</f>
        <v>9000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5"/>
        <v>0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25">
      <c r="J11" s="59">
        <f>SUMPRODUCT($I$4:$I$9,J4:J9)</f>
        <v>160241.12</v>
      </c>
      <c r="K11" s="59">
        <f>SUMPRODUCT($I$4:$I$9,K4:K9)</f>
        <v>372950.83999999997</v>
      </c>
      <c r="L11" s="59">
        <f>SUMPRODUCT($I$4:$I$9,L4:L9)</f>
        <v>372950.83999999997</v>
      </c>
    </row>
    <row r="12" spans="1:34" ht="26.25" x14ac:dyDescent="0.25">
      <c r="U12" s="123" t="s">
        <v>124</v>
      </c>
    </row>
    <row r="13" spans="1:34" x14ac:dyDescent="0.25">
      <c r="B13" s="148" t="s">
        <v>60</v>
      </c>
      <c r="C13" s="149"/>
      <c r="D13" s="149"/>
      <c r="E13" s="149"/>
      <c r="F13" s="149"/>
      <c r="G13" s="149"/>
      <c r="H13" s="149"/>
      <c r="I13" s="150"/>
      <c r="U13" s="124">
        <v>54101.52</v>
      </c>
    </row>
    <row r="14" spans="1:34" x14ac:dyDescent="0.25">
      <c r="B14" s="134" t="s">
        <v>63</v>
      </c>
      <c r="C14" s="135"/>
      <c r="D14" s="135"/>
      <c r="E14" s="135"/>
      <c r="F14" s="135"/>
      <c r="G14" s="135"/>
      <c r="H14" s="135"/>
      <c r="I14" s="136"/>
      <c r="U14" s="125">
        <f>U10-U13</f>
        <v>12739.32</v>
      </c>
    </row>
    <row r="15" spans="1:34" x14ac:dyDescent="0.25">
      <c r="B15" s="134" t="s">
        <v>62</v>
      </c>
      <c r="C15" s="135"/>
      <c r="D15" s="135"/>
      <c r="E15" s="135"/>
      <c r="F15" s="135"/>
      <c r="G15" s="135"/>
      <c r="H15" s="135"/>
      <c r="I15" s="136"/>
      <c r="U15" s="126" t="s">
        <v>125</v>
      </c>
    </row>
    <row r="16" spans="1:34" x14ac:dyDescent="0.25">
      <c r="B16" s="131" t="s">
        <v>61</v>
      </c>
      <c r="C16" s="132"/>
      <c r="D16" s="132"/>
      <c r="E16" s="132"/>
      <c r="F16" s="132"/>
      <c r="G16" s="132"/>
      <c r="H16" s="132"/>
      <c r="I16" s="133"/>
    </row>
  </sheetData>
  <mergeCells count="24">
    <mergeCell ref="AH1:AH2"/>
    <mergeCell ref="AG1:AG2"/>
    <mergeCell ref="AE1:AE2"/>
    <mergeCell ref="AF1:AF2"/>
    <mergeCell ref="Z1:Z2"/>
    <mergeCell ref="AA1:AA2"/>
    <mergeCell ref="AB1:AB2"/>
    <mergeCell ref="AC1:AC2"/>
    <mergeCell ref="AD1:AD2"/>
    <mergeCell ref="Y1:Y2"/>
    <mergeCell ref="V1:V2"/>
    <mergeCell ref="W1:W2"/>
    <mergeCell ref="X1:X2"/>
    <mergeCell ref="T1:T2"/>
    <mergeCell ref="U1:U2"/>
    <mergeCell ref="B16:I16"/>
    <mergeCell ref="B14:I14"/>
    <mergeCell ref="J2:S2"/>
    <mergeCell ref="J1:S1"/>
    <mergeCell ref="A1:B1"/>
    <mergeCell ref="C1:I1"/>
    <mergeCell ref="A2:I2"/>
    <mergeCell ref="B15:I15"/>
    <mergeCell ref="B13:I13"/>
  </mergeCells>
  <conditionalFormatting sqref="T4:AH9">
    <cfRule type="cellIs" dxfId="49" priority="1" operator="greaterThan">
      <formula>0</formula>
    </cfRule>
    <cfRule type="cellIs" dxfId="48" priority="2" operator="greaterThan">
      <formula>0</formula>
    </cfRule>
    <cfRule type="cellIs" dxfId="47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56EC-29E1-452A-B418-6F387EDA803E}">
  <dimension ref="A1:AH16"/>
  <sheetViews>
    <sheetView zoomScale="50" zoomScaleNormal="50" workbookViewId="0">
      <selection activeCell="R4" sqref="R4"/>
    </sheetView>
  </sheetViews>
  <sheetFormatPr defaultColWidth="9.7109375" defaultRowHeight="15" x14ac:dyDescent="0.25"/>
  <cols>
    <col min="1" max="1" width="8" style="1" customWidth="1"/>
    <col min="2" max="2" width="34.42578125" style="1" customWidth="1"/>
    <col min="3" max="3" width="22.5703125" style="9" customWidth="1"/>
    <col min="4" max="4" width="14.7109375" style="9" customWidth="1"/>
    <col min="5" max="5" width="10.28515625" style="9" customWidth="1"/>
    <col min="6" max="6" width="12.85546875" style="1" bestFit="1" customWidth="1"/>
    <col min="7" max="7" width="16.28515625" style="1" bestFit="1" customWidth="1"/>
    <col min="8" max="8" width="12.85546875" style="1" customWidth="1"/>
    <col min="9" max="9" width="15.7109375" style="14" bestFit="1" customWidth="1"/>
    <col min="10" max="17" width="13.28515625" style="5" customWidth="1"/>
    <col min="18" max="18" width="13.28515625" style="10" customWidth="1"/>
    <col min="19" max="19" width="12.5703125" style="4" customWidth="1"/>
    <col min="20" max="24" width="13.7109375" style="2" customWidth="1"/>
    <col min="25" max="25" width="13.85546875" style="2" customWidth="1"/>
    <col min="26" max="34" width="13.7109375" style="2" customWidth="1"/>
    <col min="35" max="16384" width="9.7109375" style="2"/>
  </cols>
  <sheetData>
    <row r="1" spans="1:34" ht="54" customHeight="1" x14ac:dyDescent="0.25">
      <c r="A1" s="143" t="s">
        <v>26</v>
      </c>
      <c r="B1" s="144"/>
      <c r="C1" s="145" t="s">
        <v>24</v>
      </c>
      <c r="D1" s="146"/>
      <c r="E1" s="146"/>
      <c r="F1" s="146"/>
      <c r="G1" s="146"/>
      <c r="H1" s="146"/>
      <c r="I1" s="147"/>
      <c r="J1" s="140" t="s">
        <v>25</v>
      </c>
      <c r="K1" s="141"/>
      <c r="L1" s="141"/>
      <c r="M1" s="141"/>
      <c r="N1" s="141"/>
      <c r="O1" s="141"/>
      <c r="P1" s="141"/>
      <c r="Q1" s="141"/>
      <c r="R1" s="141"/>
      <c r="S1" s="142"/>
      <c r="T1" s="151" t="s">
        <v>22</v>
      </c>
      <c r="U1" s="151" t="s">
        <v>22</v>
      </c>
      <c r="V1" s="151" t="s">
        <v>22</v>
      </c>
      <c r="W1" s="151" t="s">
        <v>22</v>
      </c>
      <c r="X1" s="151" t="s">
        <v>22</v>
      </c>
      <c r="Y1" s="151" t="s">
        <v>22</v>
      </c>
      <c r="Z1" s="151" t="s">
        <v>22</v>
      </c>
      <c r="AA1" s="151" t="s">
        <v>22</v>
      </c>
      <c r="AB1" s="151" t="s">
        <v>22</v>
      </c>
      <c r="AC1" s="151" t="s">
        <v>22</v>
      </c>
      <c r="AD1" s="151" t="s">
        <v>22</v>
      </c>
      <c r="AE1" s="151" t="s">
        <v>22</v>
      </c>
      <c r="AF1" s="151" t="s">
        <v>22</v>
      </c>
      <c r="AG1" s="151" t="s">
        <v>22</v>
      </c>
      <c r="AH1" s="151" t="s">
        <v>22</v>
      </c>
    </row>
    <row r="2" spans="1:34" ht="27" customHeight="1" x14ac:dyDescent="0.25">
      <c r="A2" s="145" t="s">
        <v>74</v>
      </c>
      <c r="B2" s="146"/>
      <c r="C2" s="146"/>
      <c r="D2" s="146"/>
      <c r="E2" s="146"/>
      <c r="F2" s="146"/>
      <c r="G2" s="146"/>
      <c r="H2" s="146"/>
      <c r="I2" s="147"/>
      <c r="J2" s="137" t="s">
        <v>59</v>
      </c>
      <c r="K2" s="138"/>
      <c r="L2" s="138"/>
      <c r="M2" s="138"/>
      <c r="N2" s="138"/>
      <c r="O2" s="138"/>
      <c r="P2" s="138"/>
      <c r="Q2" s="138"/>
      <c r="R2" s="138"/>
      <c r="S2" s="139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s="3" customFormat="1" ht="75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3" t="s">
        <v>0</v>
      </c>
      <c r="S3" s="6" t="s">
        <v>2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64" t="s">
        <v>91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v>2</v>
      </c>
      <c r="K4" s="54">
        <f>IF(SUM(T4:AK4)&gt;J4+M4,J4,SUM(T4:AK4))</f>
        <v>0</v>
      </c>
      <c r="L4" s="55">
        <f>(SUM(T4:AK4))</f>
        <v>0</v>
      </c>
      <c r="M4" s="56"/>
      <c r="N4" s="57">
        <f>ROUND(IF(J4*0.25-0.5&lt;0,0,J4*0.25-0.5),0)-Q4-O4</f>
        <v>0</v>
      </c>
      <c r="O4" s="56"/>
      <c r="P4" s="56"/>
      <c r="Q4" s="56"/>
      <c r="R4" s="58">
        <f>J4-(SUM(T4:AC4))+M4</f>
        <v>2</v>
      </c>
      <c r="S4" s="24" t="str">
        <f t="shared" ref="S4:S9" si="0">IF(R4&lt;0,"ATENÇÃO","OK")</f>
        <v>OK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2</v>
      </c>
      <c r="K5" s="54">
        <f t="shared" ref="K5:K9" si="1">IF(SUM(T5:AK5)&gt;J5+M5,J5,SUM(T5:AK5))</f>
        <v>0</v>
      </c>
      <c r="L5" s="55">
        <f t="shared" ref="L5:L9" si="2">(SUM(T5:AK5))</f>
        <v>0</v>
      </c>
      <c r="M5" s="56"/>
      <c r="N5" s="57">
        <f t="shared" ref="N5:N9" si="3">ROUND(IF(J5*0.25-0.5&lt;0,0,J5*0.25-0.5),0)-Q5-O5</f>
        <v>0</v>
      </c>
      <c r="O5" s="56"/>
      <c r="P5" s="56"/>
      <c r="Q5" s="56"/>
      <c r="R5" s="58">
        <f t="shared" ref="R5:R9" si="4">J5-(SUM(T5:AC5))+M5</f>
        <v>2</v>
      </c>
      <c r="S5" s="24" t="str">
        <f t="shared" si="0"/>
        <v>OK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25">
        <v>2</v>
      </c>
      <c r="K6" s="54">
        <f t="shared" si="1"/>
        <v>0</v>
      </c>
      <c r="L6" s="55">
        <f t="shared" si="2"/>
        <v>0</v>
      </c>
      <c r="M6" s="56"/>
      <c r="N6" s="57">
        <f t="shared" si="3"/>
        <v>0</v>
      </c>
      <c r="O6" s="56"/>
      <c r="P6" s="56"/>
      <c r="Q6" s="56"/>
      <c r="R6" s="58">
        <f t="shared" si="4"/>
        <v>2</v>
      </c>
      <c r="S6" s="24" t="str">
        <f t="shared" si="0"/>
        <v>OK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2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2</v>
      </c>
      <c r="K7" s="54">
        <f t="shared" si="1"/>
        <v>0</v>
      </c>
      <c r="L7" s="55">
        <f t="shared" si="2"/>
        <v>0</v>
      </c>
      <c r="M7" s="56"/>
      <c r="N7" s="57">
        <f t="shared" si="3"/>
        <v>0</v>
      </c>
      <c r="O7" s="56"/>
      <c r="P7" s="56"/>
      <c r="Q7" s="56"/>
      <c r="R7" s="58">
        <f t="shared" si="4"/>
        <v>2</v>
      </c>
      <c r="S7" s="24" t="str">
        <f t="shared" si="0"/>
        <v>OK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4">
        <f t="shared" si="1"/>
        <v>0</v>
      </c>
      <c r="L8" s="55">
        <f t="shared" si="2"/>
        <v>0</v>
      </c>
      <c r="M8" s="56"/>
      <c r="N8" s="57">
        <f t="shared" si="3"/>
        <v>0</v>
      </c>
      <c r="O8" s="56"/>
      <c r="P8" s="56"/>
      <c r="Q8" s="56"/>
      <c r="R8" s="58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2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4">
        <f t="shared" si="1"/>
        <v>0</v>
      </c>
      <c r="L9" s="55">
        <f t="shared" si="2"/>
        <v>0</v>
      </c>
      <c r="M9" s="56"/>
      <c r="N9" s="57">
        <f t="shared" si="3"/>
        <v>0</v>
      </c>
      <c r="O9" s="56"/>
      <c r="P9" s="56"/>
      <c r="Q9" s="56"/>
      <c r="R9" s="58">
        <f t="shared" si="4"/>
        <v>0</v>
      </c>
      <c r="S9" s="24" t="str">
        <f t="shared" si="0"/>
        <v>OK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25">
      <c r="J10" s="5">
        <f>SUM(J4:J9)</f>
        <v>8</v>
      </c>
      <c r="R10" s="5">
        <f>SUM(R4:R9)</f>
        <v>8</v>
      </c>
      <c r="T10" s="20">
        <f t="shared" ref="T10:AH10" si="5">SUMPRODUCT($I$4:$I$9,T4:T9)</f>
        <v>0</v>
      </c>
      <c r="U10" s="20">
        <f t="shared" si="5"/>
        <v>0</v>
      </c>
      <c r="V10" s="20">
        <f t="shared" si="5"/>
        <v>0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5"/>
        <v>0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25">
      <c r="J11" s="59">
        <f>SUMPRODUCT($I$4:$I$9,J4:J9)</f>
        <v>26226.14</v>
      </c>
      <c r="K11" s="59">
        <f>SUMPRODUCT($I$4:$I$9,K4:K9)</f>
        <v>0</v>
      </c>
      <c r="L11" s="59">
        <f>SUMPRODUCT($I$4:$I$9,L4:L9)</f>
        <v>0</v>
      </c>
    </row>
    <row r="13" spans="1:34" x14ac:dyDescent="0.25">
      <c r="B13" s="148" t="s">
        <v>60</v>
      </c>
      <c r="C13" s="149"/>
      <c r="D13" s="149"/>
      <c r="E13" s="149"/>
      <c r="F13" s="149"/>
      <c r="G13" s="149"/>
      <c r="H13" s="149"/>
      <c r="I13" s="150"/>
    </row>
    <row r="14" spans="1:34" x14ac:dyDescent="0.25">
      <c r="B14" s="134" t="s">
        <v>63</v>
      </c>
      <c r="C14" s="135"/>
      <c r="D14" s="135"/>
      <c r="E14" s="135"/>
      <c r="F14" s="135"/>
      <c r="G14" s="135"/>
      <c r="H14" s="135"/>
      <c r="I14" s="136"/>
    </row>
    <row r="15" spans="1:34" x14ac:dyDescent="0.25">
      <c r="B15" s="134" t="s">
        <v>62</v>
      </c>
      <c r="C15" s="135"/>
      <c r="D15" s="135"/>
      <c r="E15" s="135"/>
      <c r="F15" s="135"/>
      <c r="G15" s="135"/>
      <c r="H15" s="135"/>
      <c r="I15" s="136"/>
    </row>
    <row r="16" spans="1:34" x14ac:dyDescent="0.25">
      <c r="B16" s="131" t="s">
        <v>61</v>
      </c>
      <c r="C16" s="132"/>
      <c r="D16" s="132"/>
      <c r="E16" s="132"/>
      <c r="F16" s="132"/>
      <c r="G16" s="132"/>
      <c r="H16" s="132"/>
      <c r="I16" s="133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T4:AH9">
    <cfRule type="cellIs" dxfId="10" priority="1" operator="greaterThan">
      <formula>0</formula>
    </cfRule>
    <cfRule type="cellIs" dxfId="9" priority="2" operator="greaterThan">
      <formula>0</formula>
    </cfRule>
    <cfRule type="cellIs" dxfId="8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236D5-4DD6-4681-94BC-500A25BF0A69}">
  <dimension ref="A1:AH16"/>
  <sheetViews>
    <sheetView zoomScale="80" zoomScaleNormal="80" workbookViewId="0">
      <selection activeCell="I18" sqref="I18"/>
    </sheetView>
  </sheetViews>
  <sheetFormatPr defaultColWidth="9.7109375" defaultRowHeight="15" x14ac:dyDescent="0.25"/>
  <cols>
    <col min="1" max="1" width="8" style="1" customWidth="1"/>
    <col min="2" max="2" width="34.42578125" style="1" customWidth="1"/>
    <col min="3" max="3" width="22.5703125" style="9" customWidth="1"/>
    <col min="4" max="4" width="14.7109375" style="9" customWidth="1"/>
    <col min="5" max="5" width="10.28515625" style="9" customWidth="1"/>
    <col min="6" max="6" width="12.85546875" style="1" bestFit="1" customWidth="1"/>
    <col min="7" max="7" width="16.28515625" style="1" bestFit="1" customWidth="1"/>
    <col min="8" max="8" width="12.85546875" style="1" customWidth="1"/>
    <col min="9" max="9" width="15.7109375" style="14" bestFit="1" customWidth="1"/>
    <col min="10" max="10" width="15.85546875" style="5" customWidth="1"/>
    <col min="11" max="17" width="13.28515625" style="5" customWidth="1"/>
    <col min="18" max="18" width="13.28515625" style="10" customWidth="1"/>
    <col min="19" max="19" width="12.5703125" style="4" customWidth="1"/>
    <col min="20" max="24" width="13.7109375" style="2" customWidth="1"/>
    <col min="25" max="25" width="13.85546875" style="2" customWidth="1"/>
    <col min="26" max="34" width="13.7109375" style="2" customWidth="1"/>
    <col min="35" max="16384" width="9.7109375" style="2"/>
  </cols>
  <sheetData>
    <row r="1" spans="1:34" ht="54" customHeight="1" x14ac:dyDescent="0.25">
      <c r="A1" s="143" t="s">
        <v>26</v>
      </c>
      <c r="B1" s="144"/>
      <c r="C1" s="145" t="s">
        <v>24</v>
      </c>
      <c r="D1" s="146"/>
      <c r="E1" s="146"/>
      <c r="F1" s="146"/>
      <c r="G1" s="146"/>
      <c r="H1" s="146"/>
      <c r="I1" s="147"/>
      <c r="J1" s="140" t="s">
        <v>25</v>
      </c>
      <c r="K1" s="141"/>
      <c r="L1" s="141"/>
      <c r="M1" s="141"/>
      <c r="N1" s="141"/>
      <c r="O1" s="141"/>
      <c r="P1" s="141"/>
      <c r="Q1" s="141"/>
      <c r="R1" s="141"/>
      <c r="S1" s="142"/>
      <c r="T1" s="152" t="s">
        <v>139</v>
      </c>
      <c r="U1" s="152" t="s">
        <v>140</v>
      </c>
      <c r="V1" s="152" t="s">
        <v>141</v>
      </c>
      <c r="W1" s="151" t="s">
        <v>22</v>
      </c>
      <c r="X1" s="151" t="s">
        <v>22</v>
      </c>
      <c r="Y1" s="151" t="s">
        <v>22</v>
      </c>
      <c r="Z1" s="151" t="s">
        <v>22</v>
      </c>
      <c r="AA1" s="151" t="s">
        <v>22</v>
      </c>
      <c r="AB1" s="151" t="s">
        <v>22</v>
      </c>
      <c r="AC1" s="151" t="s">
        <v>22</v>
      </c>
      <c r="AD1" s="151" t="s">
        <v>22</v>
      </c>
      <c r="AE1" s="151" t="s">
        <v>22</v>
      </c>
      <c r="AF1" s="151" t="s">
        <v>22</v>
      </c>
      <c r="AG1" s="151" t="s">
        <v>22</v>
      </c>
      <c r="AH1" s="151" t="s">
        <v>22</v>
      </c>
    </row>
    <row r="2" spans="1:34" ht="27" customHeight="1" x14ac:dyDescent="0.25">
      <c r="A2" s="145" t="s">
        <v>75</v>
      </c>
      <c r="B2" s="146"/>
      <c r="C2" s="146"/>
      <c r="D2" s="146"/>
      <c r="E2" s="146"/>
      <c r="F2" s="146"/>
      <c r="G2" s="146"/>
      <c r="H2" s="146"/>
      <c r="I2" s="147"/>
      <c r="J2" s="137" t="s">
        <v>59</v>
      </c>
      <c r="K2" s="138"/>
      <c r="L2" s="138"/>
      <c r="M2" s="138"/>
      <c r="N2" s="138"/>
      <c r="O2" s="138"/>
      <c r="P2" s="138"/>
      <c r="Q2" s="138"/>
      <c r="R2" s="138"/>
      <c r="S2" s="139"/>
      <c r="T2" s="152"/>
      <c r="U2" s="152"/>
      <c r="V2" s="152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s="3" customFormat="1" ht="60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51" t="s">
        <v>83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3" t="s">
        <v>0</v>
      </c>
      <c r="S3" s="6" t="s">
        <v>2</v>
      </c>
      <c r="T3" s="43">
        <v>45607</v>
      </c>
      <c r="U3" s="43">
        <v>45607</v>
      </c>
      <c r="V3" s="43">
        <v>45615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64" t="s">
        <v>91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25</f>
        <v>25</v>
      </c>
      <c r="K4" s="54">
        <f>IF(SUM(T4:AK4)&gt;J4+M4,J4,SUM(T4:AK4))</f>
        <v>5</v>
      </c>
      <c r="L4" s="55">
        <f>(SUM(T4:AK4))</f>
        <v>5</v>
      </c>
      <c r="M4" s="56">
        <v>-10</v>
      </c>
      <c r="N4" s="57">
        <f>ROUND(IF(J4*0.25-0.5&lt;0,0,J4*0.25-0.5),0)-Q4-O4</f>
        <v>6</v>
      </c>
      <c r="O4" s="56"/>
      <c r="P4" s="56"/>
      <c r="Q4" s="56"/>
      <c r="R4" s="58">
        <f>J4-(SUM(T4:AC4))+M4</f>
        <v>10</v>
      </c>
      <c r="S4" s="24" t="str">
        <f t="shared" ref="S4:S9" si="0">IF(R4&lt;0,"ATENÇÃO","OK")</f>
        <v>OK</v>
      </c>
      <c r="T4" s="26">
        <v>5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10</v>
      </c>
      <c r="K5" s="54">
        <f t="shared" ref="K5:K9" si="1">IF(SUM(T5:AK5)&gt;J5+M5,J5,SUM(T5:AK5))</f>
        <v>4</v>
      </c>
      <c r="L5" s="55">
        <f t="shared" ref="L5:L9" si="2">(SUM(T5:AK5))</f>
        <v>4</v>
      </c>
      <c r="M5" s="56"/>
      <c r="N5" s="57">
        <f t="shared" ref="N5:N9" si="3">ROUND(IF(J5*0.25-0.5&lt;0,0,J5*0.25-0.5),0)-Q5-O5</f>
        <v>2</v>
      </c>
      <c r="O5" s="56"/>
      <c r="P5" s="56"/>
      <c r="Q5" s="56"/>
      <c r="R5" s="58">
        <f t="shared" ref="R5:R9" si="4">J5-(SUM(T5:AC5))+M5</f>
        <v>6</v>
      </c>
      <c r="S5" s="24" t="str">
        <f t="shared" si="0"/>
        <v>OK</v>
      </c>
      <c r="T5" s="26"/>
      <c r="U5" s="26">
        <v>4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25">
        <v>10</v>
      </c>
      <c r="K6" s="54">
        <f t="shared" si="1"/>
        <v>1</v>
      </c>
      <c r="L6" s="55">
        <f t="shared" si="2"/>
        <v>1</v>
      </c>
      <c r="M6" s="56"/>
      <c r="N6" s="57">
        <f t="shared" si="3"/>
        <v>2</v>
      </c>
      <c r="O6" s="56"/>
      <c r="P6" s="56"/>
      <c r="Q6" s="56"/>
      <c r="R6" s="58">
        <f t="shared" si="4"/>
        <v>9</v>
      </c>
      <c r="S6" s="24" t="str">
        <f t="shared" si="0"/>
        <v>OK</v>
      </c>
      <c r="T6" s="26"/>
      <c r="U6" s="26"/>
      <c r="V6" s="26">
        <v>1</v>
      </c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2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5</v>
      </c>
      <c r="K7" s="54">
        <f t="shared" si="1"/>
        <v>0</v>
      </c>
      <c r="L7" s="55">
        <f t="shared" si="2"/>
        <v>0</v>
      </c>
      <c r="M7" s="56"/>
      <c r="N7" s="57">
        <f t="shared" si="3"/>
        <v>1</v>
      </c>
      <c r="O7" s="56"/>
      <c r="P7" s="56"/>
      <c r="Q7" s="56"/>
      <c r="R7" s="58">
        <f t="shared" si="4"/>
        <v>5</v>
      </c>
      <c r="S7" s="24" t="str">
        <f t="shared" si="0"/>
        <v>OK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4">
        <f t="shared" si="1"/>
        <v>0</v>
      </c>
      <c r="L8" s="55">
        <f t="shared" si="2"/>
        <v>0</v>
      </c>
      <c r="M8" s="56"/>
      <c r="N8" s="57">
        <f t="shared" si="3"/>
        <v>0</v>
      </c>
      <c r="O8" s="56"/>
      <c r="P8" s="56"/>
      <c r="Q8" s="56"/>
      <c r="R8" s="58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2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/>
      <c r="K9" s="54">
        <f t="shared" si="1"/>
        <v>0</v>
      </c>
      <c r="L9" s="55">
        <f t="shared" si="2"/>
        <v>0</v>
      </c>
      <c r="M9" s="56"/>
      <c r="N9" s="57">
        <f t="shared" si="3"/>
        <v>0</v>
      </c>
      <c r="O9" s="56"/>
      <c r="P9" s="56"/>
      <c r="Q9" s="56"/>
      <c r="R9" s="58">
        <f t="shared" si="4"/>
        <v>0</v>
      </c>
      <c r="S9" s="24" t="str">
        <f t="shared" si="0"/>
        <v>OK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25">
      <c r="J10" s="5">
        <f>SUM(J4:J9)</f>
        <v>50</v>
      </c>
      <c r="R10" s="5">
        <f>SUM(R4:R9)</f>
        <v>30</v>
      </c>
      <c r="T10" s="128">
        <f t="shared" ref="T10:V10" si="5">SUMPRODUCT($I$4:$I$9,T4:T9)</f>
        <v>20075</v>
      </c>
      <c r="U10" s="128">
        <f t="shared" si="5"/>
        <v>8112</v>
      </c>
      <c r="V10" s="128">
        <f t="shared" si="5"/>
        <v>5570.07</v>
      </c>
      <c r="W10" s="20">
        <f t="shared" ref="W10:AH10" si="6">SUMPRODUCT($I$4:$I$9,W4:W9)</f>
        <v>0</v>
      </c>
      <c r="X10" s="20">
        <f t="shared" si="6"/>
        <v>0</v>
      </c>
      <c r="Y10" s="20">
        <f t="shared" si="6"/>
        <v>0</v>
      </c>
      <c r="Z10" s="20">
        <f t="shared" si="6"/>
        <v>0</v>
      </c>
      <c r="AA10" s="20">
        <f t="shared" si="6"/>
        <v>0</v>
      </c>
      <c r="AB10" s="20">
        <f t="shared" si="6"/>
        <v>0</v>
      </c>
      <c r="AC10" s="20">
        <f t="shared" si="6"/>
        <v>0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0</v>
      </c>
      <c r="AH10" s="20">
        <f t="shared" si="6"/>
        <v>0</v>
      </c>
    </row>
    <row r="11" spans="1:34" x14ac:dyDescent="0.25">
      <c r="J11" s="59">
        <f>SUMPRODUCT($I$4:$I$9,J4:J9)</f>
        <v>183855.7</v>
      </c>
      <c r="K11" s="59">
        <f>SUMPRODUCT($I$4:$I$9,K4:K9)</f>
        <v>33757.07</v>
      </c>
      <c r="L11" s="59">
        <f>SUMPRODUCT($I$4:$I$9,L4:L9)</f>
        <v>33757.07</v>
      </c>
      <c r="T11" s="129"/>
    </row>
    <row r="12" spans="1:34" x14ac:dyDescent="0.25">
      <c r="T12" s="129"/>
    </row>
    <row r="13" spans="1:34" x14ac:dyDescent="0.25">
      <c r="B13" s="148" t="s">
        <v>60</v>
      </c>
      <c r="C13" s="149"/>
      <c r="D13" s="149"/>
      <c r="E13" s="149"/>
      <c r="F13" s="149"/>
      <c r="G13" s="149"/>
      <c r="H13" s="149"/>
      <c r="I13" s="150"/>
    </row>
    <row r="14" spans="1:34" x14ac:dyDescent="0.25">
      <c r="B14" s="134" t="s">
        <v>63</v>
      </c>
      <c r="C14" s="135"/>
      <c r="D14" s="135"/>
      <c r="E14" s="135"/>
      <c r="F14" s="135"/>
      <c r="G14" s="135"/>
      <c r="H14" s="135"/>
      <c r="I14" s="136"/>
    </row>
    <row r="15" spans="1:34" x14ac:dyDescent="0.25">
      <c r="B15" s="134" t="s">
        <v>62</v>
      </c>
      <c r="C15" s="135"/>
      <c r="D15" s="135"/>
      <c r="E15" s="135"/>
      <c r="F15" s="135"/>
      <c r="G15" s="135"/>
      <c r="H15" s="135"/>
      <c r="I15" s="136"/>
    </row>
    <row r="16" spans="1:34" x14ac:dyDescent="0.25">
      <c r="B16" s="131" t="s">
        <v>61</v>
      </c>
      <c r="C16" s="132"/>
      <c r="D16" s="132"/>
      <c r="E16" s="132"/>
      <c r="F16" s="132"/>
      <c r="G16" s="132"/>
      <c r="H16" s="132"/>
      <c r="I16" s="133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W4:AH9">
    <cfRule type="cellIs" dxfId="7" priority="4" operator="greaterThan">
      <formula>0</formula>
    </cfRule>
    <cfRule type="cellIs" dxfId="6" priority="5" operator="greaterThan">
      <formula>0</formula>
    </cfRule>
    <cfRule type="cellIs" dxfId="5" priority="6" operator="greaterThan">
      <formula>1</formula>
    </cfRule>
  </conditionalFormatting>
  <conditionalFormatting sqref="T4:V9">
    <cfRule type="cellIs" dxfId="4" priority="1" operator="greaterThan">
      <formula>0</formula>
    </cfRule>
    <cfRule type="cellIs" dxfId="3" priority="2" operator="greaterThan">
      <formula>0</formula>
    </cfRule>
    <cfRule type="cellIs" dxfId="2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C50C-8BA3-4CC3-811E-6F4CE2DAD9CC}">
  <sheetPr>
    <tabColor rgb="FFFFC000"/>
  </sheetPr>
  <dimension ref="A1:R19"/>
  <sheetViews>
    <sheetView tabSelected="1" zoomScale="80" zoomScaleNormal="80" workbookViewId="0">
      <selection activeCell="C18" sqref="C18"/>
    </sheetView>
  </sheetViews>
  <sheetFormatPr defaultColWidth="9.7109375" defaultRowHeight="15" x14ac:dyDescent="0.25"/>
  <cols>
    <col min="1" max="1" width="8" style="1" customWidth="1"/>
    <col min="2" max="2" width="34.42578125" style="1" customWidth="1"/>
    <col min="3" max="3" width="20" style="9" customWidth="1"/>
    <col min="4" max="4" width="14.7109375" style="9" customWidth="1"/>
    <col min="5" max="5" width="10.28515625" style="9" customWidth="1"/>
    <col min="6" max="6" width="14.140625" style="1" customWidth="1"/>
    <col min="7" max="7" width="16.28515625" style="1" bestFit="1" customWidth="1"/>
    <col min="8" max="8" width="12.85546875" style="1" customWidth="1"/>
    <col min="9" max="9" width="17.140625" style="14" customWidth="1"/>
    <col min="10" max="11" width="13.28515625" style="5" customWidth="1"/>
    <col min="12" max="15" width="13.28515625" style="10" customWidth="1"/>
    <col min="16" max="17" width="17.7109375" style="10" customWidth="1"/>
    <col min="18" max="18" width="17.85546875" style="4" customWidth="1"/>
    <col min="19" max="16384" width="9.7109375" style="2"/>
  </cols>
  <sheetData>
    <row r="1" spans="1:18" ht="42" customHeight="1" x14ac:dyDescent="0.25">
      <c r="A1" s="157" t="s">
        <v>26</v>
      </c>
      <c r="B1" s="158"/>
      <c r="C1" s="159" t="s">
        <v>24</v>
      </c>
      <c r="D1" s="160"/>
      <c r="E1" s="160"/>
      <c r="F1" s="160"/>
      <c r="G1" s="160"/>
      <c r="H1" s="160"/>
      <c r="I1" s="161"/>
      <c r="J1" s="162" t="s">
        <v>25</v>
      </c>
      <c r="K1" s="163"/>
      <c r="L1" s="163"/>
      <c r="M1" s="163"/>
      <c r="N1" s="163"/>
      <c r="O1" s="163"/>
      <c r="P1" s="163"/>
      <c r="Q1" s="163"/>
      <c r="R1" s="164"/>
    </row>
    <row r="2" spans="1:18" ht="27" customHeight="1" x14ac:dyDescent="0.25">
      <c r="A2" s="154" t="s">
        <v>76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6"/>
    </row>
    <row r="3" spans="1:18" s="3" customFormat="1" ht="45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47" t="s">
        <v>4</v>
      </c>
      <c r="K3" s="48" t="s">
        <v>80</v>
      </c>
      <c r="L3" s="49" t="s">
        <v>5</v>
      </c>
      <c r="M3" s="49" t="s">
        <v>81</v>
      </c>
      <c r="N3" s="49" t="s">
        <v>82</v>
      </c>
      <c r="O3" s="50" t="s">
        <v>6</v>
      </c>
      <c r="P3" s="8" t="s">
        <v>7</v>
      </c>
      <c r="Q3" s="8" t="s">
        <v>79</v>
      </c>
      <c r="R3" s="6" t="s">
        <v>8</v>
      </c>
    </row>
    <row r="4" spans="1:18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19" t="s">
        <v>117</v>
      </c>
      <c r="F4" s="19" t="s">
        <v>50</v>
      </c>
      <c r="G4" s="19" t="s">
        <v>51</v>
      </c>
      <c r="H4" s="19" t="s">
        <v>57</v>
      </c>
      <c r="I4" s="17">
        <v>4015</v>
      </c>
      <c r="J4" s="45">
        <f>'REITORIA-SETIC'!J4+FAED!J4+CEAD!J4+CEFID!J4+CERES!J4+CESFI!J4+CCT!J4+CEAVI!J4+CAV!J4+CESMO!J4+CEO!J4</f>
        <v>177</v>
      </c>
      <c r="K4" s="130">
        <f>'REITORIA-SETIC'!K4+FAED!K4+CEAD!K4+CEFID!K4+CERES!K4+CESFI!K4+CCT!K4+CEAVI!K4+CAV!K4+CESMO!K4+CEO!K4</f>
        <v>168</v>
      </c>
      <c r="L4" s="60">
        <f>'REITORIA-SETIC'!L4+FAED!L4+CEAD!L4+CEFID!L4+CERES!L4+CESFI!L4+CCT!L4+CEAVI!L4+CAV!L4+CESMO!L4+CEO!L4</f>
        <v>168</v>
      </c>
      <c r="M4" s="62">
        <f>'REITORIA-SETIC'!N4+FAED!N4+CEAD!N4+CEFID!N4+CERES!N4+CESFI!N4+CCT!N4+CEAVI!N4+CAV!N4+CESMO!N4+CEO!N4</f>
        <v>41</v>
      </c>
      <c r="N4" s="63">
        <f>'REITORIA-SETIC'!O4+'REITORIA-SETIC'!Q4+FAED!O4+FAED!Q4+CEAD!O4+CEAD!Q4+CEFID!O4+CEFID!Q4+CERES!O4+CERES!Q4+CESFI!O4+CESFI!Q4+CCT!O4+CCT!Q4+CEAVI!O4+CEAVI!Q4+CAV!O4+CAV!Q4+CESMO!O4+CESMO!Q4+CEO!O4+CEO!Q4</f>
        <v>0</v>
      </c>
      <c r="O4" s="33">
        <f>J4-L4+N4</f>
        <v>9</v>
      </c>
      <c r="P4" s="40">
        <f>I4*J4</f>
        <v>710655</v>
      </c>
      <c r="Q4" s="40">
        <f>N4*I4</f>
        <v>0</v>
      </c>
      <c r="R4" s="41">
        <f>L4*I4</f>
        <v>674520</v>
      </c>
    </row>
    <row r="5" spans="1:18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45">
        <f>'REITORIA-SETIC'!J5+FAED!J5+CEAD!J5+CEFID!J5+CERES!J5+CESFI!J5+CCT!J5+CEAVI!J5+CAV!J5+CESMO!J5+CEO!J5</f>
        <v>100</v>
      </c>
      <c r="K5" s="130">
        <f>'REITORIA-SETIC'!K5+FAED!K5+CEAD!K5+CEFID!K5+CERES!K5+CESFI!K5+CCT!K5+CEAVI!K5+CAV!K5+CESMO!K5+CEO!K5</f>
        <v>34</v>
      </c>
      <c r="L5" s="61">
        <f>'REITORIA-SETIC'!J5-'REITORIA-SETIC'!R5+FAED!J5-FAED!R5+CEAD!J5-CEAD!R5+CEFID!J5-CEFID!R5+CERES!J5-CERES!R5+CESFI!J5-CESFI!R5+CCT!J5-CCT!R5+CEAVI!J5-CEAVI!R5+CAV!J5-CAV!R5+CESMO!J5-CESMO!R5+CEO!J5-CEO!R5</f>
        <v>34</v>
      </c>
      <c r="M5" s="62">
        <f>'REITORIA-SETIC'!N5+FAED!N5+CEAD!N5+CEFID!N5+CERES!N5+CESFI!N5+CCT!N5+CEAVI!N5+CAV!N5+CESMO!N5+CEO!N5</f>
        <v>21</v>
      </c>
      <c r="N5" s="63">
        <f>'REITORIA-SETIC'!O5+'REITORIA-SETIC'!Q5+FAED!O5+FAED!Q5+CEAD!O5+CEAD!Q5+CEFID!O5+CEFID!Q5+CERES!O5+CERES!Q5+CESFI!O5+CESFI!Q5+CCT!O5+CCT!Q5+CEAVI!O5+CEAVI!Q5+CAV!O5+CAV!Q5+CESMO!O5+CESMO!Q5+CEO!O5+CEO!Q5</f>
        <v>0</v>
      </c>
      <c r="O5" s="33">
        <f t="shared" ref="O5:O9" si="0">J5-L5+N5</f>
        <v>66</v>
      </c>
      <c r="P5" s="40">
        <f t="shared" ref="P5:P9" si="1">I5*J5</f>
        <v>202800</v>
      </c>
      <c r="Q5" s="40">
        <f t="shared" ref="Q5:Q9" si="2">N5*I5</f>
        <v>0</v>
      </c>
      <c r="R5" s="41">
        <f t="shared" ref="R5:R9" si="3">L5*I5</f>
        <v>68952</v>
      </c>
    </row>
    <row r="6" spans="1:18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32">
        <f>'REITORIA-SETIC'!J6+FAED!J6+CEAD!J6+CEFID!J6+CERES!J6+CESFI!J6+CCT!J6+CEAVI!J6+CAV!J6+CESMO!J6+CEO!J6</f>
        <v>191</v>
      </c>
      <c r="K6" s="130">
        <f>'REITORIA-SETIC'!K6+FAED!K6+CEAD!K6+CEFID!K6+CERES!K6+CESFI!K6+CCT!K6+CEAVI!K6+CAV!K6+CESMO!K6+CEO!K6</f>
        <v>75</v>
      </c>
      <c r="L6" s="61">
        <f>'REITORIA-SETIC'!J6-'REITORIA-SETIC'!R6+FAED!J6-FAED!R6+CEAD!J6-CEAD!R6+CEFID!J6-CEFID!R6+CERES!J6-CERES!R6+CESFI!J6-CESFI!R6+CCT!J6-CCT!R6+CEAVI!J6-CEAVI!R6+CAV!J6-CAV!R6+CESMO!J6-CESMO!R6+CEO!J6-CEO!R6</f>
        <v>75</v>
      </c>
      <c r="M6" s="62">
        <f>'REITORIA-SETIC'!N6+FAED!N6+CEAD!N6+CEFID!N6+CERES!N6+CESFI!N6+CCT!N6+CEAVI!N6+CAV!N6+CESMO!N6+CEO!N6</f>
        <v>45</v>
      </c>
      <c r="N6" s="63">
        <f>'REITORIA-SETIC'!O6+'REITORIA-SETIC'!Q6+FAED!O6+FAED!Q6+CEAD!O6+CEAD!Q6+CEFID!O6+CEFID!Q6+CERES!O6+CERES!Q6+CESFI!O6+CESFI!Q6+CCT!O6+CCT!Q6+CEAVI!O6+CEAVI!Q6+CAV!O6+CAV!Q6+CESMO!O6+CESMO!Q6+CEO!O6+CEO!Q6</f>
        <v>0</v>
      </c>
      <c r="O6" s="33">
        <f t="shared" si="0"/>
        <v>116</v>
      </c>
      <c r="P6" s="40">
        <f t="shared" si="1"/>
        <v>1063883.3699999999</v>
      </c>
      <c r="Q6" s="40">
        <f t="shared" si="2"/>
        <v>0</v>
      </c>
      <c r="R6" s="41">
        <f t="shared" si="3"/>
        <v>417755.25</v>
      </c>
    </row>
    <row r="7" spans="1:18" ht="30" customHeight="1" x14ac:dyDescent="0.25">
      <c r="A7" s="65">
        <v>4</v>
      </c>
      <c r="B7" s="66" t="s">
        <v>34</v>
      </c>
      <c r="C7" s="67" t="s">
        <v>35</v>
      </c>
      <c r="D7" s="67" t="s">
        <v>45</v>
      </c>
      <c r="E7" s="67" t="s">
        <v>46</v>
      </c>
      <c r="F7" s="67" t="s">
        <v>23</v>
      </c>
      <c r="G7" s="67" t="s">
        <v>55</v>
      </c>
      <c r="H7" s="67" t="s">
        <v>19</v>
      </c>
      <c r="I7" s="68">
        <v>1500</v>
      </c>
      <c r="J7" s="32">
        <f>'REITORIA-SETIC'!J7+FAED!J7+CEAD!J7+CEFID!J7+CERES!J7+CESFI!J7+CCT!J7+CEAVI!J7+CAV!J7+CESMO!J7+CEO!J7</f>
        <v>46</v>
      </c>
      <c r="K7" s="130">
        <f>'REITORIA-SETIC'!K7+FAED!K7+CEAD!K7+CEFID!K7+CERES!K7+CESFI!K7+CCT!K7+CEAVI!K7+CAV!K7+CESMO!K7+CEO!K7</f>
        <v>12</v>
      </c>
      <c r="L7" s="61">
        <f>'REITORIA-SETIC'!J7-'REITORIA-SETIC'!R7+FAED!J7-FAED!R7+CEAD!J7-CEAD!R7+CEFID!J7-CEFID!R7+CERES!J7-CERES!R7+CESFI!J7-CESFI!R7+CCT!J7-CCT!R7+CEAVI!J7-CEAVI!R7+CAV!J7-CAV!R7+CESMO!J7-CESMO!R7+CEO!J7-CEO!R7</f>
        <v>12</v>
      </c>
      <c r="M7" s="62">
        <f>'REITORIA-SETIC'!N7+FAED!N7+CEAD!N7+CEFID!N7+CERES!N7+CESFI!N7+CCT!N7+CEAVI!N7+CAV!N7+CESMO!N7+CEO!N7</f>
        <v>10</v>
      </c>
      <c r="N7" s="63">
        <f>'REITORIA-SETIC'!O7+'REITORIA-SETIC'!Q7+FAED!O7+FAED!Q7+CEAD!O7+CEAD!Q7+CEFID!O7+CEFID!Q7+CERES!O7+CERES!Q7+CESFI!O7+CESFI!Q7+CCT!O7+CCT!Q7+CEAVI!O7+CEAVI!Q7+CAV!O7+CAV!Q7+CESMO!O7+CESMO!Q7+CEO!O7+CEO!Q7</f>
        <v>0</v>
      </c>
      <c r="O7" s="33">
        <f t="shared" si="0"/>
        <v>34</v>
      </c>
      <c r="P7" s="40">
        <f t="shared" si="1"/>
        <v>69000</v>
      </c>
      <c r="Q7" s="40">
        <f t="shared" si="2"/>
        <v>0</v>
      </c>
      <c r="R7" s="41">
        <f t="shared" si="3"/>
        <v>18000</v>
      </c>
    </row>
    <row r="8" spans="1:18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32">
        <f>'REITORIA-SETIC'!J8+FAED!J8+CEAD!J8+CEFID!J8+CERES!J8+CESFI!J8+CCT!J8+CEAVI!J8+CAV!J8+CESMO!J8+CEO!J8</f>
        <v>30</v>
      </c>
      <c r="K8" s="130">
        <f>'REITORIA-SETIC'!K8+FAED!K8+CEAD!K8+CEFID!K8+CERES!K8+CESFI!K8+CCT!K8+CEAVI!K8+CAV!K8+CESMO!K8+CEO!K8</f>
        <v>0</v>
      </c>
      <c r="L8" s="61">
        <f>'REITORIA-SETIC'!J8-'REITORIA-SETIC'!R8+FAED!J8-FAED!R8+CEAD!J8-CEAD!R8+CEFID!J8-CEFID!R8+CERES!J8-CERES!R8+CESFI!J8-CESFI!R8+CCT!J8-CCT!R8+CEAVI!J8-CEAVI!R8+CAV!J8-CAV!R8+CESMO!J8-CESMO!R8+CEO!J8-CEO!R8</f>
        <v>0</v>
      </c>
      <c r="M8" s="62">
        <f>'REITORIA-SETIC'!N8+FAED!N8+CEAD!N8+CEFID!N8+CERES!N8+CESFI!N8+CCT!N8+CEAVI!N8+CAV!N8+CESMO!N8+CEO!N8</f>
        <v>7</v>
      </c>
      <c r="N8" s="63">
        <f>'REITORIA-SETIC'!O8+'REITORIA-SETIC'!Q8+FAED!O8+FAED!Q8+CEAD!O8+CEAD!Q8+CEFID!O8+CEFID!Q8+CERES!O8+CERES!Q8+CESFI!O8+CESFI!Q8+CCT!O8+CCT!Q8+CEAVI!O8+CEAVI!Q8+CAV!O8+CAV!Q8+CESMO!O8+CESMO!Q8+CEO!O8+CEO!Q8</f>
        <v>0</v>
      </c>
      <c r="O8" s="33">
        <f t="shared" si="0"/>
        <v>30</v>
      </c>
      <c r="P8" s="40">
        <f t="shared" si="1"/>
        <v>189150</v>
      </c>
      <c r="Q8" s="40">
        <f t="shared" si="2"/>
        <v>0</v>
      </c>
      <c r="R8" s="41">
        <f t="shared" si="3"/>
        <v>0</v>
      </c>
    </row>
    <row r="9" spans="1:18" ht="30" customHeight="1" x14ac:dyDescent="0.2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32">
        <f>'REITORIA-SETIC'!J9+FAED!J9+CEAD!J9+CEFID!J9+CERES!J9+CESFI!J9+CCT!J9+CEAVI!J9+CAV!J9+CESMO!J9+CEO!J9</f>
        <v>2</v>
      </c>
      <c r="K9" s="130">
        <f>'REITORIA-SETIC'!K9+FAED!K9+CEAD!K9+CEFID!K9+CERES!K9+CESFI!K9+CCT!K9+CEAVI!K9+CAV!K9+CESMO!K9+CEO!K9</f>
        <v>2</v>
      </c>
      <c r="L9" s="61">
        <f>'REITORIA-SETIC'!J9-'REITORIA-SETIC'!R9+FAED!J9-FAED!R9+CEAD!J9-CEAD!R9+CEFID!J9-CEFID!R9+CERES!J9-CERES!R9+CESFI!J9-CESFI!R9+CCT!J9-CCT!R9+CEAVI!J9-CEAVI!R9+CAV!J9-CAV!R9+CESMO!J9-CESMO!R9+CEO!J9-CEO!R9</f>
        <v>2</v>
      </c>
      <c r="M9" s="62">
        <f>'REITORIA-SETIC'!N9+FAED!N9+CEAD!N9+CEFID!N9+CERES!N9+CESFI!N9+CCT!N9+CEAVI!N9+CAV!N9+CESMO!N9+CEO!N9</f>
        <v>0</v>
      </c>
      <c r="N9" s="63">
        <f>'REITORIA-SETIC'!O9+'REITORIA-SETIC'!Q9+FAED!O9+FAED!Q9+CEAD!O9+CEAD!Q9+CEFID!O9+CEFID!Q9+CERES!O9+CERES!Q9+CESFI!O9+CESFI!Q9+CCT!O9+CCT!Q9+CEAVI!O9+CEAVI!Q9+CAV!O9+CAV!Q9+CESMO!O9+CESMO!Q9+CEO!O9+CEO!Q9</f>
        <v>0</v>
      </c>
      <c r="O9" s="33">
        <f t="shared" si="0"/>
        <v>0</v>
      </c>
      <c r="P9" s="40">
        <f t="shared" si="1"/>
        <v>18000</v>
      </c>
      <c r="Q9" s="40">
        <f t="shared" si="2"/>
        <v>0</v>
      </c>
      <c r="R9" s="41">
        <f t="shared" si="3"/>
        <v>18000</v>
      </c>
    </row>
    <row r="10" spans="1:18" x14ac:dyDescent="0.25">
      <c r="L10" s="5"/>
      <c r="M10" s="5"/>
      <c r="N10" s="5"/>
      <c r="O10" s="5">
        <f t="shared" ref="O10:R10" si="4">SUM(O4:O9)</f>
        <v>255</v>
      </c>
      <c r="P10" s="38">
        <f t="shared" si="4"/>
        <v>2253488.37</v>
      </c>
      <c r="Q10" s="38">
        <f t="shared" si="4"/>
        <v>0</v>
      </c>
      <c r="R10" s="38">
        <f t="shared" si="4"/>
        <v>1197227.25</v>
      </c>
    </row>
    <row r="12" spans="1:18" x14ac:dyDescent="0.25">
      <c r="F12" s="165" t="str">
        <f>A1</f>
        <v>PE 0985/2024/UDESC SRP - (SGPE DE ORIGEM: 24533/2024)</v>
      </c>
      <c r="G12" s="166"/>
      <c r="H12" s="166"/>
      <c r="I12" s="167"/>
    </row>
    <row r="13" spans="1:18" ht="78" customHeight="1" x14ac:dyDescent="0.25">
      <c r="F13" s="168" t="str">
        <f>C1</f>
        <v>OBJETO: AQUISIÇÃO DE EQUIPAMENTOS DE INFORMÁTICA E DE PROJEÇÃO (PROJETOR MULTIMÍDIA AVANÇADO, TELA DE PROJEÇÃO, TABLET, LEITOR DE CÓDIGO DE BARRAS 2D, KITS DE ESTAÇÃO DE GERENCIAMENTO DE INDÚSTRIA 4.0 E SCANNER PLANETÁRIO) PARA A UDESC</v>
      </c>
      <c r="G13" s="168"/>
      <c r="H13" s="168"/>
      <c r="I13" s="168"/>
    </row>
    <row r="14" spans="1:18" ht="18" customHeight="1" x14ac:dyDescent="0.25">
      <c r="F14" s="168" t="str">
        <f>J1</f>
        <v>VIGÊNCIA DA ATA: 29/10/2024 até 29/10/2025</v>
      </c>
      <c r="G14" s="168"/>
      <c r="H14" s="168"/>
      <c r="I14" s="168"/>
    </row>
    <row r="15" spans="1:18" ht="15" customHeight="1" x14ac:dyDescent="0.25">
      <c r="F15" s="172" t="s">
        <v>16</v>
      </c>
      <c r="G15" s="173"/>
      <c r="H15" s="34"/>
      <c r="I15" s="39">
        <f>P10</f>
        <v>2253488.37</v>
      </c>
    </row>
    <row r="16" spans="1:18" x14ac:dyDescent="0.25">
      <c r="F16" s="172" t="s">
        <v>9</v>
      </c>
      <c r="G16" s="173"/>
      <c r="H16" s="34"/>
      <c r="I16" s="39">
        <f>R10</f>
        <v>1197227.25</v>
      </c>
    </row>
    <row r="17" spans="6:9" x14ac:dyDescent="0.25">
      <c r="F17" s="36" t="s">
        <v>10</v>
      </c>
      <c r="G17" s="34"/>
      <c r="H17" s="34"/>
      <c r="I17" s="35"/>
    </row>
    <row r="18" spans="6:9" x14ac:dyDescent="0.25">
      <c r="F18" s="36" t="s">
        <v>11</v>
      </c>
      <c r="G18" s="37"/>
      <c r="H18" s="37"/>
      <c r="I18" s="42">
        <f>I16/I15</f>
        <v>0.53127731473493245</v>
      </c>
    </row>
    <row r="19" spans="6:9" x14ac:dyDescent="0.25">
      <c r="F19" s="169" t="s">
        <v>142</v>
      </c>
      <c r="G19" s="170"/>
      <c r="H19" s="170"/>
      <c r="I19" s="171"/>
    </row>
  </sheetData>
  <mergeCells count="10">
    <mergeCell ref="F13:I13"/>
    <mergeCell ref="F14:I14"/>
    <mergeCell ref="F19:I19"/>
    <mergeCell ref="F16:G16"/>
    <mergeCell ref="F15:G15"/>
    <mergeCell ref="A2:R2"/>
    <mergeCell ref="A1:B1"/>
    <mergeCell ref="C1:I1"/>
    <mergeCell ref="J1:R1"/>
    <mergeCell ref="F12:I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7308-89D4-4F01-9AEF-4DA968FFA422}">
  <dimension ref="A1:AJ9"/>
  <sheetViews>
    <sheetView zoomScale="80" zoomScaleNormal="80" workbookViewId="0">
      <selection activeCell="E4" sqref="E4"/>
    </sheetView>
  </sheetViews>
  <sheetFormatPr defaultColWidth="9.7109375" defaultRowHeight="15" x14ac:dyDescent="0.25"/>
  <cols>
    <col min="1" max="1" width="7.85546875" style="97" customWidth="1"/>
    <col min="2" max="2" width="27.42578125" style="97" customWidth="1"/>
    <col min="3" max="3" width="21.42578125" style="97" customWidth="1"/>
    <col min="4" max="4" width="14.85546875" style="97" customWidth="1"/>
    <col min="5" max="5" width="16" style="97" customWidth="1"/>
    <col min="6" max="6" width="12.28515625" style="97" customWidth="1"/>
    <col min="7" max="7" width="12.5703125" style="98" customWidth="1"/>
    <col min="8" max="9" width="13.28515625" style="99" customWidth="1"/>
    <col min="10" max="10" width="14.85546875" style="99" customWidth="1"/>
    <col min="11" max="12" width="13.28515625" style="99" customWidth="1"/>
    <col min="13" max="13" width="14.42578125" style="99" customWidth="1"/>
    <col min="14" max="15" width="13.28515625" style="99" customWidth="1"/>
    <col min="16" max="16" width="14.85546875" style="99" customWidth="1"/>
    <col min="17" max="18" width="13.28515625" style="99" customWidth="1"/>
    <col min="19" max="19" width="15" style="99" customWidth="1"/>
    <col min="20" max="22" width="13.28515625" style="99" customWidth="1"/>
    <col min="23" max="23" width="15.42578125" style="4" customWidth="1"/>
    <col min="24" max="24" width="14.28515625" style="2" customWidth="1"/>
    <col min="25" max="25" width="16.28515625" style="2" customWidth="1"/>
    <col min="26" max="26" width="16.42578125" style="2" customWidth="1"/>
    <col min="27" max="35" width="14.42578125" style="2" customWidth="1"/>
    <col min="36" max="36" width="14.5703125" style="2" bestFit="1" customWidth="1"/>
    <col min="37" max="16384" width="9.7109375" style="2"/>
  </cols>
  <sheetData>
    <row r="1" spans="1:36" s="118" customFormat="1" ht="84" customHeight="1" x14ac:dyDescent="0.3">
      <c r="A1" s="177" t="s">
        <v>112</v>
      </c>
      <c r="B1" s="179"/>
      <c r="C1" s="180" t="s">
        <v>111</v>
      </c>
      <c r="D1" s="181"/>
      <c r="E1" s="181"/>
      <c r="F1" s="181"/>
      <c r="G1" s="181"/>
      <c r="H1" s="181"/>
      <c r="I1" s="181"/>
      <c r="J1" s="182"/>
      <c r="K1" s="177" t="s">
        <v>114</v>
      </c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9"/>
      <c r="Z1" s="119" t="s">
        <v>123</v>
      </c>
      <c r="AA1" s="119" t="s">
        <v>123</v>
      </c>
      <c r="AB1" s="119" t="s">
        <v>123</v>
      </c>
      <c r="AC1" s="119" t="s">
        <v>123</v>
      </c>
      <c r="AD1" s="119" t="s">
        <v>123</v>
      </c>
      <c r="AE1" s="119" t="s">
        <v>123</v>
      </c>
      <c r="AF1" s="119" t="s">
        <v>123</v>
      </c>
      <c r="AG1" s="119" t="s">
        <v>123</v>
      </c>
      <c r="AH1" s="119" t="s">
        <v>123</v>
      </c>
      <c r="AI1" s="119" t="s">
        <v>123</v>
      </c>
      <c r="AJ1" s="119" t="s">
        <v>123</v>
      </c>
    </row>
    <row r="2" spans="1:36" s="118" customFormat="1" ht="42.75" customHeight="1" thickBot="1" x14ac:dyDescent="0.35">
      <c r="A2" s="174" t="s">
        <v>122</v>
      </c>
      <c r="B2" s="175"/>
      <c r="C2" s="175"/>
      <c r="D2" s="175"/>
      <c r="E2" s="175"/>
      <c r="F2" s="175"/>
      <c r="G2" s="176"/>
      <c r="H2" s="183" t="s">
        <v>115</v>
      </c>
      <c r="I2" s="184"/>
      <c r="J2" s="185"/>
      <c r="K2" s="186" t="s">
        <v>96</v>
      </c>
      <c r="L2" s="187"/>
      <c r="M2" s="188"/>
      <c r="N2" s="189" t="s">
        <v>97</v>
      </c>
      <c r="O2" s="190"/>
      <c r="P2" s="191"/>
      <c r="Q2" s="192" t="s">
        <v>98</v>
      </c>
      <c r="R2" s="193"/>
      <c r="S2" s="194"/>
      <c r="T2" s="195" t="s">
        <v>99</v>
      </c>
      <c r="U2" s="196"/>
      <c r="V2" s="196"/>
      <c r="W2" s="197"/>
      <c r="X2" s="198" t="s">
        <v>100</v>
      </c>
      <c r="Y2" s="199"/>
      <c r="Z2" s="116" t="s">
        <v>115</v>
      </c>
      <c r="AA2" s="117" t="s">
        <v>101</v>
      </c>
      <c r="AB2" s="117" t="s">
        <v>101</v>
      </c>
      <c r="AC2" s="117" t="s">
        <v>101</v>
      </c>
      <c r="AD2" s="117" t="s">
        <v>101</v>
      </c>
      <c r="AE2" s="117" t="s">
        <v>101</v>
      </c>
      <c r="AF2" s="117" t="s">
        <v>101</v>
      </c>
      <c r="AG2" s="117" t="s">
        <v>101</v>
      </c>
      <c r="AH2" s="117" t="s">
        <v>101</v>
      </c>
      <c r="AI2" s="117" t="s">
        <v>101</v>
      </c>
      <c r="AJ2" s="117" t="s">
        <v>101</v>
      </c>
    </row>
    <row r="3" spans="1:36" s="79" customFormat="1" ht="54" customHeight="1" x14ac:dyDescent="0.2">
      <c r="A3" s="103" t="s">
        <v>102</v>
      </c>
      <c r="B3" s="104" t="s">
        <v>14</v>
      </c>
      <c r="C3" s="103" t="s">
        <v>27</v>
      </c>
      <c r="D3" s="103" t="s">
        <v>110</v>
      </c>
      <c r="E3" s="103" t="s">
        <v>28</v>
      </c>
      <c r="F3" s="104" t="s">
        <v>120</v>
      </c>
      <c r="G3" s="69" t="s">
        <v>103</v>
      </c>
      <c r="H3" s="70" t="s">
        <v>104</v>
      </c>
      <c r="I3" s="113" t="s">
        <v>118</v>
      </c>
      <c r="J3" s="71" t="s">
        <v>105</v>
      </c>
      <c r="K3" s="72" t="s">
        <v>104</v>
      </c>
      <c r="L3" s="109" t="s">
        <v>118</v>
      </c>
      <c r="M3" s="72" t="s">
        <v>105</v>
      </c>
      <c r="N3" s="73" t="s">
        <v>104</v>
      </c>
      <c r="O3" s="110" t="s">
        <v>118</v>
      </c>
      <c r="P3" s="73" t="s">
        <v>105</v>
      </c>
      <c r="Q3" s="74" t="s">
        <v>104</v>
      </c>
      <c r="R3" s="111" t="s">
        <v>118</v>
      </c>
      <c r="S3" s="75" t="s">
        <v>105</v>
      </c>
      <c r="T3" s="76" t="s">
        <v>104</v>
      </c>
      <c r="U3" s="76" t="s">
        <v>106</v>
      </c>
      <c r="V3" s="112" t="s">
        <v>119</v>
      </c>
      <c r="W3" s="77" t="s">
        <v>105</v>
      </c>
      <c r="X3" s="78" t="s">
        <v>107</v>
      </c>
      <c r="Y3" s="78" t="s">
        <v>108</v>
      </c>
      <c r="Z3" s="46" t="s">
        <v>116</v>
      </c>
      <c r="AA3" s="46" t="s">
        <v>109</v>
      </c>
      <c r="AB3" s="46" t="s">
        <v>109</v>
      </c>
      <c r="AC3" s="46" t="s">
        <v>109</v>
      </c>
      <c r="AD3" s="46" t="s">
        <v>109</v>
      </c>
      <c r="AE3" s="46" t="s">
        <v>109</v>
      </c>
      <c r="AF3" s="46" t="s">
        <v>109</v>
      </c>
      <c r="AG3" s="46" t="s">
        <v>109</v>
      </c>
      <c r="AH3" s="46" t="s">
        <v>109</v>
      </c>
      <c r="AI3" s="46" t="s">
        <v>109</v>
      </c>
      <c r="AJ3" s="46" t="s">
        <v>109</v>
      </c>
    </row>
    <row r="4" spans="1:36" ht="47.25" x14ac:dyDescent="0.25">
      <c r="A4" s="80">
        <v>1</v>
      </c>
      <c r="B4" s="100" t="s">
        <v>30</v>
      </c>
      <c r="C4" s="106" t="s">
        <v>31</v>
      </c>
      <c r="D4" s="114" t="s">
        <v>40</v>
      </c>
      <c r="E4" s="114" t="s">
        <v>121</v>
      </c>
      <c r="F4" s="82" t="s">
        <v>113</v>
      </c>
      <c r="G4" s="105">
        <f>GESTOR!J4</f>
        <v>177</v>
      </c>
      <c r="H4" s="83">
        <f t="shared" ref="H4:H9" si="0">IF(ROUNDDOWN($G4*0.5,0)&gt;$W4,$W4+I4,ROUNDDOWN($G4*0.5,0))</f>
        <v>88</v>
      </c>
      <c r="I4" s="84">
        <f t="shared" ref="I4:I9" si="1">SUMIF($Z$2:$AJ$2,$H$2,Z4:AJ4)</f>
        <v>0</v>
      </c>
      <c r="J4" s="84">
        <f>H4-I4</f>
        <v>88</v>
      </c>
      <c r="K4" s="85">
        <f t="shared" ref="K4:K9" si="2">IF(ROUNDDOWN($G4*0.5,0)&gt;$W4,$W4+L4,ROUNDDOWN($G4*0.5,0))</f>
        <v>88</v>
      </c>
      <c r="L4" s="86">
        <f t="shared" ref="L4:L9" si="3">SUMIF($Z$2:$AJ$2,$K$2,Z4:AJ4)</f>
        <v>0</v>
      </c>
      <c r="M4" s="86">
        <f>K4-L4</f>
        <v>88</v>
      </c>
      <c r="N4" s="87">
        <f t="shared" ref="N4:N9" si="4">IF(ROUNDDOWN($G4*0.5,0)&gt;$W4,$W4+O4,ROUNDDOWN($G4*0.5,0))</f>
        <v>88</v>
      </c>
      <c r="O4" s="88">
        <f t="shared" ref="O4:O9" si="5">SUMIF($Z$2:$AJ$2,$N$2,Z4:AJ4)</f>
        <v>0</v>
      </c>
      <c r="P4" s="88">
        <f>N4-O4</f>
        <v>88</v>
      </c>
      <c r="Q4" s="89">
        <f t="shared" ref="Q4:Q9" si="6">IF(ROUNDDOWN($G4*0.5,0)&gt;$W4,$W4+R4,ROUNDDOWN($G4*0.5,0))</f>
        <v>88</v>
      </c>
      <c r="R4" s="90">
        <f t="shared" ref="R4:R9" si="7">SUMIF($Z$2:$AJ$2,$Q$2,Z4:AJ4)</f>
        <v>0</v>
      </c>
      <c r="S4" s="91">
        <f>Q4-R4</f>
        <v>88</v>
      </c>
      <c r="T4" s="92">
        <f>G4*2</f>
        <v>354</v>
      </c>
      <c r="U4" s="93">
        <f>[1]GESTOR!N4</f>
        <v>0</v>
      </c>
      <c r="V4" s="93">
        <f>(SUM(Z4:AJ4))</f>
        <v>0</v>
      </c>
      <c r="W4" s="94">
        <f>T4-V4-U4</f>
        <v>354</v>
      </c>
      <c r="X4" s="95">
        <v>4015</v>
      </c>
      <c r="Y4" s="95">
        <f t="shared" ref="Y4:Y9" si="8">X4*G4</f>
        <v>710655</v>
      </c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</row>
    <row r="5" spans="1:36" ht="31.5" x14ac:dyDescent="0.25">
      <c r="A5" s="80">
        <v>2</v>
      </c>
      <c r="B5" s="100" t="s">
        <v>69</v>
      </c>
      <c r="C5" s="106" t="s">
        <v>32</v>
      </c>
      <c r="D5" s="114" t="s">
        <v>41</v>
      </c>
      <c r="E5" s="114" t="s">
        <v>42</v>
      </c>
      <c r="F5" s="82" t="s">
        <v>113</v>
      </c>
      <c r="G5" s="105">
        <f>GESTOR!J5</f>
        <v>100</v>
      </c>
      <c r="H5" s="83">
        <f t="shared" si="0"/>
        <v>50</v>
      </c>
      <c r="I5" s="84">
        <f t="shared" si="1"/>
        <v>0</v>
      </c>
      <c r="J5" s="84">
        <f t="shared" ref="J5:J9" si="9">H5-I5</f>
        <v>50</v>
      </c>
      <c r="K5" s="85">
        <f t="shared" si="2"/>
        <v>50</v>
      </c>
      <c r="L5" s="86">
        <f t="shared" si="3"/>
        <v>0</v>
      </c>
      <c r="M5" s="86">
        <f t="shared" ref="M5:M9" si="10">K5-L5</f>
        <v>50</v>
      </c>
      <c r="N5" s="87">
        <f t="shared" si="4"/>
        <v>50</v>
      </c>
      <c r="O5" s="88">
        <f t="shared" si="5"/>
        <v>0</v>
      </c>
      <c r="P5" s="88">
        <f t="shared" ref="P5:P9" si="11">N5-O5</f>
        <v>50</v>
      </c>
      <c r="Q5" s="89">
        <f t="shared" si="6"/>
        <v>50</v>
      </c>
      <c r="R5" s="90">
        <f t="shared" si="7"/>
        <v>0</v>
      </c>
      <c r="S5" s="91">
        <f t="shared" ref="S5:S9" si="12">Q5-R5</f>
        <v>50</v>
      </c>
      <c r="T5" s="92">
        <f t="shared" ref="T5:T9" si="13">G5*2</f>
        <v>200</v>
      </c>
      <c r="U5" s="93">
        <f>[1]GESTOR!N5</f>
        <v>0</v>
      </c>
      <c r="V5" s="93">
        <f t="shared" ref="V5:V9" si="14">(SUM(Z5:AJ5))</f>
        <v>0</v>
      </c>
      <c r="W5" s="94">
        <f t="shared" ref="W5:W9" si="15">T5-V5-U5</f>
        <v>200</v>
      </c>
      <c r="X5" s="95">
        <v>2028</v>
      </c>
      <c r="Y5" s="95">
        <f t="shared" si="8"/>
        <v>202800</v>
      </c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</row>
    <row r="6" spans="1:36" ht="47.25" x14ac:dyDescent="0.25">
      <c r="A6" s="80">
        <v>3</v>
      </c>
      <c r="B6" s="101" t="s">
        <v>30</v>
      </c>
      <c r="C6" s="107" t="s">
        <v>33</v>
      </c>
      <c r="D6" s="81" t="s">
        <v>43</v>
      </c>
      <c r="E6" s="81" t="s">
        <v>44</v>
      </c>
      <c r="F6" s="82" t="s">
        <v>113</v>
      </c>
      <c r="G6" s="105">
        <f>GESTOR!J6</f>
        <v>191</v>
      </c>
      <c r="H6" s="83">
        <f t="shared" si="0"/>
        <v>95</v>
      </c>
      <c r="I6" s="84">
        <f t="shared" si="1"/>
        <v>0</v>
      </c>
      <c r="J6" s="84">
        <f t="shared" si="9"/>
        <v>95</v>
      </c>
      <c r="K6" s="85">
        <f t="shared" si="2"/>
        <v>95</v>
      </c>
      <c r="L6" s="86">
        <f t="shared" si="3"/>
        <v>0</v>
      </c>
      <c r="M6" s="86">
        <f t="shared" si="10"/>
        <v>95</v>
      </c>
      <c r="N6" s="87">
        <f t="shared" si="4"/>
        <v>95</v>
      </c>
      <c r="O6" s="88">
        <f t="shared" si="5"/>
        <v>0</v>
      </c>
      <c r="P6" s="88">
        <f t="shared" si="11"/>
        <v>95</v>
      </c>
      <c r="Q6" s="89">
        <f t="shared" si="6"/>
        <v>95</v>
      </c>
      <c r="R6" s="90">
        <f t="shared" si="7"/>
        <v>0</v>
      </c>
      <c r="S6" s="91">
        <f t="shared" si="12"/>
        <v>95</v>
      </c>
      <c r="T6" s="92">
        <f t="shared" si="13"/>
        <v>382</v>
      </c>
      <c r="U6" s="93">
        <f>[1]GESTOR!N6</f>
        <v>0</v>
      </c>
      <c r="V6" s="93">
        <f t="shared" si="14"/>
        <v>0</v>
      </c>
      <c r="W6" s="94">
        <f t="shared" si="15"/>
        <v>382</v>
      </c>
      <c r="X6" s="121">
        <v>5570.07</v>
      </c>
      <c r="Y6" s="95">
        <f t="shared" si="8"/>
        <v>1063883.3699999999</v>
      </c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</row>
    <row r="7" spans="1:36" ht="78.75" x14ac:dyDescent="0.25">
      <c r="A7" s="80">
        <v>4</v>
      </c>
      <c r="B7" s="102" t="s">
        <v>34</v>
      </c>
      <c r="C7" s="107" t="s">
        <v>35</v>
      </c>
      <c r="D7" s="81" t="s">
        <v>45</v>
      </c>
      <c r="E7" s="81" t="s">
        <v>46</v>
      </c>
      <c r="F7" s="82" t="s">
        <v>113</v>
      </c>
      <c r="G7" s="105">
        <f>GESTOR!J7</f>
        <v>46</v>
      </c>
      <c r="H7" s="83">
        <f t="shared" si="0"/>
        <v>23</v>
      </c>
      <c r="I7" s="84">
        <f t="shared" si="1"/>
        <v>23</v>
      </c>
      <c r="J7" s="84">
        <f t="shared" si="9"/>
        <v>0</v>
      </c>
      <c r="K7" s="85">
        <f t="shared" si="2"/>
        <v>23</v>
      </c>
      <c r="L7" s="86">
        <f t="shared" si="3"/>
        <v>0</v>
      </c>
      <c r="M7" s="86">
        <f t="shared" si="10"/>
        <v>23</v>
      </c>
      <c r="N7" s="87">
        <f t="shared" si="4"/>
        <v>23</v>
      </c>
      <c r="O7" s="88">
        <f t="shared" si="5"/>
        <v>0</v>
      </c>
      <c r="P7" s="88">
        <f t="shared" si="11"/>
        <v>23</v>
      </c>
      <c r="Q7" s="89">
        <f t="shared" si="6"/>
        <v>23</v>
      </c>
      <c r="R7" s="90">
        <f t="shared" si="7"/>
        <v>0</v>
      </c>
      <c r="S7" s="91">
        <f t="shared" si="12"/>
        <v>23</v>
      </c>
      <c r="T7" s="92">
        <f t="shared" si="13"/>
        <v>92</v>
      </c>
      <c r="U7" s="93">
        <f>[1]GESTOR!N7</f>
        <v>0</v>
      </c>
      <c r="V7" s="93">
        <f t="shared" si="14"/>
        <v>23</v>
      </c>
      <c r="W7" s="94">
        <f t="shared" si="15"/>
        <v>69</v>
      </c>
      <c r="X7" s="95">
        <v>1500</v>
      </c>
      <c r="Y7" s="95">
        <f t="shared" si="8"/>
        <v>69000</v>
      </c>
      <c r="Z7" s="96">
        <v>23</v>
      </c>
      <c r="AA7" s="96"/>
      <c r="AB7" s="96"/>
      <c r="AC7" s="96"/>
      <c r="AD7" s="96"/>
      <c r="AE7" s="96"/>
      <c r="AF7" s="96"/>
      <c r="AG7" s="96"/>
      <c r="AH7" s="96"/>
      <c r="AI7" s="96"/>
      <c r="AJ7" s="96"/>
    </row>
    <row r="8" spans="1:36" ht="78.75" x14ac:dyDescent="0.25">
      <c r="A8" s="80">
        <v>5</v>
      </c>
      <c r="B8" s="101" t="s">
        <v>36</v>
      </c>
      <c r="C8" s="106" t="s">
        <v>37</v>
      </c>
      <c r="D8" s="114" t="s">
        <v>47</v>
      </c>
      <c r="E8" s="114" t="s">
        <v>47</v>
      </c>
      <c r="F8" s="82" t="s">
        <v>113</v>
      </c>
      <c r="G8" s="105">
        <f>GESTOR!J8</f>
        <v>30</v>
      </c>
      <c r="H8" s="83">
        <f t="shared" si="0"/>
        <v>15</v>
      </c>
      <c r="I8" s="84">
        <f t="shared" si="1"/>
        <v>0</v>
      </c>
      <c r="J8" s="84">
        <f t="shared" si="9"/>
        <v>15</v>
      </c>
      <c r="K8" s="85">
        <f t="shared" si="2"/>
        <v>15</v>
      </c>
      <c r="L8" s="86">
        <f t="shared" si="3"/>
        <v>0</v>
      </c>
      <c r="M8" s="86">
        <f t="shared" si="10"/>
        <v>15</v>
      </c>
      <c r="N8" s="87">
        <f t="shared" si="4"/>
        <v>15</v>
      </c>
      <c r="O8" s="88">
        <f t="shared" si="5"/>
        <v>0</v>
      </c>
      <c r="P8" s="88">
        <f t="shared" si="11"/>
        <v>15</v>
      </c>
      <c r="Q8" s="89">
        <f t="shared" si="6"/>
        <v>15</v>
      </c>
      <c r="R8" s="90">
        <f t="shared" si="7"/>
        <v>0</v>
      </c>
      <c r="S8" s="91">
        <f t="shared" si="12"/>
        <v>15</v>
      </c>
      <c r="T8" s="92">
        <f t="shared" si="13"/>
        <v>60</v>
      </c>
      <c r="U8" s="93">
        <f>[1]GESTOR!N8</f>
        <v>0</v>
      </c>
      <c r="V8" s="93">
        <f t="shared" si="14"/>
        <v>0</v>
      </c>
      <c r="W8" s="94">
        <f t="shared" si="15"/>
        <v>60</v>
      </c>
      <c r="X8" s="95">
        <v>6305</v>
      </c>
      <c r="Y8" s="95">
        <f t="shared" si="8"/>
        <v>189150</v>
      </c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</row>
    <row r="9" spans="1:36" ht="47.25" x14ac:dyDescent="0.25">
      <c r="A9" s="80">
        <v>6</v>
      </c>
      <c r="B9" s="101" t="s">
        <v>38</v>
      </c>
      <c r="C9" s="108" t="s">
        <v>39</v>
      </c>
      <c r="D9" s="115" t="s">
        <v>48</v>
      </c>
      <c r="E9" s="115" t="s">
        <v>49</v>
      </c>
      <c r="F9" s="82" t="s">
        <v>113</v>
      </c>
      <c r="G9" s="105">
        <f>GESTOR!J9</f>
        <v>2</v>
      </c>
      <c r="H9" s="83">
        <f t="shared" si="0"/>
        <v>1</v>
      </c>
      <c r="I9" s="84">
        <f t="shared" si="1"/>
        <v>0</v>
      </c>
      <c r="J9" s="84">
        <f t="shared" si="9"/>
        <v>1</v>
      </c>
      <c r="K9" s="85">
        <f t="shared" si="2"/>
        <v>1</v>
      </c>
      <c r="L9" s="86">
        <f t="shared" si="3"/>
        <v>0</v>
      </c>
      <c r="M9" s="86">
        <f t="shared" si="10"/>
        <v>1</v>
      </c>
      <c r="N9" s="87">
        <f t="shared" si="4"/>
        <v>1</v>
      </c>
      <c r="O9" s="88">
        <f t="shared" si="5"/>
        <v>0</v>
      </c>
      <c r="P9" s="88">
        <f t="shared" si="11"/>
        <v>1</v>
      </c>
      <c r="Q9" s="89">
        <f t="shared" si="6"/>
        <v>1</v>
      </c>
      <c r="R9" s="90">
        <f t="shared" si="7"/>
        <v>0</v>
      </c>
      <c r="S9" s="91">
        <f t="shared" si="12"/>
        <v>1</v>
      </c>
      <c r="T9" s="92">
        <f t="shared" si="13"/>
        <v>4</v>
      </c>
      <c r="U9" s="93">
        <f>[1]GESTOR!N9</f>
        <v>0</v>
      </c>
      <c r="V9" s="93">
        <f t="shared" si="14"/>
        <v>0</v>
      </c>
      <c r="W9" s="94">
        <f t="shared" si="15"/>
        <v>4</v>
      </c>
      <c r="X9" s="95">
        <v>9000</v>
      </c>
      <c r="Y9" s="95">
        <f t="shared" si="8"/>
        <v>18000</v>
      </c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</row>
  </sheetData>
  <mergeCells count="10">
    <mergeCell ref="A2:G2"/>
    <mergeCell ref="K1:Y1"/>
    <mergeCell ref="C1:J1"/>
    <mergeCell ref="A1:B1"/>
    <mergeCell ref="H2:J2"/>
    <mergeCell ref="K2:M2"/>
    <mergeCell ref="N2:P2"/>
    <mergeCell ref="Q2:S2"/>
    <mergeCell ref="T2:W2"/>
    <mergeCell ref="X2:Y2"/>
  </mergeCells>
  <phoneticPr fontId="32" type="noConversion"/>
  <conditionalFormatting sqref="W4:W9">
    <cfRule type="cellIs" dxfId="1" priority="2" operator="lessThan">
      <formula>0</formula>
    </cfRule>
  </conditionalFormatting>
  <conditionalFormatting sqref="Z4:AJ9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C2E1-4F27-4B07-B5DA-EC5541525B8D}">
  <dimension ref="A1:AH16"/>
  <sheetViews>
    <sheetView zoomScale="50" zoomScaleNormal="50" workbookViewId="0">
      <selection activeCell="R4" sqref="R4"/>
    </sheetView>
  </sheetViews>
  <sheetFormatPr defaultColWidth="9.7109375" defaultRowHeight="15" x14ac:dyDescent="0.25"/>
  <cols>
    <col min="1" max="1" width="8" style="1" customWidth="1"/>
    <col min="2" max="2" width="34.42578125" style="1" customWidth="1"/>
    <col min="3" max="3" width="22.5703125" style="9" customWidth="1"/>
    <col min="4" max="4" width="14.7109375" style="9" customWidth="1"/>
    <col min="5" max="5" width="10.28515625" style="9" customWidth="1"/>
    <col min="6" max="6" width="12.85546875" style="1" bestFit="1" customWidth="1"/>
    <col min="7" max="7" width="16.28515625" style="1" bestFit="1" customWidth="1"/>
    <col min="8" max="8" width="12.85546875" style="1" customWidth="1"/>
    <col min="9" max="9" width="15.7109375" style="14" bestFit="1" customWidth="1"/>
    <col min="10" max="17" width="13.28515625" style="5" customWidth="1"/>
    <col min="18" max="18" width="13.28515625" style="10" customWidth="1"/>
    <col min="19" max="19" width="12.5703125" style="4" customWidth="1"/>
    <col min="20" max="24" width="13.7109375" style="2" customWidth="1"/>
    <col min="25" max="25" width="13.85546875" style="2" customWidth="1"/>
    <col min="26" max="34" width="13.7109375" style="2" customWidth="1"/>
    <col min="35" max="16384" width="9.7109375" style="2"/>
  </cols>
  <sheetData>
    <row r="1" spans="1:34" ht="54" customHeight="1" x14ac:dyDescent="0.25">
      <c r="A1" s="143" t="s">
        <v>26</v>
      </c>
      <c r="B1" s="144"/>
      <c r="C1" s="145" t="s">
        <v>24</v>
      </c>
      <c r="D1" s="146"/>
      <c r="E1" s="146"/>
      <c r="F1" s="146"/>
      <c r="G1" s="146"/>
      <c r="H1" s="146"/>
      <c r="I1" s="147"/>
      <c r="J1" s="140" t="s">
        <v>25</v>
      </c>
      <c r="K1" s="141"/>
      <c r="L1" s="141"/>
      <c r="M1" s="141"/>
      <c r="N1" s="141"/>
      <c r="O1" s="141"/>
      <c r="P1" s="141"/>
      <c r="Q1" s="141"/>
      <c r="R1" s="141"/>
      <c r="S1" s="142"/>
      <c r="T1" s="151" t="s">
        <v>22</v>
      </c>
      <c r="U1" s="151" t="s">
        <v>22</v>
      </c>
      <c r="V1" s="151" t="s">
        <v>22</v>
      </c>
      <c r="W1" s="151" t="s">
        <v>22</v>
      </c>
      <c r="X1" s="151" t="s">
        <v>22</v>
      </c>
      <c r="Y1" s="151" t="s">
        <v>22</v>
      </c>
      <c r="Z1" s="151" t="s">
        <v>22</v>
      </c>
      <c r="AA1" s="151" t="s">
        <v>22</v>
      </c>
      <c r="AB1" s="151" t="s">
        <v>22</v>
      </c>
      <c r="AC1" s="151" t="s">
        <v>22</v>
      </c>
      <c r="AD1" s="151" t="s">
        <v>22</v>
      </c>
      <c r="AE1" s="151" t="s">
        <v>22</v>
      </c>
      <c r="AF1" s="151" t="s">
        <v>22</v>
      </c>
      <c r="AG1" s="151" t="s">
        <v>22</v>
      </c>
      <c r="AH1" s="151" t="s">
        <v>22</v>
      </c>
    </row>
    <row r="2" spans="1:34" ht="27" customHeight="1" x14ac:dyDescent="0.25">
      <c r="A2" s="145" t="s">
        <v>64</v>
      </c>
      <c r="B2" s="146"/>
      <c r="C2" s="146"/>
      <c r="D2" s="146"/>
      <c r="E2" s="146"/>
      <c r="F2" s="146"/>
      <c r="G2" s="146"/>
      <c r="H2" s="146"/>
      <c r="I2" s="147"/>
      <c r="J2" s="137" t="s">
        <v>59</v>
      </c>
      <c r="K2" s="138"/>
      <c r="L2" s="138"/>
      <c r="M2" s="138"/>
      <c r="N2" s="138"/>
      <c r="O2" s="138"/>
      <c r="P2" s="138"/>
      <c r="Q2" s="138"/>
      <c r="R2" s="138"/>
      <c r="S2" s="139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s="3" customFormat="1" ht="75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3" t="s">
        <v>0</v>
      </c>
      <c r="S3" s="6" t="s">
        <v>2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64" t="s">
        <v>91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v>2</v>
      </c>
      <c r="K4" s="54">
        <f>IF(SUM(T4:AK4)&gt;J4+M4,J4,SUM(T4:AK4))</f>
        <v>0</v>
      </c>
      <c r="L4" s="55">
        <f>(SUM(T4:AK4))</f>
        <v>0</v>
      </c>
      <c r="M4" s="56"/>
      <c r="N4" s="57">
        <f>ROUND(IF(J4*0.25-0.5&lt;0,0,J4*0.25-0.5),0)-Q4-O4</f>
        <v>0</v>
      </c>
      <c r="O4" s="56"/>
      <c r="P4" s="56"/>
      <c r="Q4" s="56"/>
      <c r="R4" s="58">
        <f>J4-(SUM(T4:AC4))+M4</f>
        <v>2</v>
      </c>
      <c r="S4" s="24" t="str">
        <f t="shared" ref="S4:S9" si="0">IF(R4&lt;0,"ATENÇÃO","OK")</f>
        <v>OK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16</v>
      </c>
      <c r="K5" s="54">
        <f t="shared" ref="K5:K9" si="1">IF(SUM(T5:AK5)&gt;J5+M5,J5,SUM(T5:AK5))</f>
        <v>0</v>
      </c>
      <c r="L5" s="55">
        <f t="shared" ref="L5:L9" si="2">(SUM(T5:AK5))</f>
        <v>0</v>
      </c>
      <c r="M5" s="56"/>
      <c r="N5" s="57">
        <f t="shared" ref="N5:N9" si="3">ROUND(IF(J5*0.25-0.5&lt;0,0,J5*0.25-0.5),0)-Q5-O5</f>
        <v>4</v>
      </c>
      <c r="O5" s="56"/>
      <c r="P5" s="56"/>
      <c r="Q5" s="56"/>
      <c r="R5" s="58">
        <f t="shared" ref="R5:R9" si="4">J5-(SUM(T5:AC5))+M5</f>
        <v>16</v>
      </c>
      <c r="S5" s="24" t="str">
        <f t="shared" si="0"/>
        <v>OK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25">
        <v>16</v>
      </c>
      <c r="K6" s="54">
        <f t="shared" si="1"/>
        <v>0</v>
      </c>
      <c r="L6" s="55">
        <f t="shared" si="2"/>
        <v>0</v>
      </c>
      <c r="M6" s="56"/>
      <c r="N6" s="57">
        <f t="shared" si="3"/>
        <v>4</v>
      </c>
      <c r="O6" s="56"/>
      <c r="P6" s="56"/>
      <c r="Q6" s="56"/>
      <c r="R6" s="58">
        <f t="shared" si="4"/>
        <v>16</v>
      </c>
      <c r="S6" s="24" t="str">
        <f t="shared" si="0"/>
        <v>OK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2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0</v>
      </c>
      <c r="K7" s="54">
        <f t="shared" si="1"/>
        <v>0</v>
      </c>
      <c r="L7" s="55">
        <f t="shared" si="2"/>
        <v>0</v>
      </c>
      <c r="M7" s="56"/>
      <c r="N7" s="57">
        <f t="shared" si="3"/>
        <v>0</v>
      </c>
      <c r="O7" s="56"/>
      <c r="P7" s="56"/>
      <c r="Q7" s="56"/>
      <c r="R7" s="58">
        <f t="shared" si="4"/>
        <v>0</v>
      </c>
      <c r="S7" s="24" t="str">
        <f t="shared" si="0"/>
        <v>OK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4">
        <f t="shared" si="1"/>
        <v>0</v>
      </c>
      <c r="L8" s="55">
        <f t="shared" si="2"/>
        <v>0</v>
      </c>
      <c r="M8" s="56"/>
      <c r="N8" s="57">
        <f t="shared" si="3"/>
        <v>0</v>
      </c>
      <c r="O8" s="56"/>
      <c r="P8" s="56"/>
      <c r="Q8" s="56"/>
      <c r="R8" s="58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2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4">
        <f t="shared" si="1"/>
        <v>0</v>
      </c>
      <c r="L9" s="55">
        <f t="shared" si="2"/>
        <v>0</v>
      </c>
      <c r="M9" s="56"/>
      <c r="N9" s="57">
        <f t="shared" si="3"/>
        <v>0</v>
      </c>
      <c r="O9" s="56"/>
      <c r="P9" s="56"/>
      <c r="Q9" s="56"/>
      <c r="R9" s="58">
        <f t="shared" si="4"/>
        <v>0</v>
      </c>
      <c r="S9" s="24" t="str">
        <f t="shared" si="0"/>
        <v>OK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25">
      <c r="J10" s="5">
        <f>SUM(J4:J9)</f>
        <v>34</v>
      </c>
      <c r="R10" s="5">
        <f>SUM(R4:R9)</f>
        <v>34</v>
      </c>
      <c r="T10" s="20">
        <f t="shared" ref="T10:AH10" si="5">SUMPRODUCT($I$4:$I$9,T4:T9)</f>
        <v>0</v>
      </c>
      <c r="U10" s="20">
        <f t="shared" si="5"/>
        <v>0</v>
      </c>
      <c r="V10" s="20">
        <f t="shared" si="5"/>
        <v>0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5"/>
        <v>0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25">
      <c r="J11" s="59">
        <f>SUMPRODUCT($I$4:$I$9,J4:J9)</f>
        <v>129599.12</v>
      </c>
      <c r="K11" s="59">
        <f>SUMPRODUCT($I$4:$I$9,K4:K9)</f>
        <v>0</v>
      </c>
      <c r="L11" s="59">
        <f>SUMPRODUCT($I$4:$I$9,L4:L9)</f>
        <v>0</v>
      </c>
    </row>
    <row r="13" spans="1:34" x14ac:dyDescent="0.25">
      <c r="B13" s="148" t="s">
        <v>60</v>
      </c>
      <c r="C13" s="149"/>
      <c r="D13" s="149"/>
      <c r="E13" s="149"/>
      <c r="F13" s="149"/>
      <c r="G13" s="149"/>
      <c r="H13" s="149"/>
      <c r="I13" s="150"/>
    </row>
    <row r="14" spans="1:34" x14ac:dyDescent="0.25">
      <c r="B14" s="134" t="s">
        <v>63</v>
      </c>
      <c r="C14" s="135"/>
      <c r="D14" s="135"/>
      <c r="E14" s="135"/>
      <c r="F14" s="135"/>
      <c r="G14" s="135"/>
      <c r="H14" s="135"/>
      <c r="I14" s="136"/>
    </row>
    <row r="15" spans="1:34" x14ac:dyDescent="0.25">
      <c r="B15" s="134" t="s">
        <v>62</v>
      </c>
      <c r="C15" s="135"/>
      <c r="D15" s="135"/>
      <c r="E15" s="135"/>
      <c r="F15" s="135"/>
      <c r="G15" s="135"/>
      <c r="H15" s="135"/>
      <c r="I15" s="136"/>
    </row>
    <row r="16" spans="1:34" x14ac:dyDescent="0.25">
      <c r="B16" s="131" t="s">
        <v>61</v>
      </c>
      <c r="C16" s="132"/>
      <c r="D16" s="132"/>
      <c r="E16" s="132"/>
      <c r="F16" s="132"/>
      <c r="G16" s="132"/>
      <c r="H16" s="132"/>
      <c r="I16" s="133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T4:AH9">
    <cfRule type="cellIs" dxfId="46" priority="1" operator="greaterThan">
      <formula>0</formula>
    </cfRule>
    <cfRule type="cellIs" dxfId="45" priority="2" operator="greaterThan">
      <formula>0</formula>
    </cfRule>
    <cfRule type="cellIs" dxfId="44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6D5D-D1E0-45BC-84BD-645BF352A4A4}">
  <dimension ref="A1:AH16"/>
  <sheetViews>
    <sheetView zoomScale="60" zoomScaleNormal="60" workbookViewId="0">
      <selection activeCell="J30" sqref="J30"/>
    </sheetView>
  </sheetViews>
  <sheetFormatPr defaultColWidth="9.7109375" defaultRowHeight="15" x14ac:dyDescent="0.25"/>
  <cols>
    <col min="1" max="1" width="8" style="1" customWidth="1"/>
    <col min="2" max="2" width="34.42578125" style="1" customWidth="1"/>
    <col min="3" max="3" width="22.5703125" style="9" customWidth="1"/>
    <col min="4" max="4" width="14.7109375" style="9" customWidth="1"/>
    <col min="5" max="5" width="10.28515625" style="9" customWidth="1"/>
    <col min="6" max="6" width="12.85546875" style="1" bestFit="1" customWidth="1"/>
    <col min="7" max="7" width="16.28515625" style="1" bestFit="1" customWidth="1"/>
    <col min="8" max="8" width="12.85546875" style="1" customWidth="1"/>
    <col min="9" max="9" width="15.7109375" style="14" bestFit="1" customWidth="1"/>
    <col min="10" max="17" width="13.28515625" style="5" customWidth="1"/>
    <col min="18" max="18" width="13.28515625" style="10" customWidth="1"/>
    <col min="19" max="19" width="12.5703125" style="4" customWidth="1"/>
    <col min="20" max="24" width="13.7109375" style="2" customWidth="1"/>
    <col min="25" max="25" width="13.85546875" style="2" customWidth="1"/>
    <col min="26" max="34" width="13.7109375" style="2" customWidth="1"/>
    <col min="35" max="16384" width="9.7109375" style="2"/>
  </cols>
  <sheetData>
    <row r="1" spans="1:34" ht="54" customHeight="1" x14ac:dyDescent="0.25">
      <c r="A1" s="143" t="s">
        <v>26</v>
      </c>
      <c r="B1" s="144"/>
      <c r="C1" s="145" t="s">
        <v>24</v>
      </c>
      <c r="D1" s="146"/>
      <c r="E1" s="146"/>
      <c r="F1" s="146"/>
      <c r="G1" s="146"/>
      <c r="H1" s="146"/>
      <c r="I1" s="147"/>
      <c r="J1" s="140" t="s">
        <v>25</v>
      </c>
      <c r="K1" s="141"/>
      <c r="L1" s="141"/>
      <c r="M1" s="141"/>
      <c r="N1" s="141"/>
      <c r="O1" s="141"/>
      <c r="P1" s="141"/>
      <c r="Q1" s="141"/>
      <c r="R1" s="141"/>
      <c r="S1" s="142"/>
      <c r="T1" s="152" t="s">
        <v>77</v>
      </c>
      <c r="U1" s="151" t="s">
        <v>22</v>
      </c>
      <c r="V1" s="151" t="s">
        <v>22</v>
      </c>
      <c r="W1" s="151" t="s">
        <v>22</v>
      </c>
      <c r="X1" s="151" t="s">
        <v>22</v>
      </c>
      <c r="Y1" s="151" t="s">
        <v>22</v>
      </c>
      <c r="Z1" s="151" t="s">
        <v>22</v>
      </c>
      <c r="AA1" s="151" t="s">
        <v>22</v>
      </c>
      <c r="AB1" s="151" t="s">
        <v>22</v>
      </c>
      <c r="AC1" s="151" t="s">
        <v>22</v>
      </c>
      <c r="AD1" s="151" t="s">
        <v>22</v>
      </c>
      <c r="AE1" s="151" t="s">
        <v>22</v>
      </c>
      <c r="AF1" s="151" t="s">
        <v>22</v>
      </c>
      <c r="AG1" s="151" t="s">
        <v>22</v>
      </c>
      <c r="AH1" s="151" t="s">
        <v>22</v>
      </c>
    </row>
    <row r="2" spans="1:34" ht="27" customHeight="1" x14ac:dyDescent="0.25">
      <c r="A2" s="145" t="s">
        <v>66</v>
      </c>
      <c r="B2" s="146"/>
      <c r="C2" s="146"/>
      <c r="D2" s="146"/>
      <c r="E2" s="146"/>
      <c r="F2" s="146"/>
      <c r="G2" s="146"/>
      <c r="H2" s="146"/>
      <c r="I2" s="147"/>
      <c r="J2" s="137" t="s">
        <v>59</v>
      </c>
      <c r="K2" s="138"/>
      <c r="L2" s="138"/>
      <c r="M2" s="138"/>
      <c r="N2" s="138"/>
      <c r="O2" s="138"/>
      <c r="P2" s="138"/>
      <c r="Q2" s="138"/>
      <c r="R2" s="138"/>
      <c r="S2" s="139"/>
      <c r="T2" s="152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s="3" customFormat="1" ht="60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3" t="s">
        <v>0</v>
      </c>
      <c r="S3" s="6" t="s">
        <v>2</v>
      </c>
      <c r="T3" s="43">
        <v>45608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64" t="s">
        <v>91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v>6</v>
      </c>
      <c r="K4" s="54">
        <f>IF(SUM(T4:AK4)&gt;J4+M4,J4,SUM(T4:AK4))</f>
        <v>6</v>
      </c>
      <c r="L4" s="55">
        <f>(SUM(T4:AK4))</f>
        <v>6</v>
      </c>
      <c r="M4" s="56"/>
      <c r="N4" s="57">
        <f>ROUND(IF(J4*0.25-0.5&lt;0,0,J4*0.25-0.5),0)-Q4-O4</f>
        <v>1</v>
      </c>
      <c r="O4" s="56"/>
      <c r="P4" s="56"/>
      <c r="Q4" s="56"/>
      <c r="R4" s="58">
        <f>J4-(SUM(T4:AC4))+M4</f>
        <v>0</v>
      </c>
      <c r="S4" s="24" t="str">
        <f t="shared" ref="S4:S9" si="0">IF(R4&lt;0,"ATENÇÃO","OK")</f>
        <v>OK</v>
      </c>
      <c r="T4" s="26">
        <v>6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3</v>
      </c>
      <c r="K5" s="54">
        <f t="shared" ref="K5:K9" si="1">IF(SUM(T5:AK5)&gt;J5+M5,J5,SUM(T5:AK5))</f>
        <v>0</v>
      </c>
      <c r="L5" s="55">
        <f t="shared" ref="L5:L9" si="2">(SUM(T5:AK5))</f>
        <v>0</v>
      </c>
      <c r="M5" s="56"/>
      <c r="N5" s="57">
        <f t="shared" ref="N5:N9" si="3">ROUND(IF(J5*0.25-0.5&lt;0,0,J5*0.25-0.5),0)-Q5-O5</f>
        <v>0</v>
      </c>
      <c r="O5" s="56"/>
      <c r="P5" s="56"/>
      <c r="Q5" s="56"/>
      <c r="R5" s="58">
        <f t="shared" ref="R5:R9" si="4">J5-(SUM(T5:AC5))+M5</f>
        <v>3</v>
      </c>
      <c r="S5" s="24" t="str">
        <f t="shared" si="0"/>
        <v>OK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25">
        <v>13</v>
      </c>
      <c r="K6" s="54">
        <f t="shared" si="1"/>
        <v>13</v>
      </c>
      <c r="L6" s="55">
        <f t="shared" si="2"/>
        <v>13</v>
      </c>
      <c r="M6" s="56"/>
      <c r="N6" s="57">
        <f t="shared" si="3"/>
        <v>3</v>
      </c>
      <c r="O6" s="56"/>
      <c r="P6" s="56"/>
      <c r="Q6" s="56"/>
      <c r="R6" s="58">
        <f t="shared" si="4"/>
        <v>0</v>
      </c>
      <c r="S6" s="24" t="str">
        <f t="shared" si="0"/>
        <v>OK</v>
      </c>
      <c r="T6" s="26">
        <v>13</v>
      </c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2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0</v>
      </c>
      <c r="K7" s="54">
        <f t="shared" si="1"/>
        <v>0</v>
      </c>
      <c r="L7" s="55">
        <f t="shared" si="2"/>
        <v>0</v>
      </c>
      <c r="M7" s="56"/>
      <c r="N7" s="57">
        <f t="shared" si="3"/>
        <v>0</v>
      </c>
      <c r="O7" s="56"/>
      <c r="P7" s="56"/>
      <c r="Q7" s="56"/>
      <c r="R7" s="58">
        <f t="shared" si="4"/>
        <v>0</v>
      </c>
      <c r="S7" s="24" t="str">
        <f t="shared" si="0"/>
        <v>OK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4">
        <f t="shared" si="1"/>
        <v>0</v>
      </c>
      <c r="L8" s="55">
        <f t="shared" si="2"/>
        <v>0</v>
      </c>
      <c r="M8" s="56"/>
      <c r="N8" s="57">
        <f t="shared" si="3"/>
        <v>0</v>
      </c>
      <c r="O8" s="56"/>
      <c r="P8" s="56"/>
      <c r="Q8" s="56"/>
      <c r="R8" s="58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2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4">
        <f t="shared" si="1"/>
        <v>0</v>
      </c>
      <c r="L9" s="55">
        <f t="shared" si="2"/>
        <v>0</v>
      </c>
      <c r="M9" s="56"/>
      <c r="N9" s="57">
        <f t="shared" si="3"/>
        <v>0</v>
      </c>
      <c r="O9" s="56"/>
      <c r="P9" s="56"/>
      <c r="Q9" s="56"/>
      <c r="R9" s="58">
        <f t="shared" si="4"/>
        <v>0</v>
      </c>
      <c r="S9" s="24" t="str">
        <f t="shared" si="0"/>
        <v>OK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25">
      <c r="J10" s="5">
        <f>SUM(J4:J9)</f>
        <v>22</v>
      </c>
      <c r="R10" s="5">
        <f>SUM(R4:R9)</f>
        <v>3</v>
      </c>
      <c r="T10" s="44">
        <v>82699.98000000001</v>
      </c>
      <c r="U10" s="20">
        <f t="shared" ref="U10:AH10" si="5">SUMPRODUCT($I$4:$I$9,U4:U9)</f>
        <v>0</v>
      </c>
      <c r="V10" s="20">
        <f t="shared" si="5"/>
        <v>0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5"/>
        <v>0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25">
      <c r="J11" s="59">
        <f>SUMPRODUCT($I$4:$I$9,J4:J9)</f>
        <v>102584.91</v>
      </c>
      <c r="K11" s="59">
        <f>SUMPRODUCT($I$4:$I$9,K4:K9)</f>
        <v>96500.91</v>
      </c>
      <c r="L11" s="59">
        <f>SUMPRODUCT($I$4:$I$9,L4:L9)</f>
        <v>96500.91</v>
      </c>
    </row>
    <row r="13" spans="1:34" x14ac:dyDescent="0.25">
      <c r="B13" s="148" t="s">
        <v>60</v>
      </c>
      <c r="C13" s="149"/>
      <c r="D13" s="149"/>
      <c r="E13" s="149"/>
      <c r="F13" s="149"/>
      <c r="G13" s="149"/>
      <c r="H13" s="149"/>
      <c r="I13" s="150"/>
    </row>
    <row r="14" spans="1:34" x14ac:dyDescent="0.25">
      <c r="B14" s="134" t="s">
        <v>63</v>
      </c>
      <c r="C14" s="135"/>
      <c r="D14" s="135"/>
      <c r="E14" s="135"/>
      <c r="F14" s="135"/>
      <c r="G14" s="135"/>
      <c r="H14" s="135"/>
      <c r="I14" s="136"/>
    </row>
    <row r="15" spans="1:34" x14ac:dyDescent="0.25">
      <c r="B15" s="134" t="s">
        <v>62</v>
      </c>
      <c r="C15" s="135"/>
      <c r="D15" s="135"/>
      <c r="E15" s="135"/>
      <c r="F15" s="135"/>
      <c r="G15" s="135"/>
      <c r="H15" s="135"/>
      <c r="I15" s="136"/>
    </row>
    <row r="16" spans="1:34" x14ac:dyDescent="0.25">
      <c r="B16" s="131" t="s">
        <v>61</v>
      </c>
      <c r="C16" s="132"/>
      <c r="D16" s="132"/>
      <c r="E16" s="132"/>
      <c r="F16" s="132"/>
      <c r="G16" s="132"/>
      <c r="H16" s="132"/>
      <c r="I16" s="133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T4:AH9">
    <cfRule type="cellIs" dxfId="43" priority="1" operator="greaterThan">
      <formula>0</formula>
    </cfRule>
    <cfRule type="cellIs" dxfId="42" priority="2" operator="greaterThan">
      <formula>0</formula>
    </cfRule>
    <cfRule type="cellIs" dxfId="41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309D9-5BAB-4014-BEAC-BE0D3C0B47C9}">
  <dimension ref="A1:AH16"/>
  <sheetViews>
    <sheetView zoomScale="50" zoomScaleNormal="50" workbookViewId="0">
      <selection activeCell="M26" sqref="M26"/>
    </sheetView>
  </sheetViews>
  <sheetFormatPr defaultColWidth="9.7109375" defaultRowHeight="15" x14ac:dyDescent="0.25"/>
  <cols>
    <col min="1" max="1" width="8" style="1" customWidth="1"/>
    <col min="2" max="2" width="34.42578125" style="1" customWidth="1"/>
    <col min="3" max="3" width="22.5703125" style="9" customWidth="1"/>
    <col min="4" max="4" width="14.7109375" style="9" customWidth="1"/>
    <col min="5" max="5" width="10.28515625" style="9" customWidth="1"/>
    <col min="6" max="6" width="12.85546875" style="1" bestFit="1" customWidth="1"/>
    <col min="7" max="7" width="16.28515625" style="1" bestFit="1" customWidth="1"/>
    <col min="8" max="8" width="12.85546875" style="1" customWidth="1"/>
    <col min="9" max="9" width="15.7109375" style="14" bestFit="1" customWidth="1"/>
    <col min="10" max="17" width="13.28515625" style="5" customWidth="1"/>
    <col min="18" max="18" width="13.28515625" style="10" customWidth="1"/>
    <col min="19" max="19" width="12.5703125" style="4" customWidth="1"/>
    <col min="20" max="24" width="13.7109375" style="2" customWidth="1"/>
    <col min="25" max="25" width="13.85546875" style="2" customWidth="1"/>
    <col min="26" max="34" width="13.7109375" style="2" customWidth="1"/>
    <col min="35" max="16384" width="9.7109375" style="2"/>
  </cols>
  <sheetData>
    <row r="1" spans="1:34" ht="54" customHeight="1" x14ac:dyDescent="0.25">
      <c r="A1" s="143" t="s">
        <v>26</v>
      </c>
      <c r="B1" s="144"/>
      <c r="C1" s="145" t="s">
        <v>24</v>
      </c>
      <c r="D1" s="146"/>
      <c r="E1" s="146"/>
      <c r="F1" s="146"/>
      <c r="G1" s="146"/>
      <c r="H1" s="146"/>
      <c r="I1" s="147"/>
      <c r="J1" s="140" t="s">
        <v>25</v>
      </c>
      <c r="K1" s="141"/>
      <c r="L1" s="141"/>
      <c r="M1" s="141"/>
      <c r="N1" s="141"/>
      <c r="O1" s="141"/>
      <c r="P1" s="141"/>
      <c r="Q1" s="141"/>
      <c r="R1" s="141"/>
      <c r="S1" s="142"/>
      <c r="T1" s="152" t="s">
        <v>126</v>
      </c>
      <c r="U1" s="152" t="s">
        <v>127</v>
      </c>
      <c r="V1" s="152" t="s">
        <v>128</v>
      </c>
      <c r="W1" s="152" t="s">
        <v>129</v>
      </c>
      <c r="X1" s="151" t="s">
        <v>22</v>
      </c>
      <c r="Y1" s="151" t="s">
        <v>22</v>
      </c>
      <c r="Z1" s="151" t="s">
        <v>22</v>
      </c>
      <c r="AA1" s="151" t="s">
        <v>22</v>
      </c>
      <c r="AB1" s="151" t="s">
        <v>22</v>
      </c>
      <c r="AC1" s="151" t="s">
        <v>22</v>
      </c>
      <c r="AD1" s="151" t="s">
        <v>22</v>
      </c>
      <c r="AE1" s="151" t="s">
        <v>22</v>
      </c>
      <c r="AF1" s="151" t="s">
        <v>22</v>
      </c>
      <c r="AG1" s="151" t="s">
        <v>22</v>
      </c>
      <c r="AH1" s="151" t="s">
        <v>22</v>
      </c>
    </row>
    <row r="2" spans="1:34" ht="27" customHeight="1" x14ac:dyDescent="0.25">
      <c r="A2" s="145" t="s">
        <v>67</v>
      </c>
      <c r="B2" s="146"/>
      <c r="C2" s="146"/>
      <c r="D2" s="146"/>
      <c r="E2" s="146"/>
      <c r="F2" s="146"/>
      <c r="G2" s="146"/>
      <c r="H2" s="146"/>
      <c r="I2" s="147"/>
      <c r="J2" s="137" t="s">
        <v>59</v>
      </c>
      <c r="K2" s="138"/>
      <c r="L2" s="138"/>
      <c r="M2" s="138"/>
      <c r="N2" s="138"/>
      <c r="O2" s="138"/>
      <c r="P2" s="138"/>
      <c r="Q2" s="138"/>
      <c r="R2" s="138"/>
      <c r="S2" s="139"/>
      <c r="T2" s="152"/>
      <c r="U2" s="152"/>
      <c r="V2" s="152"/>
      <c r="W2" s="152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s="3" customFormat="1" ht="75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3" t="s">
        <v>0</v>
      </c>
      <c r="S3" s="6" t="s">
        <v>2</v>
      </c>
      <c r="T3" s="43">
        <v>45722</v>
      </c>
      <c r="U3" s="43">
        <v>45604</v>
      </c>
      <c r="V3" s="43">
        <v>45604</v>
      </c>
      <c r="W3" s="43">
        <v>45736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64" t="s">
        <v>91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v>4</v>
      </c>
      <c r="K4" s="54">
        <f>IF(SUM(T4:AK4)&gt;J4+M4,J4,SUM(T4:AK4))</f>
        <v>0</v>
      </c>
      <c r="L4" s="55">
        <f>(SUM(T4:AK4))</f>
        <v>0</v>
      </c>
      <c r="M4" s="56"/>
      <c r="N4" s="57">
        <f>ROUND(IF(J4*0.25-0.5&lt;0,0,J4*0.25-0.5),0)-Q4-O4</f>
        <v>1</v>
      </c>
      <c r="O4" s="56"/>
      <c r="P4" s="56"/>
      <c r="Q4" s="56"/>
      <c r="R4" s="58">
        <f>J4-(SUM(T4:AC4))+M4</f>
        <v>4</v>
      </c>
      <c r="S4" s="24" t="str">
        <f t="shared" ref="S4:S9" si="0">IF(R4&lt;0,"ATENÇÃO","OK")</f>
        <v>OK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2</v>
      </c>
      <c r="K5" s="54">
        <f t="shared" ref="K5:K9" si="1">IF(SUM(T5:AK5)&gt;J5+M5,J5,SUM(T5:AK5))</f>
        <v>0</v>
      </c>
      <c r="L5" s="55">
        <f t="shared" ref="L5:L9" si="2">(SUM(T5:AK5))</f>
        <v>0</v>
      </c>
      <c r="M5" s="56"/>
      <c r="N5" s="57">
        <f t="shared" ref="N5:N9" si="3">ROUND(IF(J5*0.25-0.5&lt;0,0,J5*0.25-0.5),0)-Q5-O5</f>
        <v>0</v>
      </c>
      <c r="O5" s="56"/>
      <c r="P5" s="56"/>
      <c r="Q5" s="56"/>
      <c r="R5" s="58">
        <f t="shared" ref="R5:R9" si="4">J5-(SUM(T5:AC5))+M5</f>
        <v>2</v>
      </c>
      <c r="S5" s="24" t="str">
        <f t="shared" si="0"/>
        <v>OK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25">
        <v>20</v>
      </c>
      <c r="K6" s="54">
        <f t="shared" si="1"/>
        <v>6</v>
      </c>
      <c r="L6" s="55">
        <f t="shared" si="2"/>
        <v>6</v>
      </c>
      <c r="M6" s="56"/>
      <c r="N6" s="57">
        <f t="shared" si="3"/>
        <v>5</v>
      </c>
      <c r="O6" s="56"/>
      <c r="P6" s="56"/>
      <c r="Q6" s="56"/>
      <c r="R6" s="58">
        <f t="shared" si="4"/>
        <v>14</v>
      </c>
      <c r="S6" s="24" t="str">
        <f t="shared" si="0"/>
        <v>OK</v>
      </c>
      <c r="T6" s="26"/>
      <c r="U6" s="26">
        <v>1</v>
      </c>
      <c r="V6" s="26">
        <v>4</v>
      </c>
      <c r="W6" s="26">
        <v>1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2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4</v>
      </c>
      <c r="K7" s="54">
        <f t="shared" si="1"/>
        <v>4</v>
      </c>
      <c r="L7" s="55">
        <f t="shared" si="2"/>
        <v>4</v>
      </c>
      <c r="M7" s="56"/>
      <c r="N7" s="57">
        <f t="shared" si="3"/>
        <v>1</v>
      </c>
      <c r="O7" s="56"/>
      <c r="P7" s="56"/>
      <c r="Q7" s="56"/>
      <c r="R7" s="58">
        <f t="shared" si="4"/>
        <v>0</v>
      </c>
      <c r="S7" s="24" t="str">
        <f t="shared" si="0"/>
        <v>OK</v>
      </c>
      <c r="T7" s="26">
        <v>4</v>
      </c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4">
        <f t="shared" si="1"/>
        <v>0</v>
      </c>
      <c r="L8" s="55">
        <f t="shared" si="2"/>
        <v>0</v>
      </c>
      <c r="M8" s="56"/>
      <c r="N8" s="57">
        <f t="shared" si="3"/>
        <v>0</v>
      </c>
      <c r="O8" s="56"/>
      <c r="P8" s="56"/>
      <c r="Q8" s="56"/>
      <c r="R8" s="58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2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4">
        <f t="shared" si="1"/>
        <v>0</v>
      </c>
      <c r="L9" s="55">
        <f t="shared" si="2"/>
        <v>0</v>
      </c>
      <c r="M9" s="56"/>
      <c r="N9" s="57">
        <f t="shared" si="3"/>
        <v>0</v>
      </c>
      <c r="O9" s="56"/>
      <c r="P9" s="56"/>
      <c r="Q9" s="56"/>
      <c r="R9" s="58">
        <f t="shared" si="4"/>
        <v>0</v>
      </c>
      <c r="S9" s="24" t="str">
        <f t="shared" si="0"/>
        <v>OK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25">
      <c r="J10" s="5">
        <f>SUM(J4:J9)</f>
        <v>30</v>
      </c>
      <c r="R10" s="5">
        <f>SUM(R4:R9)</f>
        <v>20</v>
      </c>
      <c r="T10" s="128">
        <f t="shared" ref="T10:W10" si="5">SUMPRODUCT($I$4:$I$9,T4:T9)</f>
        <v>6000</v>
      </c>
      <c r="U10" s="128">
        <f t="shared" si="5"/>
        <v>5570.07</v>
      </c>
      <c r="V10" s="128">
        <f t="shared" si="5"/>
        <v>22280.28</v>
      </c>
      <c r="W10" s="128">
        <f t="shared" si="5"/>
        <v>5570.07</v>
      </c>
      <c r="X10" s="20">
        <f t="shared" ref="X10:AH10" si="6">SUMPRODUCT($I$4:$I$9,X4:X9)</f>
        <v>0</v>
      </c>
      <c r="Y10" s="20">
        <f t="shared" si="6"/>
        <v>0</v>
      </c>
      <c r="Z10" s="20">
        <f t="shared" si="6"/>
        <v>0</v>
      </c>
      <c r="AA10" s="20">
        <f t="shared" si="6"/>
        <v>0</v>
      </c>
      <c r="AB10" s="20">
        <f t="shared" si="6"/>
        <v>0</v>
      </c>
      <c r="AC10" s="20">
        <f t="shared" si="6"/>
        <v>0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0</v>
      </c>
      <c r="AH10" s="20">
        <f t="shared" si="6"/>
        <v>0</v>
      </c>
    </row>
    <row r="11" spans="1:34" x14ac:dyDescent="0.25">
      <c r="H11" s="127"/>
      <c r="J11" s="59">
        <f>SUMPRODUCT($I$4:$I$9,J4:J9)</f>
        <v>137517.4</v>
      </c>
      <c r="K11" s="59">
        <f>SUMPRODUCT($I$4:$I$9,K4:K9)</f>
        <v>39420.42</v>
      </c>
      <c r="L11" s="59">
        <f>SUMPRODUCT($I$4:$I$9,L4:L9)</f>
        <v>39420.42</v>
      </c>
    </row>
    <row r="13" spans="1:34" x14ac:dyDescent="0.25">
      <c r="B13" s="148" t="s">
        <v>60</v>
      </c>
      <c r="C13" s="149"/>
      <c r="D13" s="149"/>
      <c r="E13" s="149"/>
      <c r="F13" s="149"/>
      <c r="G13" s="149"/>
      <c r="H13" s="149"/>
      <c r="I13" s="150"/>
    </row>
    <row r="14" spans="1:34" x14ac:dyDescent="0.25">
      <c r="B14" s="134" t="s">
        <v>63</v>
      </c>
      <c r="C14" s="135"/>
      <c r="D14" s="135"/>
      <c r="E14" s="135"/>
      <c r="F14" s="135"/>
      <c r="G14" s="135"/>
      <c r="H14" s="135"/>
      <c r="I14" s="136"/>
    </row>
    <row r="15" spans="1:34" x14ac:dyDescent="0.25">
      <c r="B15" s="134" t="s">
        <v>62</v>
      </c>
      <c r="C15" s="135"/>
      <c r="D15" s="135"/>
      <c r="E15" s="135"/>
      <c r="F15" s="135"/>
      <c r="G15" s="135"/>
      <c r="H15" s="135"/>
      <c r="I15" s="136"/>
    </row>
    <row r="16" spans="1:34" x14ac:dyDescent="0.25">
      <c r="B16" s="131" t="s">
        <v>61</v>
      </c>
      <c r="C16" s="132"/>
      <c r="D16" s="132"/>
      <c r="E16" s="132"/>
      <c r="F16" s="132"/>
      <c r="G16" s="132"/>
      <c r="H16" s="132"/>
      <c r="I16" s="133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X4:AH9">
    <cfRule type="cellIs" dxfId="40" priority="4" operator="greaterThan">
      <formula>0</formula>
    </cfRule>
    <cfRule type="cellIs" dxfId="39" priority="5" operator="greaterThan">
      <formula>0</formula>
    </cfRule>
    <cfRule type="cellIs" dxfId="38" priority="6" operator="greaterThan">
      <formula>1</formula>
    </cfRule>
  </conditionalFormatting>
  <conditionalFormatting sqref="T4:W9">
    <cfRule type="cellIs" dxfId="37" priority="1" operator="greaterThan">
      <formula>0</formula>
    </cfRule>
    <cfRule type="cellIs" dxfId="36" priority="2" operator="greaterThan">
      <formula>0</formula>
    </cfRule>
    <cfRule type="cellIs" dxfId="35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7E0B-4171-428F-83E5-946B87F7A6B4}">
  <sheetPr>
    <tabColor rgb="FFFFFF00"/>
  </sheetPr>
  <dimension ref="A1:AH16"/>
  <sheetViews>
    <sheetView zoomScale="85" zoomScaleNormal="85" workbookViewId="0">
      <selection activeCell="L30" sqref="L30"/>
    </sheetView>
  </sheetViews>
  <sheetFormatPr defaultColWidth="9.7109375" defaultRowHeight="15" x14ac:dyDescent="0.25"/>
  <cols>
    <col min="1" max="1" width="8" style="1" customWidth="1"/>
    <col min="2" max="2" width="34.42578125" style="1" customWidth="1"/>
    <col min="3" max="3" width="11.85546875" style="9" customWidth="1"/>
    <col min="4" max="4" width="14.7109375" style="9" customWidth="1"/>
    <col min="5" max="5" width="10.28515625" style="9" customWidth="1"/>
    <col min="6" max="6" width="12.85546875" style="1" bestFit="1" customWidth="1"/>
    <col min="7" max="7" width="16.28515625" style="1" bestFit="1" customWidth="1"/>
    <col min="8" max="8" width="12.85546875" style="1" customWidth="1"/>
    <col min="9" max="9" width="15.7109375" style="14" bestFit="1" customWidth="1"/>
    <col min="10" max="17" width="13.28515625" style="5" customWidth="1"/>
    <col min="18" max="18" width="13.28515625" style="10" customWidth="1"/>
    <col min="19" max="19" width="12.5703125" style="4" customWidth="1"/>
    <col min="20" max="24" width="13.7109375" style="2" customWidth="1"/>
    <col min="25" max="25" width="13.85546875" style="2" customWidth="1"/>
    <col min="26" max="34" width="13.7109375" style="2" customWidth="1"/>
    <col min="35" max="16384" width="9.7109375" style="2"/>
  </cols>
  <sheetData>
    <row r="1" spans="1:34" ht="54" customHeight="1" x14ac:dyDescent="0.25">
      <c r="A1" s="143" t="s">
        <v>26</v>
      </c>
      <c r="B1" s="144"/>
      <c r="C1" s="145" t="s">
        <v>24</v>
      </c>
      <c r="D1" s="146"/>
      <c r="E1" s="146"/>
      <c r="F1" s="146"/>
      <c r="G1" s="146"/>
      <c r="H1" s="146"/>
      <c r="I1" s="147"/>
      <c r="J1" s="140" t="s">
        <v>25</v>
      </c>
      <c r="K1" s="141"/>
      <c r="L1" s="141"/>
      <c r="M1" s="141"/>
      <c r="N1" s="141"/>
      <c r="O1" s="141"/>
      <c r="P1" s="141"/>
      <c r="Q1" s="141"/>
      <c r="R1" s="141"/>
      <c r="S1" s="142"/>
      <c r="T1" s="152" t="s">
        <v>130</v>
      </c>
      <c r="U1" s="152" t="s">
        <v>131</v>
      </c>
      <c r="V1" s="152" t="s">
        <v>132</v>
      </c>
      <c r="W1" s="152" t="s">
        <v>133</v>
      </c>
      <c r="X1" s="152" t="s">
        <v>134</v>
      </c>
      <c r="Y1" s="152" t="s">
        <v>135</v>
      </c>
      <c r="Z1" s="151" t="s">
        <v>22</v>
      </c>
      <c r="AA1" s="151" t="s">
        <v>22</v>
      </c>
      <c r="AB1" s="151" t="s">
        <v>22</v>
      </c>
      <c r="AC1" s="151" t="s">
        <v>22</v>
      </c>
      <c r="AD1" s="151" t="s">
        <v>22</v>
      </c>
      <c r="AE1" s="151" t="s">
        <v>22</v>
      </c>
      <c r="AF1" s="151" t="s">
        <v>22</v>
      </c>
      <c r="AG1" s="151" t="s">
        <v>22</v>
      </c>
      <c r="AH1" s="151" t="s">
        <v>22</v>
      </c>
    </row>
    <row r="2" spans="1:34" ht="27" customHeight="1" x14ac:dyDescent="0.25">
      <c r="A2" s="145" t="s">
        <v>68</v>
      </c>
      <c r="B2" s="146"/>
      <c r="C2" s="146"/>
      <c r="D2" s="146"/>
      <c r="E2" s="146"/>
      <c r="F2" s="146"/>
      <c r="G2" s="146"/>
      <c r="H2" s="146"/>
      <c r="I2" s="147"/>
      <c r="J2" s="137" t="s">
        <v>59</v>
      </c>
      <c r="K2" s="138"/>
      <c r="L2" s="138"/>
      <c r="M2" s="138"/>
      <c r="N2" s="138"/>
      <c r="O2" s="138"/>
      <c r="P2" s="138"/>
      <c r="Q2" s="138"/>
      <c r="R2" s="138"/>
      <c r="S2" s="139"/>
      <c r="T2" s="152"/>
      <c r="U2" s="152"/>
      <c r="V2" s="152"/>
      <c r="W2" s="152"/>
      <c r="X2" s="152"/>
      <c r="Y2" s="152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s="3" customFormat="1" ht="60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3" t="s">
        <v>0</v>
      </c>
      <c r="S3" s="6" t="s">
        <v>2</v>
      </c>
      <c r="T3" s="43">
        <v>45615</v>
      </c>
      <c r="U3" s="43">
        <v>45615</v>
      </c>
      <c r="V3" s="43">
        <v>45615</v>
      </c>
      <c r="W3" s="43">
        <v>45616</v>
      </c>
      <c r="X3" s="43">
        <v>45616</v>
      </c>
      <c r="Y3" s="43">
        <v>45616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64" t="s">
        <v>91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26</f>
        <v>26</v>
      </c>
      <c r="K4" s="54">
        <f>IF(SUM(T4:AK4)&gt;J4+M4,J4,SUM(T4:AK4))</f>
        <v>26</v>
      </c>
      <c r="L4" s="55">
        <f>(SUM(T4:AK4))</f>
        <v>26</v>
      </c>
      <c r="M4" s="56">
        <f>-10</f>
        <v>-10</v>
      </c>
      <c r="N4" s="57">
        <f>ROUND(IF(J4*0.25-0.5&lt;0,0,J4*0.25-0.5),0)-Q4-O4</f>
        <v>6</v>
      </c>
      <c r="O4" s="56"/>
      <c r="P4" s="56"/>
      <c r="Q4" s="56"/>
      <c r="R4" s="58">
        <f>J4-(SUM(T4:AC4))+M4</f>
        <v>-10</v>
      </c>
      <c r="S4" s="24" t="str">
        <f t="shared" ref="S4:S9" si="0">IF(R4&lt;0,"ATENÇÃO","OK")</f>
        <v>ATENÇÃO</v>
      </c>
      <c r="T4" s="26">
        <v>1</v>
      </c>
      <c r="U4" s="26"/>
      <c r="V4" s="26"/>
      <c r="W4" s="26">
        <v>1</v>
      </c>
      <c r="X4" s="26">
        <v>24</v>
      </c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5</v>
      </c>
      <c r="K5" s="54">
        <f t="shared" ref="K5:K9" si="1">IF(SUM(T5:AK5)&gt;J5+M5,J5,SUM(T5:AK5))</f>
        <v>0</v>
      </c>
      <c r="L5" s="55">
        <f t="shared" ref="L5:L9" si="2">(SUM(T5:AK5))</f>
        <v>0</v>
      </c>
      <c r="M5" s="56"/>
      <c r="N5" s="57">
        <f t="shared" ref="N5:N9" si="3">ROUND(IF(J5*0.25-0.5&lt;0,0,J5*0.25-0.5),0)-Q5-O5</f>
        <v>1</v>
      </c>
      <c r="O5" s="56"/>
      <c r="P5" s="56"/>
      <c r="Q5" s="56"/>
      <c r="R5" s="58">
        <f t="shared" ref="R5:R9" si="4">J5-(SUM(T5:AC5))+M5</f>
        <v>5</v>
      </c>
      <c r="S5" s="24" t="str">
        <f t="shared" si="0"/>
        <v>OK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25">
        <v>27</v>
      </c>
      <c r="K6" s="54">
        <f t="shared" si="1"/>
        <v>27</v>
      </c>
      <c r="L6" s="55">
        <f t="shared" si="2"/>
        <v>27</v>
      </c>
      <c r="M6" s="56"/>
      <c r="N6" s="57">
        <f t="shared" si="3"/>
        <v>6</v>
      </c>
      <c r="O6" s="56"/>
      <c r="P6" s="56"/>
      <c r="Q6" s="56"/>
      <c r="R6" s="58">
        <f t="shared" si="4"/>
        <v>0</v>
      </c>
      <c r="S6" s="24" t="str">
        <f t="shared" si="0"/>
        <v>OK</v>
      </c>
      <c r="T6" s="26"/>
      <c r="U6" s="26"/>
      <c r="V6" s="26">
        <v>2</v>
      </c>
      <c r="W6" s="26">
        <v>1</v>
      </c>
      <c r="X6" s="26">
        <v>24</v>
      </c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2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8</v>
      </c>
      <c r="K7" s="54">
        <f t="shared" si="1"/>
        <v>8</v>
      </c>
      <c r="L7" s="55">
        <f t="shared" si="2"/>
        <v>8</v>
      </c>
      <c r="M7" s="56"/>
      <c r="N7" s="57">
        <f t="shared" si="3"/>
        <v>2</v>
      </c>
      <c r="O7" s="56"/>
      <c r="P7" s="56"/>
      <c r="Q7" s="56"/>
      <c r="R7" s="58">
        <f t="shared" si="4"/>
        <v>0</v>
      </c>
      <c r="S7" s="24" t="str">
        <f t="shared" si="0"/>
        <v>OK</v>
      </c>
      <c r="T7" s="26"/>
      <c r="U7" s="26"/>
      <c r="V7" s="26"/>
      <c r="W7" s="26"/>
      <c r="X7" s="26"/>
      <c r="Y7" s="26">
        <v>8</v>
      </c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4">
        <f t="shared" si="1"/>
        <v>0</v>
      </c>
      <c r="L8" s="55">
        <f t="shared" si="2"/>
        <v>0</v>
      </c>
      <c r="M8" s="56"/>
      <c r="N8" s="57">
        <f t="shared" si="3"/>
        <v>0</v>
      </c>
      <c r="O8" s="56"/>
      <c r="P8" s="56"/>
      <c r="Q8" s="56"/>
      <c r="R8" s="58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2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1</v>
      </c>
      <c r="K9" s="54">
        <f t="shared" si="1"/>
        <v>1</v>
      </c>
      <c r="L9" s="55">
        <f t="shared" si="2"/>
        <v>1</v>
      </c>
      <c r="M9" s="56"/>
      <c r="N9" s="57">
        <f t="shared" si="3"/>
        <v>0</v>
      </c>
      <c r="O9" s="56"/>
      <c r="P9" s="56"/>
      <c r="Q9" s="56"/>
      <c r="R9" s="58">
        <f t="shared" si="4"/>
        <v>0</v>
      </c>
      <c r="S9" s="24" t="str">
        <f t="shared" si="0"/>
        <v>OK</v>
      </c>
      <c r="T9" s="26"/>
      <c r="U9" s="26">
        <v>1</v>
      </c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25">
      <c r="J10" s="5">
        <f>SUM(J4:J9)</f>
        <v>67</v>
      </c>
      <c r="R10" s="5">
        <f>SUM(R4:R9)</f>
        <v>-5</v>
      </c>
      <c r="T10" s="128">
        <f t="shared" ref="T10:Y10" si="5">SUMPRODUCT($I$4:$I$9,T4:T9)</f>
        <v>4015</v>
      </c>
      <c r="U10" s="128">
        <f t="shared" si="5"/>
        <v>9000</v>
      </c>
      <c r="V10" s="128">
        <f t="shared" si="5"/>
        <v>11140.14</v>
      </c>
      <c r="W10" s="128">
        <f t="shared" si="5"/>
        <v>9585.07</v>
      </c>
      <c r="X10" s="128">
        <f t="shared" si="5"/>
        <v>230041.68</v>
      </c>
      <c r="Y10" s="128">
        <f t="shared" si="5"/>
        <v>12000</v>
      </c>
      <c r="Z10" s="20">
        <f t="shared" ref="Z10:AH10" si="6">SUMPRODUCT($I$4:$I$9,Z4:Z9)</f>
        <v>0</v>
      </c>
      <c r="AA10" s="20">
        <f t="shared" si="6"/>
        <v>0</v>
      </c>
      <c r="AB10" s="20">
        <f t="shared" si="6"/>
        <v>0</v>
      </c>
      <c r="AC10" s="20">
        <f t="shared" si="6"/>
        <v>0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0</v>
      </c>
      <c r="AH10" s="20">
        <f t="shared" si="6"/>
        <v>0</v>
      </c>
    </row>
    <row r="11" spans="1:34" x14ac:dyDescent="0.25">
      <c r="J11" s="59">
        <f>SUMPRODUCT($I$4:$I$9,J4:J9)</f>
        <v>285921.89</v>
      </c>
      <c r="K11" s="59">
        <f>SUMPRODUCT($I$4:$I$9,K4:K9)</f>
        <v>275781.89</v>
      </c>
      <c r="L11" s="59">
        <f>SUMPRODUCT($I$4:$I$9,L4:L9)</f>
        <v>275781.89</v>
      </c>
    </row>
    <row r="13" spans="1:34" x14ac:dyDescent="0.25">
      <c r="B13" s="148" t="s">
        <v>60</v>
      </c>
      <c r="C13" s="149"/>
      <c r="D13" s="149"/>
      <c r="E13" s="149"/>
      <c r="F13" s="149"/>
      <c r="G13" s="149"/>
      <c r="H13" s="149"/>
      <c r="I13" s="150"/>
    </row>
    <row r="14" spans="1:34" x14ac:dyDescent="0.25">
      <c r="B14" s="134" t="s">
        <v>63</v>
      </c>
      <c r="C14" s="135"/>
      <c r="D14" s="135"/>
      <c r="E14" s="135"/>
      <c r="F14" s="135"/>
      <c r="G14" s="135"/>
      <c r="H14" s="135"/>
      <c r="I14" s="136"/>
    </row>
    <row r="15" spans="1:34" x14ac:dyDescent="0.25">
      <c r="B15" s="134" t="s">
        <v>62</v>
      </c>
      <c r="C15" s="135"/>
      <c r="D15" s="135"/>
      <c r="E15" s="135"/>
      <c r="F15" s="135"/>
      <c r="G15" s="135"/>
      <c r="H15" s="135"/>
      <c r="I15" s="136"/>
    </row>
    <row r="16" spans="1:34" x14ac:dyDescent="0.25">
      <c r="B16" s="131" t="s">
        <v>61</v>
      </c>
      <c r="C16" s="132"/>
      <c r="D16" s="132"/>
      <c r="E16" s="132"/>
      <c r="F16" s="132"/>
      <c r="G16" s="132"/>
      <c r="H16" s="132"/>
      <c r="I16" s="133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Z4:AH9">
    <cfRule type="cellIs" dxfId="34" priority="4" operator="greaterThan">
      <formula>0</formula>
    </cfRule>
    <cfRule type="cellIs" dxfId="33" priority="5" operator="greaterThan">
      <formula>0</formula>
    </cfRule>
    <cfRule type="cellIs" dxfId="32" priority="6" operator="greaterThan">
      <formula>1</formula>
    </cfRule>
  </conditionalFormatting>
  <conditionalFormatting sqref="T4:Y9">
    <cfRule type="cellIs" dxfId="31" priority="1" operator="greaterThan">
      <formula>0</formula>
    </cfRule>
    <cfRule type="cellIs" dxfId="30" priority="2" operator="greaterThan">
      <formula>0</formula>
    </cfRule>
    <cfRule type="cellIs" dxfId="29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C79E-1511-461A-9007-9E226F3D3E2A}">
  <dimension ref="A1:AH16"/>
  <sheetViews>
    <sheetView zoomScale="60" zoomScaleNormal="60" workbookViewId="0">
      <selection activeCell="D21" sqref="D21"/>
    </sheetView>
  </sheetViews>
  <sheetFormatPr defaultColWidth="9.7109375" defaultRowHeight="15" x14ac:dyDescent="0.25"/>
  <cols>
    <col min="1" max="1" width="8" style="1" customWidth="1"/>
    <col min="2" max="2" width="34.42578125" style="1" customWidth="1"/>
    <col min="3" max="3" width="22.5703125" style="9" customWidth="1"/>
    <col min="4" max="4" width="14.7109375" style="9" customWidth="1"/>
    <col min="5" max="5" width="10.28515625" style="9" customWidth="1"/>
    <col min="6" max="6" width="12.85546875" style="1" bestFit="1" customWidth="1"/>
    <col min="7" max="7" width="16.28515625" style="1" bestFit="1" customWidth="1"/>
    <col min="8" max="8" width="12.85546875" style="1" customWidth="1"/>
    <col min="9" max="9" width="15.7109375" style="14" bestFit="1" customWidth="1"/>
    <col min="10" max="17" width="13.28515625" style="5" customWidth="1"/>
    <col min="18" max="18" width="13.28515625" style="10" customWidth="1"/>
    <col min="19" max="19" width="12.5703125" style="4" customWidth="1"/>
    <col min="20" max="24" width="13.7109375" style="2" customWidth="1"/>
    <col min="25" max="25" width="13.85546875" style="2" customWidth="1"/>
    <col min="26" max="34" width="13.7109375" style="2" customWidth="1"/>
    <col min="35" max="16384" width="9.7109375" style="2"/>
  </cols>
  <sheetData>
    <row r="1" spans="1:34" ht="54" customHeight="1" x14ac:dyDescent="0.25">
      <c r="A1" s="143" t="s">
        <v>26</v>
      </c>
      <c r="B1" s="144"/>
      <c r="C1" s="145" t="s">
        <v>24</v>
      </c>
      <c r="D1" s="146"/>
      <c r="E1" s="146"/>
      <c r="F1" s="146"/>
      <c r="G1" s="146"/>
      <c r="H1" s="146"/>
      <c r="I1" s="147"/>
      <c r="J1" s="140" t="s">
        <v>25</v>
      </c>
      <c r="K1" s="141"/>
      <c r="L1" s="141"/>
      <c r="M1" s="141"/>
      <c r="N1" s="141"/>
      <c r="O1" s="141"/>
      <c r="P1" s="141"/>
      <c r="Q1" s="141"/>
      <c r="R1" s="141"/>
      <c r="S1" s="142"/>
      <c r="T1" s="151" t="s">
        <v>22</v>
      </c>
      <c r="U1" s="151" t="s">
        <v>22</v>
      </c>
      <c r="V1" s="151" t="s">
        <v>22</v>
      </c>
      <c r="W1" s="151" t="s">
        <v>22</v>
      </c>
      <c r="X1" s="151" t="s">
        <v>22</v>
      </c>
      <c r="Y1" s="151" t="s">
        <v>22</v>
      </c>
      <c r="Z1" s="151" t="s">
        <v>22</v>
      </c>
      <c r="AA1" s="151" t="s">
        <v>22</v>
      </c>
      <c r="AB1" s="151" t="s">
        <v>22</v>
      </c>
      <c r="AC1" s="151" t="s">
        <v>22</v>
      </c>
      <c r="AD1" s="151" t="s">
        <v>22</v>
      </c>
      <c r="AE1" s="151" t="s">
        <v>22</v>
      </c>
      <c r="AF1" s="151" t="s">
        <v>22</v>
      </c>
      <c r="AG1" s="151" t="s">
        <v>22</v>
      </c>
      <c r="AH1" s="151" t="s">
        <v>22</v>
      </c>
    </row>
    <row r="2" spans="1:34" ht="27" customHeight="1" x14ac:dyDescent="0.25">
      <c r="A2" s="145" t="s">
        <v>70</v>
      </c>
      <c r="B2" s="146"/>
      <c r="C2" s="146"/>
      <c r="D2" s="146"/>
      <c r="E2" s="146"/>
      <c r="F2" s="146"/>
      <c r="G2" s="146"/>
      <c r="H2" s="146"/>
      <c r="I2" s="147"/>
      <c r="J2" s="137" t="s">
        <v>59</v>
      </c>
      <c r="K2" s="138"/>
      <c r="L2" s="138"/>
      <c r="M2" s="138"/>
      <c r="N2" s="138"/>
      <c r="O2" s="138"/>
      <c r="P2" s="138"/>
      <c r="Q2" s="138"/>
      <c r="R2" s="138"/>
      <c r="S2" s="139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s="3" customFormat="1" ht="60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3" t="s">
        <v>0</v>
      </c>
      <c r="S3" s="6" t="s">
        <v>2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64" t="s">
        <v>91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5</f>
        <v>5</v>
      </c>
      <c r="K4" s="54">
        <f>IF(SUM(T4:AK4)&gt;J4+M4,J4,SUM(T4:AK4))</f>
        <v>0</v>
      </c>
      <c r="L4" s="55">
        <f>(SUM(T4:AK4))</f>
        <v>0</v>
      </c>
      <c r="M4" s="56">
        <v>-5</v>
      </c>
      <c r="N4" s="57">
        <f>ROUND(IF(J4*0.25-0.5&lt;0,0,J4*0.25-0.5),0)-Q4-O4</f>
        <v>1</v>
      </c>
      <c r="O4" s="56"/>
      <c r="P4" s="56"/>
      <c r="Q4" s="56"/>
      <c r="R4" s="58">
        <f>J4-(SUM(T4:AC4))+M4</f>
        <v>0</v>
      </c>
      <c r="S4" s="24" t="str">
        <f t="shared" ref="S4:S9" si="0">IF(R4&lt;0,"ATENÇÃO","OK")</f>
        <v>OK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2</v>
      </c>
      <c r="K5" s="54">
        <f t="shared" ref="K5:K9" si="1">IF(SUM(T5:AK5)&gt;J5+M5,J5,SUM(T5:AK5))</f>
        <v>0</v>
      </c>
      <c r="L5" s="55">
        <f t="shared" ref="L5:L9" si="2">(SUM(T5:AK5))</f>
        <v>0</v>
      </c>
      <c r="M5" s="56"/>
      <c r="N5" s="57">
        <f t="shared" ref="N5:N9" si="3">ROUND(IF(J5*0.25-0.5&lt;0,0,J5*0.25-0.5),0)-Q5-O5</f>
        <v>0</v>
      </c>
      <c r="O5" s="56"/>
      <c r="P5" s="56"/>
      <c r="Q5" s="56"/>
      <c r="R5" s="58">
        <f t="shared" ref="R5:R9" si="4">J5-(SUM(T5:AC5))+M5</f>
        <v>2</v>
      </c>
      <c r="S5" s="24" t="str">
        <f t="shared" si="0"/>
        <v>OK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25">
        <v>5</v>
      </c>
      <c r="K6" s="54">
        <f t="shared" si="1"/>
        <v>0</v>
      </c>
      <c r="L6" s="55">
        <f t="shared" si="2"/>
        <v>0</v>
      </c>
      <c r="M6" s="56"/>
      <c r="N6" s="57">
        <f t="shared" si="3"/>
        <v>1</v>
      </c>
      <c r="O6" s="56"/>
      <c r="P6" s="56"/>
      <c r="Q6" s="56"/>
      <c r="R6" s="58">
        <f t="shared" si="4"/>
        <v>5</v>
      </c>
      <c r="S6" s="24" t="str">
        <f t="shared" si="0"/>
        <v>OK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2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5</v>
      </c>
      <c r="K7" s="54">
        <f t="shared" si="1"/>
        <v>0</v>
      </c>
      <c r="L7" s="55">
        <f t="shared" si="2"/>
        <v>0</v>
      </c>
      <c r="M7" s="56"/>
      <c r="N7" s="57">
        <f t="shared" si="3"/>
        <v>1</v>
      </c>
      <c r="O7" s="56"/>
      <c r="P7" s="56"/>
      <c r="Q7" s="56"/>
      <c r="R7" s="58">
        <f t="shared" si="4"/>
        <v>5</v>
      </c>
      <c r="S7" s="24" t="str">
        <f t="shared" si="0"/>
        <v>OK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4">
        <f t="shared" si="1"/>
        <v>0</v>
      </c>
      <c r="L8" s="55">
        <f t="shared" si="2"/>
        <v>0</v>
      </c>
      <c r="M8" s="56"/>
      <c r="N8" s="57">
        <f t="shared" si="3"/>
        <v>0</v>
      </c>
      <c r="O8" s="56"/>
      <c r="P8" s="56"/>
      <c r="Q8" s="56"/>
      <c r="R8" s="58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2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4">
        <f t="shared" si="1"/>
        <v>0</v>
      </c>
      <c r="L9" s="55">
        <f t="shared" si="2"/>
        <v>0</v>
      </c>
      <c r="M9" s="56"/>
      <c r="N9" s="57">
        <f t="shared" si="3"/>
        <v>0</v>
      </c>
      <c r="O9" s="56"/>
      <c r="P9" s="56"/>
      <c r="Q9" s="56"/>
      <c r="R9" s="58">
        <f t="shared" si="4"/>
        <v>0</v>
      </c>
      <c r="S9" s="24" t="str">
        <f t="shared" si="0"/>
        <v>OK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25">
      <c r="J10" s="5">
        <f>SUM(J4:J9)</f>
        <v>17</v>
      </c>
      <c r="R10" s="5">
        <f>SUM(R4:R9)</f>
        <v>12</v>
      </c>
      <c r="T10" s="20">
        <f t="shared" ref="T10:AH10" si="5">SUMPRODUCT($I$4:$I$9,T4:T9)</f>
        <v>0</v>
      </c>
      <c r="U10" s="20">
        <f t="shared" si="5"/>
        <v>0</v>
      </c>
      <c r="V10" s="20">
        <f t="shared" si="5"/>
        <v>0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5"/>
        <v>0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25">
      <c r="J11" s="59">
        <f>SUMPRODUCT($I$4:$I$9,J4:J9)</f>
        <v>59481.35</v>
      </c>
      <c r="K11" s="59">
        <f>SUMPRODUCT($I$4:$I$9,K4:K9)</f>
        <v>0</v>
      </c>
      <c r="L11" s="59">
        <f>SUMPRODUCT($I$4:$I$9,L4:L9)</f>
        <v>0</v>
      </c>
    </row>
    <row r="13" spans="1:34" x14ac:dyDescent="0.25">
      <c r="B13" s="148" t="s">
        <v>60</v>
      </c>
      <c r="C13" s="149"/>
      <c r="D13" s="149"/>
      <c r="E13" s="149"/>
      <c r="F13" s="149"/>
      <c r="G13" s="149"/>
      <c r="H13" s="149"/>
      <c r="I13" s="150"/>
    </row>
    <row r="14" spans="1:34" x14ac:dyDescent="0.25">
      <c r="B14" s="134" t="s">
        <v>63</v>
      </c>
      <c r="C14" s="135"/>
      <c r="D14" s="135"/>
      <c r="E14" s="135"/>
      <c r="F14" s="135"/>
      <c r="G14" s="135"/>
      <c r="H14" s="135"/>
      <c r="I14" s="136"/>
    </row>
    <row r="15" spans="1:34" x14ac:dyDescent="0.25">
      <c r="B15" s="134" t="s">
        <v>62</v>
      </c>
      <c r="C15" s="135"/>
      <c r="D15" s="135"/>
      <c r="E15" s="135"/>
      <c r="F15" s="135"/>
      <c r="G15" s="135"/>
      <c r="H15" s="135"/>
      <c r="I15" s="136"/>
    </row>
    <row r="16" spans="1:34" x14ac:dyDescent="0.25">
      <c r="B16" s="131" t="s">
        <v>61</v>
      </c>
      <c r="C16" s="132"/>
      <c r="D16" s="132"/>
      <c r="E16" s="132"/>
      <c r="F16" s="132"/>
      <c r="G16" s="132"/>
      <c r="H16" s="132"/>
      <c r="I16" s="133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T4:AH9">
    <cfRule type="cellIs" dxfId="28" priority="1" operator="greaterThan">
      <formula>0</formula>
    </cfRule>
    <cfRule type="cellIs" dxfId="27" priority="2" operator="greaterThan">
      <formula>0</formula>
    </cfRule>
    <cfRule type="cellIs" dxfId="26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8FE7-4C4F-40E6-842E-FDE7E95943F3}">
  <dimension ref="A1:AH16"/>
  <sheetViews>
    <sheetView zoomScale="70" zoomScaleNormal="70" workbookViewId="0">
      <selection activeCell="H44" sqref="H44"/>
    </sheetView>
  </sheetViews>
  <sheetFormatPr defaultColWidth="9.7109375" defaultRowHeight="15" x14ac:dyDescent="0.25"/>
  <cols>
    <col min="1" max="1" width="8" style="1" customWidth="1"/>
    <col min="2" max="2" width="34.42578125" style="1" customWidth="1"/>
    <col min="3" max="3" width="22.5703125" style="9" customWidth="1"/>
    <col min="4" max="4" width="14.7109375" style="9" customWidth="1"/>
    <col min="5" max="5" width="10.28515625" style="9" customWidth="1"/>
    <col min="6" max="6" width="12.85546875" style="1" bestFit="1" customWidth="1"/>
    <col min="7" max="7" width="16.28515625" style="1" bestFit="1" customWidth="1"/>
    <col min="8" max="8" width="12.85546875" style="1" customWidth="1"/>
    <col min="9" max="9" width="15.7109375" style="14" bestFit="1" customWidth="1"/>
    <col min="10" max="17" width="13.28515625" style="5" customWidth="1"/>
    <col min="18" max="18" width="13.28515625" style="10" customWidth="1"/>
    <col min="19" max="19" width="12.5703125" style="4" customWidth="1"/>
    <col min="20" max="24" width="13.7109375" style="2" customWidth="1"/>
    <col min="25" max="25" width="13.85546875" style="2" customWidth="1"/>
    <col min="26" max="34" width="13.7109375" style="2" customWidth="1"/>
    <col min="35" max="16384" width="9.7109375" style="2"/>
  </cols>
  <sheetData>
    <row r="1" spans="1:34" ht="54" customHeight="1" x14ac:dyDescent="0.25">
      <c r="A1" s="143" t="s">
        <v>26</v>
      </c>
      <c r="B1" s="144"/>
      <c r="C1" s="145" t="s">
        <v>24</v>
      </c>
      <c r="D1" s="146"/>
      <c r="E1" s="146"/>
      <c r="F1" s="146"/>
      <c r="G1" s="146"/>
      <c r="H1" s="146"/>
      <c r="I1" s="147"/>
      <c r="J1" s="140" t="s">
        <v>25</v>
      </c>
      <c r="K1" s="141"/>
      <c r="L1" s="141"/>
      <c r="M1" s="141"/>
      <c r="N1" s="141"/>
      <c r="O1" s="141"/>
      <c r="P1" s="141"/>
      <c r="Q1" s="141"/>
      <c r="R1" s="141"/>
      <c r="S1" s="142"/>
      <c r="T1" s="152" t="s">
        <v>136</v>
      </c>
      <c r="U1" s="152" t="s">
        <v>137</v>
      </c>
      <c r="V1" s="151" t="s">
        <v>22</v>
      </c>
      <c r="W1" s="151" t="s">
        <v>22</v>
      </c>
      <c r="X1" s="151" t="s">
        <v>22</v>
      </c>
      <c r="Y1" s="151" t="s">
        <v>22</v>
      </c>
      <c r="Z1" s="151" t="s">
        <v>22</v>
      </c>
      <c r="AA1" s="151" t="s">
        <v>22</v>
      </c>
      <c r="AB1" s="151" t="s">
        <v>22</v>
      </c>
      <c r="AC1" s="151" t="s">
        <v>22</v>
      </c>
      <c r="AD1" s="151" t="s">
        <v>22</v>
      </c>
      <c r="AE1" s="151" t="s">
        <v>22</v>
      </c>
      <c r="AF1" s="151" t="s">
        <v>22</v>
      </c>
      <c r="AG1" s="151" t="s">
        <v>22</v>
      </c>
      <c r="AH1" s="151" t="s">
        <v>22</v>
      </c>
    </row>
    <row r="2" spans="1:34" ht="27" customHeight="1" x14ac:dyDescent="0.25">
      <c r="A2" s="145" t="s">
        <v>71</v>
      </c>
      <c r="B2" s="146"/>
      <c r="C2" s="146"/>
      <c r="D2" s="146"/>
      <c r="E2" s="146"/>
      <c r="F2" s="146"/>
      <c r="G2" s="146"/>
      <c r="H2" s="146"/>
      <c r="I2" s="147"/>
      <c r="J2" s="137" t="s">
        <v>59</v>
      </c>
      <c r="K2" s="138"/>
      <c r="L2" s="138"/>
      <c r="M2" s="138"/>
      <c r="N2" s="138"/>
      <c r="O2" s="138"/>
      <c r="P2" s="138"/>
      <c r="Q2" s="138"/>
      <c r="R2" s="138"/>
      <c r="S2" s="139"/>
      <c r="T2" s="152"/>
      <c r="U2" s="152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s="3" customFormat="1" ht="60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3" t="s">
        <v>0</v>
      </c>
      <c r="S3" s="6" t="s">
        <v>2</v>
      </c>
      <c r="T3" s="43">
        <v>45604</v>
      </c>
      <c r="U3" s="43">
        <v>45615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64" t="s">
        <v>91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60</f>
        <v>60</v>
      </c>
      <c r="K4" s="54">
        <f>IF(SUM(T4:AK4)&gt;J4+M4,J4,SUM(T4:AK4))</f>
        <v>41</v>
      </c>
      <c r="L4" s="55">
        <f>(SUM(T4:AK4))</f>
        <v>41</v>
      </c>
      <c r="M4" s="56">
        <f>-15</f>
        <v>-15</v>
      </c>
      <c r="N4" s="57">
        <f>ROUND(IF(J4*0.25-0.5&lt;0,0,J4*0.25-0.5),0)-Q4-O4</f>
        <v>15</v>
      </c>
      <c r="O4" s="56"/>
      <c r="P4" s="56"/>
      <c r="Q4" s="56"/>
      <c r="R4" s="58">
        <f>J4-(SUM(T4:AC4))+M4</f>
        <v>4</v>
      </c>
      <c r="S4" s="24" t="str">
        <f t="shared" ref="S4:S9" si="0">IF(R4&lt;0,"ATENÇÃO","OK")</f>
        <v>OK</v>
      </c>
      <c r="T4" s="26">
        <v>41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30</v>
      </c>
      <c r="K5" s="54">
        <f t="shared" ref="K5:K9" si="1">IF(SUM(T5:AK5)&gt;J5+M5,J5,SUM(T5:AK5))</f>
        <v>30</v>
      </c>
      <c r="L5" s="55">
        <f t="shared" ref="L5:L9" si="2">(SUM(T5:AK5))</f>
        <v>30</v>
      </c>
      <c r="M5" s="56"/>
      <c r="N5" s="57">
        <f t="shared" ref="N5:N9" si="3">ROUND(IF(J5*0.25-0.5&lt;0,0,J5*0.25-0.5),0)-Q5-O5</f>
        <v>7</v>
      </c>
      <c r="O5" s="56"/>
      <c r="P5" s="56"/>
      <c r="Q5" s="56"/>
      <c r="R5" s="58">
        <f t="shared" ref="R5:R9" si="4">J5-(SUM(T5:AC5))+M5</f>
        <v>0</v>
      </c>
      <c r="S5" s="24" t="str">
        <f t="shared" si="0"/>
        <v>OK</v>
      </c>
      <c r="T5" s="26"/>
      <c r="U5" s="26">
        <v>30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25">
        <v>60</v>
      </c>
      <c r="K6" s="54">
        <f t="shared" si="1"/>
        <v>0</v>
      </c>
      <c r="L6" s="55">
        <f t="shared" si="2"/>
        <v>0</v>
      </c>
      <c r="M6" s="56"/>
      <c r="N6" s="57">
        <f t="shared" si="3"/>
        <v>15</v>
      </c>
      <c r="O6" s="56"/>
      <c r="P6" s="56"/>
      <c r="Q6" s="56"/>
      <c r="R6" s="58">
        <f t="shared" si="4"/>
        <v>60</v>
      </c>
      <c r="S6" s="24" t="str">
        <f t="shared" si="0"/>
        <v>OK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2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0</v>
      </c>
      <c r="K7" s="54">
        <f t="shared" si="1"/>
        <v>0</v>
      </c>
      <c r="L7" s="55">
        <f t="shared" si="2"/>
        <v>0</v>
      </c>
      <c r="M7" s="56"/>
      <c r="N7" s="57">
        <f t="shared" si="3"/>
        <v>0</v>
      </c>
      <c r="O7" s="56"/>
      <c r="P7" s="56"/>
      <c r="Q7" s="56"/>
      <c r="R7" s="58">
        <f t="shared" si="4"/>
        <v>0</v>
      </c>
      <c r="S7" s="24" t="str">
        <f t="shared" si="0"/>
        <v>OK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4">
        <f t="shared" si="1"/>
        <v>0</v>
      </c>
      <c r="L8" s="55">
        <f t="shared" si="2"/>
        <v>0</v>
      </c>
      <c r="M8" s="56"/>
      <c r="N8" s="57">
        <f t="shared" si="3"/>
        <v>0</v>
      </c>
      <c r="O8" s="56"/>
      <c r="P8" s="56"/>
      <c r="Q8" s="56"/>
      <c r="R8" s="58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2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4">
        <f t="shared" si="1"/>
        <v>0</v>
      </c>
      <c r="L9" s="55">
        <f t="shared" si="2"/>
        <v>0</v>
      </c>
      <c r="M9" s="56"/>
      <c r="N9" s="57">
        <f t="shared" si="3"/>
        <v>0</v>
      </c>
      <c r="O9" s="56"/>
      <c r="P9" s="56"/>
      <c r="Q9" s="56"/>
      <c r="R9" s="58">
        <f t="shared" si="4"/>
        <v>0</v>
      </c>
      <c r="S9" s="24" t="str">
        <f t="shared" si="0"/>
        <v>OK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25">
      <c r="J10" s="5">
        <f>SUM(J4:J9)</f>
        <v>150</v>
      </c>
      <c r="R10" s="5">
        <f>SUM(R4:R9)</f>
        <v>64</v>
      </c>
      <c r="T10" s="128">
        <f t="shared" ref="T10:U10" si="5">SUMPRODUCT($I$4:$I$9,T4:T9)</f>
        <v>164615</v>
      </c>
      <c r="U10" s="128">
        <f t="shared" si="5"/>
        <v>60840</v>
      </c>
      <c r="V10" s="20">
        <f t="shared" ref="V10:AH10" si="6">SUMPRODUCT($I$4:$I$9,V4:V9)</f>
        <v>0</v>
      </c>
      <c r="W10" s="20">
        <f t="shared" si="6"/>
        <v>0</v>
      </c>
      <c r="X10" s="20">
        <f t="shared" si="6"/>
        <v>0</v>
      </c>
      <c r="Y10" s="20">
        <f t="shared" si="6"/>
        <v>0</v>
      </c>
      <c r="Z10" s="20">
        <f t="shared" si="6"/>
        <v>0</v>
      </c>
      <c r="AA10" s="20">
        <f t="shared" si="6"/>
        <v>0</v>
      </c>
      <c r="AB10" s="20">
        <f t="shared" si="6"/>
        <v>0</v>
      </c>
      <c r="AC10" s="20">
        <f t="shared" si="6"/>
        <v>0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0</v>
      </c>
      <c r="AH10" s="20">
        <f t="shared" si="6"/>
        <v>0</v>
      </c>
    </row>
    <row r="11" spans="1:34" x14ac:dyDescent="0.25">
      <c r="J11" s="59">
        <f>SUMPRODUCT($I$4:$I$9,J4:J9)</f>
        <v>635944.19999999995</v>
      </c>
      <c r="K11" s="59">
        <f>SUMPRODUCT($I$4:$I$9,K4:K9)</f>
        <v>225455</v>
      </c>
      <c r="L11" s="59">
        <f>SUMPRODUCT($I$4:$I$9,L4:L9)</f>
        <v>225455</v>
      </c>
    </row>
    <row r="13" spans="1:34" x14ac:dyDescent="0.25">
      <c r="B13" s="148" t="s">
        <v>60</v>
      </c>
      <c r="C13" s="149"/>
      <c r="D13" s="149"/>
      <c r="E13" s="149"/>
      <c r="F13" s="149"/>
      <c r="G13" s="149"/>
      <c r="H13" s="149"/>
      <c r="I13" s="150"/>
    </row>
    <row r="14" spans="1:34" x14ac:dyDescent="0.25">
      <c r="B14" s="134" t="s">
        <v>63</v>
      </c>
      <c r="C14" s="135"/>
      <c r="D14" s="135"/>
      <c r="E14" s="135"/>
      <c r="F14" s="135"/>
      <c r="G14" s="135"/>
      <c r="H14" s="135"/>
      <c r="I14" s="136"/>
    </row>
    <row r="15" spans="1:34" x14ac:dyDescent="0.25">
      <c r="B15" s="134" t="s">
        <v>62</v>
      </c>
      <c r="C15" s="135"/>
      <c r="D15" s="135"/>
      <c r="E15" s="135"/>
      <c r="F15" s="135"/>
      <c r="G15" s="135"/>
      <c r="H15" s="135"/>
      <c r="I15" s="136"/>
    </row>
    <row r="16" spans="1:34" x14ac:dyDescent="0.25">
      <c r="B16" s="131" t="s">
        <v>61</v>
      </c>
      <c r="C16" s="132"/>
      <c r="D16" s="132"/>
      <c r="E16" s="132"/>
      <c r="F16" s="132"/>
      <c r="G16" s="132"/>
      <c r="H16" s="132"/>
      <c r="I16" s="133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V4:AH9">
    <cfRule type="cellIs" dxfId="25" priority="4" operator="greaterThan">
      <formula>0</formula>
    </cfRule>
    <cfRule type="cellIs" dxfId="24" priority="5" operator="greaterThan">
      <formula>0</formula>
    </cfRule>
    <cfRule type="cellIs" dxfId="23" priority="6" operator="greaterThan">
      <formula>1</formula>
    </cfRule>
  </conditionalFormatting>
  <conditionalFormatting sqref="T4:U9">
    <cfRule type="cellIs" dxfId="22" priority="1" operator="greaterThan">
      <formula>0</formula>
    </cfRule>
    <cfRule type="cellIs" dxfId="21" priority="2" operator="greaterThan">
      <formula>0</formula>
    </cfRule>
    <cfRule type="cellIs" dxfId="20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8B600-D7C2-422C-9BDB-338142E96701}">
  <sheetPr>
    <tabColor rgb="FFFFFF00"/>
  </sheetPr>
  <dimension ref="A1:AH16"/>
  <sheetViews>
    <sheetView zoomScale="80" zoomScaleNormal="80" workbookViewId="0">
      <selection activeCell="M4" sqref="M4"/>
    </sheetView>
  </sheetViews>
  <sheetFormatPr defaultColWidth="9.7109375" defaultRowHeight="15" x14ac:dyDescent="0.25"/>
  <cols>
    <col min="1" max="1" width="8" style="1" customWidth="1"/>
    <col min="2" max="2" width="34.42578125" style="1" customWidth="1"/>
    <col min="3" max="3" width="22.5703125" style="9" customWidth="1"/>
    <col min="4" max="4" width="14.7109375" style="9" customWidth="1"/>
    <col min="5" max="5" width="10.28515625" style="9" customWidth="1"/>
    <col min="6" max="6" width="12.85546875" style="1" bestFit="1" customWidth="1"/>
    <col min="7" max="7" width="16.28515625" style="1" bestFit="1" customWidth="1"/>
    <col min="8" max="8" width="12.85546875" style="1" customWidth="1"/>
    <col min="9" max="9" width="15.7109375" style="14" bestFit="1" customWidth="1"/>
    <col min="10" max="17" width="13.28515625" style="5" customWidth="1"/>
    <col min="18" max="18" width="13.28515625" style="10" customWidth="1"/>
    <col min="19" max="19" width="12.5703125" style="4" customWidth="1"/>
    <col min="20" max="20" width="14.85546875" style="2" bestFit="1" customWidth="1"/>
    <col min="21" max="24" width="13.7109375" style="2" customWidth="1"/>
    <col min="25" max="25" width="13.85546875" style="2" customWidth="1"/>
    <col min="26" max="34" width="13.7109375" style="2" customWidth="1"/>
    <col min="35" max="16384" width="9.7109375" style="2"/>
  </cols>
  <sheetData>
    <row r="1" spans="1:34" ht="54" customHeight="1" x14ac:dyDescent="0.25">
      <c r="A1" s="143" t="s">
        <v>26</v>
      </c>
      <c r="B1" s="144"/>
      <c r="C1" s="145" t="s">
        <v>24</v>
      </c>
      <c r="D1" s="146"/>
      <c r="E1" s="146"/>
      <c r="F1" s="146"/>
      <c r="G1" s="146"/>
      <c r="H1" s="146"/>
      <c r="I1" s="147"/>
      <c r="J1" s="140" t="s">
        <v>25</v>
      </c>
      <c r="K1" s="141"/>
      <c r="L1" s="141"/>
      <c r="M1" s="141"/>
      <c r="N1" s="141"/>
      <c r="O1" s="141"/>
      <c r="P1" s="141"/>
      <c r="Q1" s="141"/>
      <c r="R1" s="141"/>
      <c r="S1" s="142"/>
      <c r="T1" s="152" t="s">
        <v>138</v>
      </c>
      <c r="U1" s="151" t="s">
        <v>22</v>
      </c>
      <c r="V1" s="151" t="s">
        <v>22</v>
      </c>
      <c r="W1" s="151" t="s">
        <v>22</v>
      </c>
      <c r="X1" s="151" t="s">
        <v>22</v>
      </c>
      <c r="Y1" s="151" t="s">
        <v>22</v>
      </c>
      <c r="Z1" s="151" t="s">
        <v>22</v>
      </c>
      <c r="AA1" s="151" t="s">
        <v>22</v>
      </c>
      <c r="AB1" s="151" t="s">
        <v>22</v>
      </c>
      <c r="AC1" s="151" t="s">
        <v>22</v>
      </c>
      <c r="AD1" s="151" t="s">
        <v>22</v>
      </c>
      <c r="AE1" s="151" t="s">
        <v>22</v>
      </c>
      <c r="AF1" s="151" t="s">
        <v>22</v>
      </c>
      <c r="AG1" s="151" t="s">
        <v>22</v>
      </c>
      <c r="AH1" s="151" t="s">
        <v>22</v>
      </c>
    </row>
    <row r="2" spans="1:34" ht="27" customHeight="1" x14ac:dyDescent="0.25">
      <c r="A2" s="145" t="s">
        <v>72</v>
      </c>
      <c r="B2" s="146"/>
      <c r="C2" s="146"/>
      <c r="D2" s="146"/>
      <c r="E2" s="146"/>
      <c r="F2" s="146"/>
      <c r="G2" s="146"/>
      <c r="H2" s="146"/>
      <c r="I2" s="147"/>
      <c r="J2" s="137" t="s">
        <v>59</v>
      </c>
      <c r="K2" s="138"/>
      <c r="L2" s="138"/>
      <c r="M2" s="138"/>
      <c r="N2" s="138"/>
      <c r="O2" s="138"/>
      <c r="P2" s="138"/>
      <c r="Q2" s="138"/>
      <c r="R2" s="138"/>
      <c r="S2" s="139"/>
      <c r="T2" s="152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s="3" customFormat="1" ht="60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3" t="s">
        <v>0</v>
      </c>
      <c r="S3" s="6" t="s">
        <v>2</v>
      </c>
      <c r="T3" s="50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64" t="s">
        <v>91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16</f>
        <v>16</v>
      </c>
      <c r="K4" s="54">
        <f>IF(SUM(T4:AK4)&gt;J4+M4,J4,SUM(T4:AK4))</f>
        <v>16</v>
      </c>
      <c r="L4" s="55">
        <f>(SUM(T4:AK4))</f>
        <v>16</v>
      </c>
      <c r="M4" s="56">
        <v>-6</v>
      </c>
      <c r="N4" s="57">
        <f>ROUND(IF(J4*0.25-0.5&lt;0,0,J4*0.25-0.5),0)-Q4-O4</f>
        <v>4</v>
      </c>
      <c r="O4" s="56"/>
      <c r="P4" s="56"/>
      <c r="Q4" s="56"/>
      <c r="R4" s="58">
        <f>J4-(SUM(T4:AC4))+M4</f>
        <v>-6</v>
      </c>
      <c r="S4" s="24" t="str">
        <f t="shared" ref="S4:S9" si="0">IF(R4&lt;0,"ATENÇÃO","OK")</f>
        <v>ATENÇÃO</v>
      </c>
      <c r="T4" s="26">
        <v>16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0</v>
      </c>
      <c r="K5" s="54">
        <f t="shared" ref="K5:K9" si="1">IF(SUM(T5:AK5)&gt;J5+M5,J5,SUM(T5:AK5))</f>
        <v>0</v>
      </c>
      <c r="L5" s="55">
        <f t="shared" ref="L5:L9" si="2">(SUM(T5:AK5))</f>
        <v>0</v>
      </c>
      <c r="M5" s="56"/>
      <c r="N5" s="57">
        <f t="shared" ref="N5:N9" si="3">ROUND(IF(J5*0.25-0.5&lt;0,0,J5*0.25-0.5),0)-Q5-O5</f>
        <v>0</v>
      </c>
      <c r="O5" s="56"/>
      <c r="P5" s="56"/>
      <c r="Q5" s="56"/>
      <c r="R5" s="58">
        <f t="shared" ref="R5:R9" si="4">J5-(SUM(T5:AC5))+M5</f>
        <v>0</v>
      </c>
      <c r="S5" s="24" t="str">
        <f t="shared" si="0"/>
        <v>OK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25">
        <v>16</v>
      </c>
      <c r="K6" s="54">
        <f t="shared" si="1"/>
        <v>16</v>
      </c>
      <c r="L6" s="55">
        <f t="shared" si="2"/>
        <v>16</v>
      </c>
      <c r="M6" s="56"/>
      <c r="N6" s="57">
        <f t="shared" si="3"/>
        <v>4</v>
      </c>
      <c r="O6" s="56"/>
      <c r="P6" s="56"/>
      <c r="Q6" s="56"/>
      <c r="R6" s="58">
        <f t="shared" si="4"/>
        <v>0</v>
      </c>
      <c r="S6" s="24" t="str">
        <f t="shared" si="0"/>
        <v>OK</v>
      </c>
      <c r="T6" s="26">
        <v>16</v>
      </c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2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0</v>
      </c>
      <c r="K7" s="54">
        <f t="shared" si="1"/>
        <v>0</v>
      </c>
      <c r="L7" s="55">
        <f t="shared" si="2"/>
        <v>0</v>
      </c>
      <c r="M7" s="56"/>
      <c r="N7" s="57">
        <f t="shared" si="3"/>
        <v>0</v>
      </c>
      <c r="O7" s="56"/>
      <c r="P7" s="56"/>
      <c r="Q7" s="56"/>
      <c r="R7" s="58">
        <f t="shared" si="4"/>
        <v>0</v>
      </c>
      <c r="S7" s="24" t="str">
        <f t="shared" si="0"/>
        <v>OK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30</v>
      </c>
      <c r="K8" s="54">
        <f t="shared" si="1"/>
        <v>0</v>
      </c>
      <c r="L8" s="55">
        <f t="shared" si="2"/>
        <v>0</v>
      </c>
      <c r="M8" s="56"/>
      <c r="N8" s="57">
        <f t="shared" si="3"/>
        <v>7</v>
      </c>
      <c r="O8" s="56"/>
      <c r="P8" s="56"/>
      <c r="Q8" s="56"/>
      <c r="R8" s="58">
        <f t="shared" si="4"/>
        <v>30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2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4">
        <f t="shared" si="1"/>
        <v>0</v>
      </c>
      <c r="L9" s="55">
        <f t="shared" si="2"/>
        <v>0</v>
      </c>
      <c r="M9" s="56"/>
      <c r="N9" s="57">
        <f t="shared" si="3"/>
        <v>0</v>
      </c>
      <c r="O9" s="56"/>
      <c r="P9" s="56"/>
      <c r="Q9" s="56"/>
      <c r="R9" s="58">
        <f t="shared" si="4"/>
        <v>0</v>
      </c>
      <c r="S9" s="24" t="str">
        <f t="shared" si="0"/>
        <v>OK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25">
      <c r="J10" s="5">
        <f>SUM(J4:J9)</f>
        <v>62</v>
      </c>
      <c r="R10" s="5">
        <f>SUM(R4:R9)</f>
        <v>24</v>
      </c>
      <c r="T10" s="128">
        <f t="shared" ref="T10" si="5">SUMPRODUCT($I$4:$I$9,T4:T9)</f>
        <v>153361.12</v>
      </c>
      <c r="U10" s="20">
        <f t="shared" ref="U10:AH10" si="6">SUMPRODUCT($I$4:$I$9,U4:U9)</f>
        <v>0</v>
      </c>
      <c r="V10" s="20">
        <f t="shared" si="6"/>
        <v>0</v>
      </c>
      <c r="W10" s="20">
        <f t="shared" si="6"/>
        <v>0</v>
      </c>
      <c r="X10" s="20">
        <f t="shared" si="6"/>
        <v>0</v>
      </c>
      <c r="Y10" s="20">
        <f t="shared" si="6"/>
        <v>0</v>
      </c>
      <c r="Z10" s="20">
        <f t="shared" si="6"/>
        <v>0</v>
      </c>
      <c r="AA10" s="20">
        <f t="shared" si="6"/>
        <v>0</v>
      </c>
      <c r="AB10" s="20">
        <f t="shared" si="6"/>
        <v>0</v>
      </c>
      <c r="AC10" s="20">
        <f t="shared" si="6"/>
        <v>0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0</v>
      </c>
      <c r="AH10" s="20">
        <f t="shared" si="6"/>
        <v>0</v>
      </c>
    </row>
    <row r="11" spans="1:34" x14ac:dyDescent="0.25">
      <c r="J11" s="59">
        <f>SUMPRODUCT($I$4:$I$9,J4:J9)</f>
        <v>342511.12</v>
      </c>
      <c r="K11" s="59">
        <f>SUMPRODUCT($I$4:$I$9,K4:K9)</f>
        <v>153361.12</v>
      </c>
      <c r="L11" s="59">
        <f>SUMPRODUCT($I$4:$I$9,L4:L9)</f>
        <v>153361.12</v>
      </c>
    </row>
    <row r="13" spans="1:34" x14ac:dyDescent="0.25">
      <c r="B13" s="148" t="s">
        <v>60</v>
      </c>
      <c r="C13" s="149"/>
      <c r="D13" s="149"/>
      <c r="E13" s="149"/>
      <c r="F13" s="149"/>
      <c r="G13" s="149"/>
      <c r="H13" s="149"/>
      <c r="I13" s="150"/>
    </row>
    <row r="14" spans="1:34" x14ac:dyDescent="0.25">
      <c r="B14" s="134" t="s">
        <v>63</v>
      </c>
      <c r="C14" s="135"/>
      <c r="D14" s="135"/>
      <c r="E14" s="135"/>
      <c r="F14" s="135"/>
      <c r="G14" s="135"/>
      <c r="H14" s="135"/>
      <c r="I14" s="136"/>
    </row>
    <row r="15" spans="1:34" x14ac:dyDescent="0.25">
      <c r="B15" s="134" t="s">
        <v>62</v>
      </c>
      <c r="C15" s="135"/>
      <c r="D15" s="135"/>
      <c r="E15" s="135"/>
      <c r="F15" s="135"/>
      <c r="G15" s="135"/>
      <c r="H15" s="135"/>
      <c r="I15" s="136"/>
    </row>
    <row r="16" spans="1:34" x14ac:dyDescent="0.25">
      <c r="B16" s="131" t="s">
        <v>61</v>
      </c>
      <c r="C16" s="132"/>
      <c r="D16" s="132"/>
      <c r="E16" s="132"/>
      <c r="F16" s="132"/>
      <c r="G16" s="132"/>
      <c r="H16" s="132"/>
      <c r="I16" s="133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U4:AH9">
    <cfRule type="cellIs" dxfId="19" priority="4" operator="greaterThan">
      <formula>0</formula>
    </cfRule>
    <cfRule type="cellIs" dxfId="18" priority="5" operator="greaterThan">
      <formula>0</formula>
    </cfRule>
    <cfRule type="cellIs" dxfId="17" priority="6" operator="greaterThan">
      <formula>1</formula>
    </cfRule>
  </conditionalFormatting>
  <conditionalFormatting sqref="T4:T9">
    <cfRule type="cellIs" dxfId="16" priority="1" operator="greaterThan">
      <formula>0</formula>
    </cfRule>
    <cfRule type="cellIs" dxfId="15" priority="2" operator="greaterThan">
      <formula>0</formula>
    </cfRule>
    <cfRule type="cellIs" dxfId="14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9381-9485-44AC-98F2-4390C6408BF5}">
  <dimension ref="A1:AH16"/>
  <sheetViews>
    <sheetView zoomScale="50" zoomScaleNormal="50" workbookViewId="0">
      <selection activeCell="M4" sqref="M4"/>
    </sheetView>
  </sheetViews>
  <sheetFormatPr defaultColWidth="9.7109375" defaultRowHeight="15" x14ac:dyDescent="0.25"/>
  <cols>
    <col min="1" max="1" width="8" style="1" customWidth="1"/>
    <col min="2" max="2" width="34.42578125" style="1" customWidth="1"/>
    <col min="3" max="3" width="22.5703125" style="9" customWidth="1"/>
    <col min="4" max="4" width="14.7109375" style="9" customWidth="1"/>
    <col min="5" max="5" width="10.28515625" style="9" customWidth="1"/>
    <col min="6" max="6" width="12.85546875" style="1" bestFit="1" customWidth="1"/>
    <col min="7" max="7" width="16.28515625" style="1" bestFit="1" customWidth="1"/>
    <col min="8" max="8" width="12.85546875" style="1" customWidth="1"/>
    <col min="9" max="9" width="15.7109375" style="14" bestFit="1" customWidth="1"/>
    <col min="10" max="17" width="13.28515625" style="5" customWidth="1"/>
    <col min="18" max="18" width="13.28515625" style="10" customWidth="1"/>
    <col min="19" max="19" width="12.5703125" style="4" customWidth="1"/>
    <col min="20" max="24" width="13.7109375" style="2" customWidth="1"/>
    <col min="25" max="25" width="13.85546875" style="2" customWidth="1"/>
    <col min="26" max="34" width="13.7109375" style="2" customWidth="1"/>
    <col min="35" max="16384" width="9.7109375" style="2"/>
  </cols>
  <sheetData>
    <row r="1" spans="1:34" ht="54" customHeight="1" x14ac:dyDescent="0.25">
      <c r="A1" s="143" t="s">
        <v>26</v>
      </c>
      <c r="B1" s="144"/>
      <c r="C1" s="145" t="s">
        <v>24</v>
      </c>
      <c r="D1" s="146"/>
      <c r="E1" s="146"/>
      <c r="F1" s="146"/>
      <c r="G1" s="146"/>
      <c r="H1" s="146"/>
      <c r="I1" s="147"/>
      <c r="J1" s="140" t="s">
        <v>25</v>
      </c>
      <c r="K1" s="141"/>
      <c r="L1" s="141"/>
      <c r="M1" s="141"/>
      <c r="N1" s="141"/>
      <c r="O1" s="141"/>
      <c r="P1" s="141"/>
      <c r="Q1" s="141"/>
      <c r="R1" s="141"/>
      <c r="S1" s="142"/>
      <c r="T1" s="151" t="s">
        <v>22</v>
      </c>
      <c r="U1" s="151" t="s">
        <v>22</v>
      </c>
      <c r="V1" s="151" t="s">
        <v>22</v>
      </c>
      <c r="W1" s="151" t="s">
        <v>22</v>
      </c>
      <c r="X1" s="151" t="s">
        <v>22</v>
      </c>
      <c r="Y1" s="151" t="s">
        <v>22</v>
      </c>
      <c r="Z1" s="151" t="s">
        <v>22</v>
      </c>
      <c r="AA1" s="151" t="s">
        <v>22</v>
      </c>
      <c r="AB1" s="151" t="s">
        <v>22</v>
      </c>
      <c r="AC1" s="151" t="s">
        <v>22</v>
      </c>
      <c r="AD1" s="151" t="s">
        <v>22</v>
      </c>
      <c r="AE1" s="151" t="s">
        <v>22</v>
      </c>
      <c r="AF1" s="151" t="s">
        <v>22</v>
      </c>
      <c r="AG1" s="151" t="s">
        <v>22</v>
      </c>
      <c r="AH1" s="151" t="s">
        <v>22</v>
      </c>
    </row>
    <row r="2" spans="1:34" ht="27" customHeight="1" x14ac:dyDescent="0.25">
      <c r="A2" s="145" t="s">
        <v>73</v>
      </c>
      <c r="B2" s="146"/>
      <c r="C2" s="146"/>
      <c r="D2" s="146"/>
      <c r="E2" s="146"/>
      <c r="F2" s="146"/>
      <c r="G2" s="146"/>
      <c r="H2" s="146"/>
      <c r="I2" s="147"/>
      <c r="J2" s="137" t="s">
        <v>59</v>
      </c>
      <c r="K2" s="138"/>
      <c r="L2" s="138"/>
      <c r="M2" s="138"/>
      <c r="N2" s="138"/>
      <c r="O2" s="138"/>
      <c r="P2" s="138"/>
      <c r="Q2" s="138"/>
      <c r="R2" s="138"/>
      <c r="S2" s="139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 s="3" customFormat="1" ht="75" x14ac:dyDescent="0.2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3" t="s">
        <v>0</v>
      </c>
      <c r="S3" s="6" t="s">
        <v>2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25">
      <c r="A4" s="22">
        <v>1</v>
      </c>
      <c r="B4" s="29" t="s">
        <v>30</v>
      </c>
      <c r="C4" s="19" t="s">
        <v>31</v>
      </c>
      <c r="D4" s="19" t="s">
        <v>40</v>
      </c>
      <c r="E4" s="64" t="s">
        <v>91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23</f>
        <v>23</v>
      </c>
      <c r="K4" s="54">
        <f>IF(SUM(T4:AK4)&gt;J4+M4,J4,SUM(T4:AK4))</f>
        <v>0</v>
      </c>
      <c r="L4" s="55">
        <f>(SUM(T4:AK4))</f>
        <v>0</v>
      </c>
      <c r="M4" s="56">
        <v>-20</v>
      </c>
      <c r="N4" s="57">
        <f>ROUND(IF(J4*0.25-0.5&lt;0,0,J4*0.25-0.5),0)-Q4-O4</f>
        <v>5</v>
      </c>
      <c r="O4" s="56"/>
      <c r="P4" s="56"/>
      <c r="Q4" s="56"/>
      <c r="R4" s="58">
        <f>J4-(SUM(T4:AC4))+M4</f>
        <v>3</v>
      </c>
      <c r="S4" s="24" t="str">
        <f t="shared" ref="S4:S9" si="0">IF(R4&lt;0,"ATENÇÃO","OK")</f>
        <v>OK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2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30</v>
      </c>
      <c r="K5" s="54">
        <f t="shared" ref="K5:K9" si="1">IF(SUM(T5:AK5)&gt;J5+M5,J5,SUM(T5:AK5))</f>
        <v>0</v>
      </c>
      <c r="L5" s="55">
        <f t="shared" ref="L5:L9" si="2">(SUM(T5:AK5))</f>
        <v>0</v>
      </c>
      <c r="M5" s="56"/>
      <c r="N5" s="57">
        <f t="shared" ref="N5:N9" si="3">ROUND(IF(J5*0.25-0.5&lt;0,0,J5*0.25-0.5),0)-Q5-O5</f>
        <v>7</v>
      </c>
      <c r="O5" s="56"/>
      <c r="P5" s="56"/>
      <c r="Q5" s="56"/>
      <c r="R5" s="58">
        <f t="shared" ref="R5:R9" si="4">J5-(SUM(T5:AC5))+M5</f>
        <v>30</v>
      </c>
      <c r="S5" s="24" t="str">
        <f t="shared" si="0"/>
        <v>OK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2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20">
        <v>5570.07</v>
      </c>
      <c r="J6" s="25">
        <v>6</v>
      </c>
      <c r="K6" s="54">
        <f t="shared" si="1"/>
        <v>0</v>
      </c>
      <c r="L6" s="55">
        <f t="shared" si="2"/>
        <v>0</v>
      </c>
      <c r="M6" s="56"/>
      <c r="N6" s="57">
        <f t="shared" si="3"/>
        <v>1</v>
      </c>
      <c r="O6" s="56"/>
      <c r="P6" s="56"/>
      <c r="Q6" s="56"/>
      <c r="R6" s="58">
        <f t="shared" si="4"/>
        <v>6</v>
      </c>
      <c r="S6" s="24" t="str">
        <f t="shared" si="0"/>
        <v>OK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2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2</v>
      </c>
      <c r="K7" s="54">
        <f t="shared" si="1"/>
        <v>0</v>
      </c>
      <c r="L7" s="55">
        <f t="shared" si="2"/>
        <v>0</v>
      </c>
      <c r="M7" s="56"/>
      <c r="N7" s="57">
        <f t="shared" si="3"/>
        <v>0</v>
      </c>
      <c r="O7" s="56"/>
      <c r="P7" s="56"/>
      <c r="Q7" s="56"/>
      <c r="R7" s="58">
        <f t="shared" si="4"/>
        <v>2</v>
      </c>
      <c r="S7" s="24" t="str">
        <f t="shared" si="0"/>
        <v>OK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2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4">
        <f t="shared" si="1"/>
        <v>0</v>
      </c>
      <c r="L8" s="55">
        <f t="shared" si="2"/>
        <v>0</v>
      </c>
      <c r="M8" s="56"/>
      <c r="N8" s="57">
        <f t="shared" si="3"/>
        <v>0</v>
      </c>
      <c r="O8" s="56"/>
      <c r="P8" s="56"/>
      <c r="Q8" s="56"/>
      <c r="R8" s="58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2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4">
        <f t="shared" si="1"/>
        <v>0</v>
      </c>
      <c r="L9" s="55">
        <f t="shared" si="2"/>
        <v>0</v>
      </c>
      <c r="M9" s="56"/>
      <c r="N9" s="57">
        <f t="shared" si="3"/>
        <v>0</v>
      </c>
      <c r="O9" s="56"/>
      <c r="P9" s="56"/>
      <c r="Q9" s="56"/>
      <c r="R9" s="58">
        <f t="shared" si="4"/>
        <v>0</v>
      </c>
      <c r="S9" s="24" t="str">
        <f t="shared" si="0"/>
        <v>OK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25">
      <c r="J10" s="5">
        <f>SUM(J4:J9)</f>
        <v>61</v>
      </c>
      <c r="R10" s="5">
        <f>SUM(R4:R9)</f>
        <v>41</v>
      </c>
      <c r="T10" s="20">
        <f t="shared" ref="T10:AH10" si="5">SUMPRODUCT($I$4:$I$9,T4:T9)</f>
        <v>0</v>
      </c>
      <c r="U10" s="20">
        <f t="shared" si="5"/>
        <v>0</v>
      </c>
      <c r="V10" s="20">
        <f t="shared" si="5"/>
        <v>0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5"/>
        <v>0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25">
      <c r="J11" s="59">
        <f>SUMPRODUCT($I$4:$I$9,J4:J9)</f>
        <v>189605.41999999998</v>
      </c>
      <c r="K11" s="59">
        <f>SUMPRODUCT($I$4:$I$9,K4:K9)</f>
        <v>0</v>
      </c>
      <c r="L11" s="59">
        <f>SUMPRODUCT($I$4:$I$9,L4:L9)</f>
        <v>0</v>
      </c>
    </row>
    <row r="13" spans="1:34" x14ac:dyDescent="0.25">
      <c r="B13" s="148" t="s">
        <v>60</v>
      </c>
      <c r="C13" s="149"/>
      <c r="D13" s="149"/>
      <c r="E13" s="149"/>
      <c r="F13" s="149"/>
      <c r="G13" s="149"/>
      <c r="H13" s="149"/>
      <c r="I13" s="150"/>
    </row>
    <row r="14" spans="1:34" x14ac:dyDescent="0.25">
      <c r="B14" s="134" t="s">
        <v>63</v>
      </c>
      <c r="C14" s="135"/>
      <c r="D14" s="135"/>
      <c r="E14" s="135"/>
      <c r="F14" s="135"/>
      <c r="G14" s="135"/>
      <c r="H14" s="135"/>
      <c r="I14" s="136"/>
    </row>
    <row r="15" spans="1:34" x14ac:dyDescent="0.25">
      <c r="B15" s="134" t="s">
        <v>62</v>
      </c>
      <c r="C15" s="135"/>
      <c r="D15" s="135"/>
      <c r="E15" s="135"/>
      <c r="F15" s="135"/>
      <c r="G15" s="135"/>
      <c r="H15" s="135"/>
      <c r="I15" s="136"/>
    </row>
    <row r="16" spans="1:34" x14ac:dyDescent="0.25">
      <c r="B16" s="131" t="s">
        <v>61</v>
      </c>
      <c r="C16" s="132"/>
      <c r="D16" s="132"/>
      <c r="E16" s="132"/>
      <c r="F16" s="132"/>
      <c r="G16" s="132"/>
      <c r="H16" s="132"/>
      <c r="I16" s="133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T4:AH9">
    <cfRule type="cellIs" dxfId="13" priority="1" operator="greaterThan">
      <formula>0</formula>
    </cfRule>
    <cfRule type="cellIs" dxfId="12" priority="2" operator="greaterThan">
      <formula>0</formula>
    </cfRule>
    <cfRule type="cellIs" dxfId="11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REITORIA-SETIC</vt:lpstr>
      <vt:lpstr>FAED</vt:lpstr>
      <vt:lpstr>CEAD</vt:lpstr>
      <vt:lpstr>CEFID</vt:lpstr>
      <vt:lpstr>CERES</vt:lpstr>
      <vt:lpstr>CESFI</vt:lpstr>
      <vt:lpstr>CCT</vt:lpstr>
      <vt:lpstr>CEAVI</vt:lpstr>
      <vt:lpstr>CAV</vt:lpstr>
      <vt:lpstr>CESMO</vt:lpstr>
      <vt:lpstr>CEO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2025-04-14T21:46:12Z</dcterms:modified>
</cp:coreProperties>
</file>