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1. Atas UDESC\VIGÊNCIA EXPIRADA\2025 PROCESSSO ENCERRADOS\PE 1755.2023 SRP SGPE 51233.2023 - Serviços Gráficos - VIG 19.02.2025\"/>
    </mc:Choice>
  </mc:AlternateContent>
  <xr:revisionPtr revIDLastSave="0" documentId="13_ncr:1_{EB5A3924-AD04-4B4F-A74E-2517374EB735}" xr6:coauthVersionLast="47" xr6:coauthVersionMax="47" xr10:uidLastSave="{00000000-0000-0000-0000-000000000000}"/>
  <bookViews>
    <workbookView xWindow="-120" yWindow="-120" windowWidth="29040" windowHeight="15720" tabRatio="784" firstSheet="1" activeTab="18" xr2:uid="{00000000-000D-0000-FFFF-FFFF00000000}"/>
  </bookViews>
  <sheets>
    <sheet name="Reitoria-PROEX" sheetId="195" r:id="rId1"/>
    <sheet name="Reitoria-SECOM" sheetId="163" r:id="rId2"/>
    <sheet name="Reitoria-SCII" sheetId="190" r:id="rId3"/>
    <sheet name="Reitoria-BU" sheetId="194" r:id="rId4"/>
    <sheet name="MUSEU" sheetId="196" r:id="rId5"/>
    <sheet name="ESAG" sheetId="197" r:id="rId6"/>
    <sheet name="CEART" sheetId="198" r:id="rId7"/>
    <sheet name="FAED" sheetId="199" r:id="rId8"/>
    <sheet name="CEAD" sheetId="201" r:id="rId9"/>
    <sheet name="CEFID" sheetId="203" r:id="rId10"/>
    <sheet name="CAV" sheetId="204" r:id="rId11"/>
    <sheet name="CEO" sheetId="205" r:id="rId12"/>
    <sheet name="CEPLAN" sheetId="206" r:id="rId13"/>
    <sheet name="CEAVI" sheetId="207" r:id="rId14"/>
    <sheet name="CCT" sheetId="208" r:id="rId15"/>
    <sheet name="CERES" sheetId="209" r:id="rId16"/>
    <sheet name="CESFI" sheetId="210" r:id="rId17"/>
    <sheet name="CESMO" sheetId="211" r:id="rId18"/>
    <sheet name="GESTOR " sheetId="212" r:id="rId19"/>
  </sheets>
  <definedNames>
    <definedName name="_xlnm._FilterDatabase" localSheetId="8" hidden="1">CEAD!$A$3:$AH$34</definedName>
    <definedName name="_xlnm._FilterDatabase" localSheetId="6" hidden="1">CEART!$A$3:$AM$34</definedName>
    <definedName name="_xlnm._FilterDatabase" localSheetId="13" hidden="1">CEAVI!$A$3:$AM$34</definedName>
    <definedName name="_xlnm._FilterDatabase" localSheetId="11" hidden="1">CEO!$A$3:$AW$34</definedName>
    <definedName name="_xlnm._FilterDatabase" localSheetId="3" hidden="1">'Reitoria-BU'!$A$3:$AI$34</definedName>
    <definedName name="_xlnm._FilterDatabase" localSheetId="0" hidden="1">'Reitoria-PROEX'!$A$3:$AI$33</definedName>
    <definedName name="_xlnm._FilterDatabase" localSheetId="1" hidden="1">'Reitoria-SECOM'!$A$3:$AL$34</definedName>
    <definedName name="_PE1451">OFFSET(#REF!,(MATCH(SMALL(#REF!,ROW()-10),#REF!,0)-1),0)</definedName>
    <definedName name="diasuteis">#REF!</definedName>
    <definedName name="Ferias">#REF!</definedName>
    <definedName name="RD">OFFSET(#REF!,(MATCH(SMALL(#REF!,ROW()-10),#REF!,0)-1),0)</definedName>
    <definedName name="tes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207" l="1"/>
  <c r="N24" i="163"/>
  <c r="N31" i="198"/>
  <c r="N31" i="197"/>
  <c r="P24" i="212"/>
  <c r="Y33" i="211"/>
  <c r="AE33" i="204" l="1"/>
  <c r="AG33" i="204"/>
  <c r="AF33" i="204"/>
  <c r="AD33" i="204"/>
  <c r="AC33" i="204"/>
  <c r="U33" i="205" l="1"/>
  <c r="V33" i="205"/>
  <c r="W33" i="205"/>
  <c r="X33" i="205"/>
  <c r="Y33" i="205"/>
  <c r="Z33" i="205"/>
  <c r="AA33" i="205"/>
  <c r="AB33" i="205"/>
  <c r="AC33" i="205"/>
  <c r="AD33" i="205"/>
  <c r="AE33" i="205"/>
  <c r="AF33" i="205"/>
  <c r="AG33" i="205"/>
  <c r="AH33" i="205"/>
  <c r="AI33" i="205"/>
  <c r="AJ33" i="205"/>
  <c r="AK33" i="205"/>
  <c r="AL33" i="205"/>
  <c r="AM33" i="205"/>
  <c r="AN33" i="205"/>
  <c r="AO33" i="205"/>
  <c r="AP33" i="205"/>
  <c r="AQ33" i="205"/>
  <c r="AR33" i="205"/>
  <c r="AS33" i="205"/>
  <c r="AT33" i="205"/>
  <c r="AU33" i="205"/>
  <c r="AV33" i="205"/>
  <c r="M4" i="207" l="1"/>
  <c r="S4" i="207" s="1"/>
  <c r="AL33" i="207"/>
  <c r="AK33" i="207"/>
  <c r="AJ33" i="207"/>
  <c r="AI33" i="207"/>
  <c r="AH33" i="207"/>
  <c r="AG33" i="207"/>
  <c r="AF33" i="207"/>
  <c r="AE33" i="207"/>
  <c r="AD33" i="207"/>
  <c r="AC33" i="207"/>
  <c r="AB33" i="207"/>
  <c r="AA33" i="207"/>
  <c r="V33" i="206" l="1"/>
  <c r="W33" i="206"/>
  <c r="X33" i="206"/>
  <c r="Y33" i="206"/>
  <c r="Z33" i="206"/>
  <c r="AA33" i="206"/>
  <c r="AB33" i="206"/>
  <c r="AC33" i="206"/>
  <c r="AD33" i="206"/>
  <c r="AE33" i="206"/>
  <c r="AF33" i="206"/>
  <c r="AG33" i="206"/>
  <c r="AH33" i="206"/>
  <c r="AI33" i="206"/>
  <c r="U33" i="206"/>
  <c r="V33" i="208" l="1"/>
  <c r="W33" i="208"/>
  <c r="X33" i="208"/>
  <c r="Y33" i="208"/>
  <c r="Z33" i="208"/>
  <c r="AA33" i="208"/>
  <c r="AB33" i="208"/>
  <c r="AC33" i="208"/>
  <c r="AD33" i="208"/>
  <c r="AE33" i="208"/>
  <c r="AF33" i="208"/>
  <c r="AG33" i="208"/>
  <c r="AH33" i="208"/>
  <c r="AI33" i="208"/>
  <c r="AJ33" i="208"/>
  <c r="AK33" i="208"/>
  <c r="U33" i="208"/>
  <c r="V33" i="210" l="1"/>
  <c r="W33" i="210"/>
  <c r="X33" i="210"/>
  <c r="Y33" i="210"/>
  <c r="Z33" i="210"/>
  <c r="AA33" i="210"/>
  <c r="AB33" i="210"/>
  <c r="AC33" i="210"/>
  <c r="AD33" i="210"/>
  <c r="AE33" i="210"/>
  <c r="AF33" i="210"/>
  <c r="AG33" i="210"/>
  <c r="AH33" i="210"/>
  <c r="AI33" i="210"/>
  <c r="U33" i="210"/>
  <c r="V33" i="209" l="1"/>
  <c r="W33" i="209"/>
  <c r="X33" i="209"/>
  <c r="Y33" i="209"/>
  <c r="Z33" i="209"/>
  <c r="AA33" i="209"/>
  <c r="AB33" i="209"/>
  <c r="AC33" i="209"/>
  <c r="AD33" i="209"/>
  <c r="AE33" i="209"/>
  <c r="AF33" i="209"/>
  <c r="AG33" i="209"/>
  <c r="AH33" i="209"/>
  <c r="AI33" i="209"/>
  <c r="U33" i="209"/>
  <c r="V33" i="203" l="1"/>
  <c r="W33" i="203"/>
  <c r="X33" i="203"/>
  <c r="Y33" i="203"/>
  <c r="Z33" i="203"/>
  <c r="AA33" i="203"/>
  <c r="AB33" i="203"/>
  <c r="AC33" i="203"/>
  <c r="AD33" i="203"/>
  <c r="AE33" i="203"/>
  <c r="AF33" i="203"/>
  <c r="AG33" i="203"/>
  <c r="AH33" i="203"/>
  <c r="AI33" i="203"/>
  <c r="AJ33" i="203"/>
  <c r="AK33" i="203"/>
  <c r="AL33" i="203"/>
  <c r="AM33" i="203"/>
  <c r="AN33" i="203"/>
  <c r="AO33" i="203"/>
  <c r="AP33" i="203"/>
  <c r="AQ33" i="203"/>
  <c r="AR33" i="203"/>
  <c r="AS33" i="203"/>
  <c r="U33" i="203"/>
  <c r="S33" i="199" l="1"/>
  <c r="V33" i="199"/>
  <c r="W33" i="199"/>
  <c r="X33" i="199"/>
  <c r="Y33" i="199"/>
  <c r="Z33" i="199"/>
  <c r="AA33" i="199"/>
  <c r="AB33" i="199"/>
  <c r="AC33" i="199"/>
  <c r="AD33" i="199"/>
  <c r="AE33" i="199"/>
  <c r="AF33" i="199"/>
  <c r="AG33" i="199"/>
  <c r="AH33" i="199"/>
  <c r="AI33" i="199"/>
  <c r="U33" i="199"/>
  <c r="S4" i="199"/>
  <c r="S33" i="201" l="1"/>
  <c r="AL33" i="198" l="1"/>
  <c r="AK33" i="198"/>
  <c r="AJ33" i="198"/>
  <c r="AI33" i="198"/>
  <c r="AH33" i="198"/>
  <c r="AG33" i="198"/>
  <c r="AF33" i="198"/>
  <c r="M4" i="198"/>
  <c r="S4" i="198" s="1"/>
  <c r="L4" i="198"/>
  <c r="AE33" i="198"/>
  <c r="AD33" i="198"/>
  <c r="AC33" i="198"/>
  <c r="AB33" i="198"/>
  <c r="AA33" i="198"/>
  <c r="Z33" i="198"/>
  <c r="Y33" i="198"/>
  <c r="X33" i="198"/>
  <c r="AA33" i="197" l="1"/>
  <c r="Z33" i="197"/>
  <c r="Y33" i="197"/>
  <c r="N27" i="163" l="1"/>
  <c r="N13" i="163" l="1"/>
  <c r="N32" i="163"/>
  <c r="N25" i="163"/>
  <c r="N23" i="163"/>
  <c r="N24" i="205"/>
  <c r="AL33" i="163"/>
  <c r="N18" i="198"/>
  <c r="N18" i="203"/>
  <c r="N17" i="198" l="1"/>
  <c r="N26" i="163"/>
  <c r="N28" i="163"/>
  <c r="N26" i="207" l="1"/>
  <c r="N7" i="163"/>
  <c r="N27" i="203"/>
  <c r="N24" i="197"/>
  <c r="N13" i="197"/>
  <c r="N26" i="194"/>
  <c r="AI33" i="163"/>
  <c r="AJ33" i="163"/>
  <c r="AK33" i="163"/>
  <c r="K24" i="211"/>
  <c r="K32" i="210"/>
  <c r="N31" i="210"/>
  <c r="L31" i="210" s="1"/>
  <c r="K31" i="210"/>
  <c r="N23" i="210"/>
  <c r="S23" i="210" s="1"/>
  <c r="K23" i="210"/>
  <c r="N14" i="210"/>
  <c r="K14" i="210"/>
  <c r="K13" i="210"/>
  <c r="N8" i="210"/>
  <c r="K8" i="210"/>
  <c r="K5" i="210"/>
  <c r="K27" i="209"/>
  <c r="K17" i="209"/>
  <c r="K33" i="209" s="1"/>
  <c r="K6" i="209"/>
  <c r="K28" i="208"/>
  <c r="K27" i="208"/>
  <c r="K24" i="208"/>
  <c r="K23" i="208"/>
  <c r="K13" i="208"/>
  <c r="K30" i="207"/>
  <c r="K26" i="207"/>
  <c r="O26" i="207" s="1"/>
  <c r="K24" i="207"/>
  <c r="K5" i="207"/>
  <c r="O5" i="207" s="1"/>
  <c r="K24" i="206"/>
  <c r="K21" i="206"/>
  <c r="N10" i="206"/>
  <c r="K10" i="206"/>
  <c r="K8" i="206"/>
  <c r="K6" i="206"/>
  <c r="K24" i="205"/>
  <c r="K21" i="205"/>
  <c r="O21" i="205" s="1"/>
  <c r="K10" i="205"/>
  <c r="K10" i="212" s="1"/>
  <c r="K6" i="205"/>
  <c r="O6" i="205" s="1"/>
  <c r="K30" i="204"/>
  <c r="K28" i="204"/>
  <c r="K33" i="204" s="1"/>
  <c r="N32" i="203"/>
  <c r="K32" i="203"/>
  <c r="K31" i="203"/>
  <c r="O31" i="203" s="1"/>
  <c r="K29" i="203"/>
  <c r="O29" i="203" s="1"/>
  <c r="K27" i="203"/>
  <c r="O27" i="203" s="1"/>
  <c r="K23" i="203"/>
  <c r="N14" i="203"/>
  <c r="K14" i="203"/>
  <c r="O14" i="203" s="1"/>
  <c r="K11" i="203"/>
  <c r="O11" i="203" s="1"/>
  <c r="N29" i="201"/>
  <c r="K29" i="201"/>
  <c r="N27" i="201"/>
  <c r="K27" i="201"/>
  <c r="K31" i="199"/>
  <c r="K10" i="199"/>
  <c r="K8" i="199"/>
  <c r="K33" i="199" s="1"/>
  <c r="K31" i="198"/>
  <c r="K24" i="198"/>
  <c r="O24" i="198" s="1"/>
  <c r="K23" i="198"/>
  <c r="K17" i="198"/>
  <c r="O17" i="198" s="1"/>
  <c r="K8" i="198"/>
  <c r="K31" i="197"/>
  <c r="K24" i="197"/>
  <c r="K21" i="197"/>
  <c r="K13" i="197"/>
  <c r="K8" i="197"/>
  <c r="K13" i="196"/>
  <c r="K26" i="194"/>
  <c r="K21" i="194"/>
  <c r="K32" i="163"/>
  <c r="K28" i="163"/>
  <c r="O28" i="163" s="1"/>
  <c r="K27" i="163"/>
  <c r="K26" i="163"/>
  <c r="O26" i="163" s="1"/>
  <c r="K25" i="163"/>
  <c r="K25" i="212" s="1"/>
  <c r="K24" i="163"/>
  <c r="K23" i="163"/>
  <c r="O23" i="163" s="1"/>
  <c r="K13" i="163"/>
  <c r="O13" i="163" s="1"/>
  <c r="K11" i="163"/>
  <c r="O11" i="163" s="1"/>
  <c r="K6" i="163"/>
  <c r="K25" i="195"/>
  <c r="K33" i="195" s="1"/>
  <c r="K23" i="195"/>
  <c r="K34" i="195" s="1"/>
  <c r="K13" i="195"/>
  <c r="K8" i="195"/>
  <c r="O5" i="212"/>
  <c r="R5" i="212" s="1"/>
  <c r="O6" i="212"/>
  <c r="R6" i="212" s="1"/>
  <c r="O7" i="212"/>
  <c r="R7" i="212" s="1"/>
  <c r="O8" i="212"/>
  <c r="R8" i="212" s="1"/>
  <c r="O9" i="212"/>
  <c r="R9" i="212" s="1"/>
  <c r="O10" i="212"/>
  <c r="R10" i="212" s="1"/>
  <c r="O11" i="212"/>
  <c r="R11" i="212" s="1"/>
  <c r="O12" i="212"/>
  <c r="R12" i="212" s="1"/>
  <c r="O13" i="212"/>
  <c r="R13" i="212" s="1"/>
  <c r="O14" i="212"/>
  <c r="R14" i="212" s="1"/>
  <c r="O15" i="212"/>
  <c r="O16" i="212"/>
  <c r="O17" i="212"/>
  <c r="R17" i="212" s="1"/>
  <c r="O18" i="212"/>
  <c r="R18" i="212" s="1"/>
  <c r="O19" i="212"/>
  <c r="R19" i="212" s="1"/>
  <c r="O20" i="212"/>
  <c r="R20" i="212" s="1"/>
  <c r="O21" i="212"/>
  <c r="R21" i="212" s="1"/>
  <c r="O22" i="212"/>
  <c r="O23" i="212"/>
  <c r="R23" i="212" s="1"/>
  <c r="O24" i="212"/>
  <c r="R24" i="212" s="1"/>
  <c r="O25" i="212"/>
  <c r="R25" i="212" s="1"/>
  <c r="O26" i="212"/>
  <c r="R26" i="212" s="1"/>
  <c r="O27" i="212"/>
  <c r="R27" i="212" s="1"/>
  <c r="O28" i="212"/>
  <c r="R28" i="212" s="1"/>
  <c r="O29" i="212"/>
  <c r="R29" i="212" s="1"/>
  <c r="O30" i="212"/>
  <c r="R30" i="212" s="1"/>
  <c r="O31" i="212"/>
  <c r="R31" i="212" s="1"/>
  <c r="O32" i="212"/>
  <c r="R32" i="212" s="1"/>
  <c r="O4" i="212"/>
  <c r="R4" i="212" s="1"/>
  <c r="K7" i="212"/>
  <c r="K9" i="212"/>
  <c r="K12" i="212"/>
  <c r="K14" i="212"/>
  <c r="K15" i="212"/>
  <c r="K16" i="212"/>
  <c r="K18" i="212"/>
  <c r="K19" i="212"/>
  <c r="K20" i="212"/>
  <c r="K22" i="212"/>
  <c r="K34" i="211"/>
  <c r="K33" i="211"/>
  <c r="K34" i="209"/>
  <c r="K34" i="208"/>
  <c r="K34" i="204"/>
  <c r="K34" i="199"/>
  <c r="M34" i="196"/>
  <c r="K34" i="196"/>
  <c r="K33" i="196"/>
  <c r="K33" i="194"/>
  <c r="M34" i="190"/>
  <c r="K34" i="190"/>
  <c r="K33" i="190"/>
  <c r="M34" i="195"/>
  <c r="O32" i="211"/>
  <c r="M32" i="211"/>
  <c r="S32" i="211" s="1"/>
  <c r="L32" i="211"/>
  <c r="O31" i="211"/>
  <c r="M31" i="211"/>
  <c r="S31" i="211" s="1"/>
  <c r="L31" i="211"/>
  <c r="O30" i="211"/>
  <c r="M30" i="211"/>
  <c r="S30" i="211" s="1"/>
  <c r="L30" i="211"/>
  <c r="O29" i="211"/>
  <c r="M29" i="211"/>
  <c r="S29" i="211" s="1"/>
  <c r="L29" i="211"/>
  <c r="O28" i="211"/>
  <c r="M28" i="211"/>
  <c r="S28" i="211" s="1"/>
  <c r="L28" i="211"/>
  <c r="S27" i="211"/>
  <c r="O27" i="211"/>
  <c r="M27" i="211"/>
  <c r="L27" i="211"/>
  <c r="O26" i="211"/>
  <c r="M26" i="211"/>
  <c r="S26" i="211" s="1"/>
  <c r="L26" i="211"/>
  <c r="O25" i="211"/>
  <c r="M25" i="211"/>
  <c r="S25" i="211" s="1"/>
  <c r="L25" i="211"/>
  <c r="O24" i="211"/>
  <c r="M24" i="211"/>
  <c r="S24" i="211" s="1"/>
  <c r="L24" i="211"/>
  <c r="O23" i="211"/>
  <c r="M23" i="211"/>
  <c r="S23" i="211" s="1"/>
  <c r="L23" i="211"/>
  <c r="O22" i="211"/>
  <c r="M22" i="211"/>
  <c r="S22" i="211" s="1"/>
  <c r="L22" i="211"/>
  <c r="S21" i="211"/>
  <c r="O21" i="211"/>
  <c r="M21" i="211"/>
  <c r="L21" i="211"/>
  <c r="O20" i="211"/>
  <c r="M20" i="211"/>
  <c r="S20" i="211" s="1"/>
  <c r="L20" i="211"/>
  <c r="O19" i="211"/>
  <c r="M19" i="211"/>
  <c r="S19" i="211" s="1"/>
  <c r="L19" i="211"/>
  <c r="O18" i="211"/>
  <c r="M18" i="211"/>
  <c r="S18" i="211" s="1"/>
  <c r="L18" i="211"/>
  <c r="O17" i="211"/>
  <c r="M17" i="211"/>
  <c r="S17" i="211" s="1"/>
  <c r="L17" i="211"/>
  <c r="O16" i="211"/>
  <c r="M16" i="211"/>
  <c r="S16" i="211" s="1"/>
  <c r="L16" i="211"/>
  <c r="S15" i="211"/>
  <c r="O15" i="211"/>
  <c r="M15" i="211"/>
  <c r="L15" i="211"/>
  <c r="O14" i="211"/>
  <c r="M14" i="211"/>
  <c r="S14" i="211" s="1"/>
  <c r="L14" i="211"/>
  <c r="O13" i="211"/>
  <c r="M13" i="211"/>
  <c r="S13" i="211" s="1"/>
  <c r="L13" i="211"/>
  <c r="S12" i="211"/>
  <c r="O12" i="211"/>
  <c r="M12" i="211"/>
  <c r="L12" i="211"/>
  <c r="O11" i="211"/>
  <c r="M11" i="211"/>
  <c r="S11" i="211" s="1"/>
  <c r="L11" i="211"/>
  <c r="O10" i="211"/>
  <c r="M10" i="211"/>
  <c r="S10" i="211" s="1"/>
  <c r="L10" i="211"/>
  <c r="S9" i="211"/>
  <c r="O9" i="211"/>
  <c r="M9" i="211"/>
  <c r="L9" i="211"/>
  <c r="O8" i="211"/>
  <c r="M8" i="211"/>
  <c r="S8" i="211" s="1"/>
  <c r="L8" i="211"/>
  <c r="O7" i="211"/>
  <c r="M7" i="211"/>
  <c r="S7" i="211" s="1"/>
  <c r="L7" i="211"/>
  <c r="O6" i="211"/>
  <c r="M6" i="211"/>
  <c r="S6" i="211" s="1"/>
  <c r="L6" i="211"/>
  <c r="O5" i="211"/>
  <c r="M5" i="211"/>
  <c r="S5" i="211" s="1"/>
  <c r="L5" i="211"/>
  <c r="O4" i="211"/>
  <c r="M4" i="211"/>
  <c r="S4" i="211" s="1"/>
  <c r="L4" i="211"/>
  <c r="M32" i="210"/>
  <c r="L32" i="210"/>
  <c r="S31" i="210"/>
  <c r="O31" i="210"/>
  <c r="M31" i="210"/>
  <c r="O30" i="210"/>
  <c r="M30" i="210"/>
  <c r="S30" i="210" s="1"/>
  <c r="L30" i="210"/>
  <c r="S29" i="210"/>
  <c r="O29" i="210"/>
  <c r="M29" i="210"/>
  <c r="L29" i="210"/>
  <c r="O28" i="210"/>
  <c r="M28" i="210"/>
  <c r="S28" i="210" s="1"/>
  <c r="L28" i="210"/>
  <c r="O27" i="210"/>
  <c r="M27" i="210"/>
  <c r="S27" i="210" s="1"/>
  <c r="L27" i="210"/>
  <c r="S26" i="210"/>
  <c r="O26" i="210"/>
  <c r="M26" i="210"/>
  <c r="L26" i="210"/>
  <c r="S25" i="210"/>
  <c r="O25" i="210"/>
  <c r="M25" i="210"/>
  <c r="L25" i="210"/>
  <c r="O24" i="210"/>
  <c r="M24" i="210"/>
  <c r="S24" i="210" s="1"/>
  <c r="L24" i="210"/>
  <c r="O23" i="210"/>
  <c r="M23" i="210"/>
  <c r="L23" i="210"/>
  <c r="O22" i="210"/>
  <c r="M22" i="210"/>
  <c r="S22" i="210" s="1"/>
  <c r="L22" i="210"/>
  <c r="O21" i="210"/>
  <c r="M21" i="210"/>
  <c r="S21" i="210" s="1"/>
  <c r="L21" i="210"/>
  <c r="S20" i="210"/>
  <c r="O20" i="210"/>
  <c r="M20" i="210"/>
  <c r="L20" i="210"/>
  <c r="S19" i="210"/>
  <c r="O19" i="210"/>
  <c r="M19" i="210"/>
  <c r="L19" i="210"/>
  <c r="O18" i="210"/>
  <c r="M18" i="210"/>
  <c r="S18" i="210" s="1"/>
  <c r="L18" i="210"/>
  <c r="S17" i="210"/>
  <c r="O17" i="210"/>
  <c r="M17" i="210"/>
  <c r="L17" i="210"/>
  <c r="S16" i="210"/>
  <c r="O16" i="210"/>
  <c r="M16" i="210"/>
  <c r="L16" i="210"/>
  <c r="O15" i="210"/>
  <c r="M15" i="210"/>
  <c r="S15" i="210" s="1"/>
  <c r="L15" i="210"/>
  <c r="O14" i="210"/>
  <c r="M14" i="210"/>
  <c r="L14" i="210"/>
  <c r="O13" i="210"/>
  <c r="M13" i="210"/>
  <c r="S13" i="210" s="1"/>
  <c r="O12" i="210"/>
  <c r="M12" i="210"/>
  <c r="S12" i="210" s="1"/>
  <c r="L12" i="210"/>
  <c r="S11" i="210"/>
  <c r="O11" i="210"/>
  <c r="M11" i="210"/>
  <c r="L11" i="210"/>
  <c r="S10" i="210"/>
  <c r="O10" i="210"/>
  <c r="M10" i="210"/>
  <c r="L10" i="210"/>
  <c r="O9" i="210"/>
  <c r="M9" i="210"/>
  <c r="S9" i="210" s="1"/>
  <c r="L9" i="210"/>
  <c r="S8" i="210"/>
  <c r="O8" i="210"/>
  <c r="M8" i="210"/>
  <c r="L8" i="210"/>
  <c r="O7" i="210"/>
  <c r="M7" i="210"/>
  <c r="S7" i="210" s="1"/>
  <c r="L7" i="210"/>
  <c r="O6" i="210"/>
  <c r="M6" i="210"/>
  <c r="S6" i="210" s="1"/>
  <c r="L6" i="210"/>
  <c r="O5" i="210"/>
  <c r="M5" i="210"/>
  <c r="S5" i="210" s="1"/>
  <c r="L5" i="210"/>
  <c r="O4" i="210"/>
  <c r="M4" i="210"/>
  <c r="M34" i="210" s="1"/>
  <c r="L4" i="210"/>
  <c r="S32" i="209"/>
  <c r="O32" i="209"/>
  <c r="M32" i="209"/>
  <c r="L32" i="209"/>
  <c r="O31" i="209"/>
  <c r="M31" i="209"/>
  <c r="S31" i="209" s="1"/>
  <c r="L31" i="209"/>
  <c r="O30" i="209"/>
  <c r="M30" i="209"/>
  <c r="S30" i="209" s="1"/>
  <c r="L30" i="209"/>
  <c r="S29" i="209"/>
  <c r="O29" i="209"/>
  <c r="M29" i="209"/>
  <c r="L29" i="209"/>
  <c r="O28" i="209"/>
  <c r="M28" i="209"/>
  <c r="S28" i="209" s="1"/>
  <c r="L28" i="209"/>
  <c r="O27" i="209"/>
  <c r="M27" i="209"/>
  <c r="S27" i="209" s="1"/>
  <c r="L27" i="209"/>
  <c r="O26" i="209"/>
  <c r="M26" i="209"/>
  <c r="S26" i="209" s="1"/>
  <c r="L26" i="209"/>
  <c r="O25" i="209"/>
  <c r="M25" i="209"/>
  <c r="S25" i="209" s="1"/>
  <c r="L25" i="209"/>
  <c r="O24" i="209"/>
  <c r="M24" i="209"/>
  <c r="S24" i="209" s="1"/>
  <c r="L24" i="209"/>
  <c r="S23" i="209"/>
  <c r="O23" i="209"/>
  <c r="M23" i="209"/>
  <c r="L23" i="209"/>
  <c r="O22" i="209"/>
  <c r="M22" i="209"/>
  <c r="S22" i="209" s="1"/>
  <c r="L22" i="209"/>
  <c r="S21" i="209"/>
  <c r="O21" i="209"/>
  <c r="M21" i="209"/>
  <c r="L21" i="209"/>
  <c r="S20" i="209"/>
  <c r="O20" i="209"/>
  <c r="M20" i="209"/>
  <c r="L20" i="209"/>
  <c r="O19" i="209"/>
  <c r="M19" i="209"/>
  <c r="S19" i="209" s="1"/>
  <c r="L19" i="209"/>
  <c r="S18" i="209"/>
  <c r="O18" i="209"/>
  <c r="M18" i="209"/>
  <c r="L18" i="209"/>
  <c r="O17" i="209"/>
  <c r="M17" i="209"/>
  <c r="S17" i="209" s="1"/>
  <c r="L17" i="209"/>
  <c r="O16" i="209"/>
  <c r="M16" i="209"/>
  <c r="S16" i="209" s="1"/>
  <c r="L16" i="209"/>
  <c r="O15" i="209"/>
  <c r="M15" i="209"/>
  <c r="S15" i="209" s="1"/>
  <c r="L15" i="209"/>
  <c r="S14" i="209"/>
  <c r="O14" i="209"/>
  <c r="M14" i="209"/>
  <c r="L14" i="209"/>
  <c r="O13" i="209"/>
  <c r="M13" i="209"/>
  <c r="S13" i="209" s="1"/>
  <c r="L13" i="209"/>
  <c r="S12" i="209"/>
  <c r="O12" i="209"/>
  <c r="M12" i="209"/>
  <c r="L12" i="209"/>
  <c r="S11" i="209"/>
  <c r="O11" i="209"/>
  <c r="M11" i="209"/>
  <c r="L11" i="209"/>
  <c r="O10" i="209"/>
  <c r="M10" i="209"/>
  <c r="S10" i="209" s="1"/>
  <c r="L10" i="209"/>
  <c r="S9" i="209"/>
  <c r="O9" i="209"/>
  <c r="M9" i="209"/>
  <c r="L9" i="209"/>
  <c r="S8" i="209"/>
  <c r="O8" i="209"/>
  <c r="M8" i="209"/>
  <c r="L8" i="209"/>
  <c r="O7" i="209"/>
  <c r="M7" i="209"/>
  <c r="S7" i="209" s="1"/>
  <c r="L7" i="209"/>
  <c r="O6" i="209"/>
  <c r="M6" i="209"/>
  <c r="S6" i="209" s="1"/>
  <c r="L6" i="209"/>
  <c r="S5" i="209"/>
  <c r="O5" i="209"/>
  <c r="M5" i="209"/>
  <c r="L5" i="209"/>
  <c r="O4" i="209"/>
  <c r="M4" i="209"/>
  <c r="S4" i="209" s="1"/>
  <c r="L4" i="209"/>
  <c r="O32" i="208"/>
  <c r="M32" i="208"/>
  <c r="S32" i="208" s="1"/>
  <c r="L32" i="208"/>
  <c r="O31" i="208"/>
  <c r="M31" i="208"/>
  <c r="S31" i="208" s="1"/>
  <c r="L31" i="208"/>
  <c r="O30" i="208"/>
  <c r="M30" i="208"/>
  <c r="S30" i="208" s="1"/>
  <c r="L30" i="208"/>
  <c r="O29" i="208"/>
  <c r="M29" i="208"/>
  <c r="S29" i="208" s="1"/>
  <c r="L29" i="208"/>
  <c r="O28" i="208"/>
  <c r="M28" i="208"/>
  <c r="S28" i="208" s="1"/>
  <c r="L28" i="208"/>
  <c r="O27" i="208"/>
  <c r="M27" i="208"/>
  <c r="S27" i="208" s="1"/>
  <c r="L27" i="208"/>
  <c r="O26" i="208"/>
  <c r="M26" i="208"/>
  <c r="S26" i="208" s="1"/>
  <c r="L26" i="208"/>
  <c r="O25" i="208"/>
  <c r="M25" i="208"/>
  <c r="S25" i="208" s="1"/>
  <c r="L25" i="208"/>
  <c r="O24" i="208"/>
  <c r="M24" i="208"/>
  <c r="S24" i="208" s="1"/>
  <c r="L24" i="208"/>
  <c r="O23" i="208"/>
  <c r="M23" i="208"/>
  <c r="S23" i="208" s="1"/>
  <c r="L23" i="208"/>
  <c r="O22" i="208"/>
  <c r="M22" i="208"/>
  <c r="S22" i="208" s="1"/>
  <c r="L22" i="208"/>
  <c r="O21" i="208"/>
  <c r="M21" i="208"/>
  <c r="S21" i="208" s="1"/>
  <c r="L21" i="208"/>
  <c r="O20" i="208"/>
  <c r="M20" i="208"/>
  <c r="S20" i="208" s="1"/>
  <c r="L20" i="208"/>
  <c r="O19" i="208"/>
  <c r="M19" i="208"/>
  <c r="S19" i="208" s="1"/>
  <c r="L19" i="208"/>
  <c r="O18" i="208"/>
  <c r="M18" i="208"/>
  <c r="S18" i="208" s="1"/>
  <c r="L18" i="208"/>
  <c r="O17" i="208"/>
  <c r="M17" i="208"/>
  <c r="S17" i="208" s="1"/>
  <c r="L17" i="208"/>
  <c r="O16" i="208"/>
  <c r="M16" i="208"/>
  <c r="S16" i="208" s="1"/>
  <c r="L16" i="208"/>
  <c r="O15" i="208"/>
  <c r="M15" i="208"/>
  <c r="S15" i="208" s="1"/>
  <c r="L15" i="208"/>
  <c r="O14" i="208"/>
  <c r="M14" i="208"/>
  <c r="S14" i="208" s="1"/>
  <c r="L14" i="208"/>
  <c r="O13" i="208"/>
  <c r="M13" i="208"/>
  <c r="S13" i="208" s="1"/>
  <c r="L13" i="208"/>
  <c r="O12" i="208"/>
  <c r="M12" i="208"/>
  <c r="S12" i="208" s="1"/>
  <c r="L12" i="208"/>
  <c r="O11" i="208"/>
  <c r="M11" i="208"/>
  <c r="S11" i="208" s="1"/>
  <c r="L11" i="208"/>
  <c r="O10" i="208"/>
  <c r="M10" i="208"/>
  <c r="S10" i="208" s="1"/>
  <c r="L10" i="208"/>
  <c r="O9" i="208"/>
  <c r="M9" i="208"/>
  <c r="S9" i="208" s="1"/>
  <c r="L9" i="208"/>
  <c r="O8" i="208"/>
  <c r="M8" i="208"/>
  <c r="S8" i="208" s="1"/>
  <c r="L8" i="208"/>
  <c r="O7" i="208"/>
  <c r="M7" i="208"/>
  <c r="S7" i="208" s="1"/>
  <c r="L7" i="208"/>
  <c r="O6" i="208"/>
  <c r="M6" i="208"/>
  <c r="S6" i="208" s="1"/>
  <c r="L6" i="208"/>
  <c r="O5" i="208"/>
  <c r="M5" i="208"/>
  <c r="S5" i="208" s="1"/>
  <c r="L5" i="208"/>
  <c r="O4" i="208"/>
  <c r="M4" i="208"/>
  <c r="S4" i="208" s="1"/>
  <c r="L4" i="208"/>
  <c r="O32" i="207"/>
  <c r="M32" i="207"/>
  <c r="S32" i="207" s="1"/>
  <c r="L32" i="207"/>
  <c r="O31" i="207"/>
  <c r="M31" i="207"/>
  <c r="S31" i="207" s="1"/>
  <c r="L31" i="207"/>
  <c r="O30" i="207"/>
  <c r="M30" i="207"/>
  <c r="S30" i="207" s="1"/>
  <c r="L30" i="207"/>
  <c r="O29" i="207"/>
  <c r="M29" i="207"/>
  <c r="S29" i="207" s="1"/>
  <c r="L29" i="207"/>
  <c r="O28" i="207"/>
  <c r="M28" i="207"/>
  <c r="S28" i="207" s="1"/>
  <c r="L28" i="207"/>
  <c r="O27" i="207"/>
  <c r="M27" i="207"/>
  <c r="S27" i="207" s="1"/>
  <c r="L27" i="207"/>
  <c r="M26" i="207"/>
  <c r="O25" i="207"/>
  <c r="M25" i="207"/>
  <c r="S25" i="207" s="1"/>
  <c r="L25" i="207"/>
  <c r="O24" i="207"/>
  <c r="M24" i="207"/>
  <c r="S24" i="207" s="1"/>
  <c r="L24" i="207"/>
  <c r="O23" i="207"/>
  <c r="M23" i="207"/>
  <c r="S23" i="207" s="1"/>
  <c r="L23" i="207"/>
  <c r="O22" i="207"/>
  <c r="M22" i="207"/>
  <c r="S22" i="207" s="1"/>
  <c r="L22" i="207"/>
  <c r="O21" i="207"/>
  <c r="M21" i="207"/>
  <c r="S21" i="207" s="1"/>
  <c r="L21" i="207"/>
  <c r="O20" i="207"/>
  <c r="M20" i="207"/>
  <c r="S20" i="207" s="1"/>
  <c r="L20" i="207"/>
  <c r="O19" i="207"/>
  <c r="M19" i="207"/>
  <c r="S19" i="207" s="1"/>
  <c r="L19" i="207"/>
  <c r="O18" i="207"/>
  <c r="M18" i="207"/>
  <c r="S18" i="207" s="1"/>
  <c r="L18" i="207"/>
  <c r="O17" i="207"/>
  <c r="M17" i="207"/>
  <c r="S17" i="207" s="1"/>
  <c r="L17" i="207"/>
  <c r="O16" i="207"/>
  <c r="M16" i="207"/>
  <c r="S16" i="207" s="1"/>
  <c r="L16" i="207"/>
  <c r="O15" i="207"/>
  <c r="M15" i="207"/>
  <c r="S15" i="207" s="1"/>
  <c r="L15" i="207"/>
  <c r="O14" i="207"/>
  <c r="M14" i="207"/>
  <c r="S14" i="207" s="1"/>
  <c r="L14" i="207"/>
  <c r="O13" i="207"/>
  <c r="M13" i="207"/>
  <c r="S13" i="207" s="1"/>
  <c r="L13" i="207"/>
  <c r="O12" i="207"/>
  <c r="M12" i="207"/>
  <c r="S12" i="207" s="1"/>
  <c r="L12" i="207"/>
  <c r="O11" i="207"/>
  <c r="M11" i="207"/>
  <c r="S11" i="207" s="1"/>
  <c r="L11" i="207"/>
  <c r="O10" i="207"/>
  <c r="M10" i="207"/>
  <c r="S10" i="207" s="1"/>
  <c r="L10" i="207"/>
  <c r="O9" i="207"/>
  <c r="M9" i="207"/>
  <c r="S9" i="207" s="1"/>
  <c r="L9" i="207"/>
  <c r="O8" i="207"/>
  <c r="M8" i="207"/>
  <c r="S8" i="207" s="1"/>
  <c r="L8" i="207"/>
  <c r="O7" i="207"/>
  <c r="M7" i="207"/>
  <c r="S7" i="207" s="1"/>
  <c r="L7" i="207"/>
  <c r="O6" i="207"/>
  <c r="M6" i="207"/>
  <c r="S6" i="207" s="1"/>
  <c r="L6" i="207"/>
  <c r="M5" i="207"/>
  <c r="S5" i="207" s="1"/>
  <c r="L5" i="207"/>
  <c r="O4" i="207"/>
  <c r="L4" i="207"/>
  <c r="O32" i="206"/>
  <c r="M32" i="206"/>
  <c r="S32" i="206" s="1"/>
  <c r="L32" i="206"/>
  <c r="O31" i="206"/>
  <c r="M31" i="206"/>
  <c r="S31" i="206" s="1"/>
  <c r="L31" i="206"/>
  <c r="O30" i="206"/>
  <c r="M30" i="206"/>
  <c r="S30" i="206" s="1"/>
  <c r="L30" i="206"/>
  <c r="S29" i="206"/>
  <c r="O29" i="206"/>
  <c r="M29" i="206"/>
  <c r="L29" i="206"/>
  <c r="O28" i="206"/>
  <c r="M28" i="206"/>
  <c r="S28" i="206" s="1"/>
  <c r="L28" i="206"/>
  <c r="O27" i="206"/>
  <c r="M27" i="206"/>
  <c r="S27" i="206" s="1"/>
  <c r="L27" i="206"/>
  <c r="O26" i="206"/>
  <c r="M26" i="206"/>
  <c r="S26" i="206" s="1"/>
  <c r="L26" i="206"/>
  <c r="O25" i="206"/>
  <c r="M25" i="206"/>
  <c r="S25" i="206" s="1"/>
  <c r="L25" i="206"/>
  <c r="O24" i="206"/>
  <c r="M24" i="206"/>
  <c r="S24" i="206" s="1"/>
  <c r="L24" i="206"/>
  <c r="O23" i="206"/>
  <c r="M23" i="206"/>
  <c r="S23" i="206" s="1"/>
  <c r="L23" i="206"/>
  <c r="O22" i="206"/>
  <c r="M22" i="206"/>
  <c r="S22" i="206" s="1"/>
  <c r="L22" i="206"/>
  <c r="M21" i="206"/>
  <c r="L21" i="206"/>
  <c r="O20" i="206"/>
  <c r="M20" i="206"/>
  <c r="S20" i="206" s="1"/>
  <c r="L20" i="206"/>
  <c r="O19" i="206"/>
  <c r="M19" i="206"/>
  <c r="S19" i="206" s="1"/>
  <c r="L19" i="206"/>
  <c r="O18" i="206"/>
  <c r="M18" i="206"/>
  <c r="S18" i="206" s="1"/>
  <c r="L18" i="206"/>
  <c r="O17" i="206"/>
  <c r="M17" i="206"/>
  <c r="S17" i="206" s="1"/>
  <c r="L17" i="206"/>
  <c r="S16" i="206"/>
  <c r="O16" i="206"/>
  <c r="M16" i="206"/>
  <c r="L16" i="206"/>
  <c r="O15" i="206"/>
  <c r="M15" i="206"/>
  <c r="S15" i="206" s="1"/>
  <c r="L15" i="206"/>
  <c r="O14" i="206"/>
  <c r="M14" i="206"/>
  <c r="S14" i="206" s="1"/>
  <c r="L14" i="206"/>
  <c r="O13" i="206"/>
  <c r="M13" i="206"/>
  <c r="S13" i="206" s="1"/>
  <c r="L13" i="206"/>
  <c r="O12" i="206"/>
  <c r="M12" i="206"/>
  <c r="S12" i="206" s="1"/>
  <c r="L12" i="206"/>
  <c r="O11" i="206"/>
  <c r="M11" i="206"/>
  <c r="S11" i="206" s="1"/>
  <c r="L11" i="206"/>
  <c r="O10" i="206"/>
  <c r="M10" i="206"/>
  <c r="S10" i="206" s="1"/>
  <c r="L10" i="206"/>
  <c r="O9" i="206"/>
  <c r="M9" i="206"/>
  <c r="S9" i="206" s="1"/>
  <c r="L9" i="206"/>
  <c r="O8" i="206"/>
  <c r="M8" i="206"/>
  <c r="S8" i="206" s="1"/>
  <c r="L8" i="206"/>
  <c r="O7" i="206"/>
  <c r="M7" i="206"/>
  <c r="S7" i="206" s="1"/>
  <c r="L7" i="206"/>
  <c r="O6" i="206"/>
  <c r="M6" i="206"/>
  <c r="S6" i="206" s="1"/>
  <c r="L6" i="206"/>
  <c r="S5" i="206"/>
  <c r="O5" i="206"/>
  <c r="M5" i="206"/>
  <c r="L5" i="206"/>
  <c r="O4" i="206"/>
  <c r="M4" i="206"/>
  <c r="S4" i="206" s="1"/>
  <c r="L4" i="206"/>
  <c r="O32" i="205"/>
  <c r="M32" i="205"/>
  <c r="S32" i="205" s="1"/>
  <c r="L32" i="205"/>
  <c r="O31" i="205"/>
  <c r="M31" i="205"/>
  <c r="S31" i="205" s="1"/>
  <c r="L31" i="205"/>
  <c r="O30" i="205"/>
  <c r="M30" i="205"/>
  <c r="S30" i="205" s="1"/>
  <c r="L30" i="205"/>
  <c r="O29" i="205"/>
  <c r="M29" i="205"/>
  <c r="S29" i="205" s="1"/>
  <c r="L29" i="205"/>
  <c r="O28" i="205"/>
  <c r="M28" i="205"/>
  <c r="S28" i="205" s="1"/>
  <c r="L28" i="205"/>
  <c r="O27" i="205"/>
  <c r="M27" i="205"/>
  <c r="S27" i="205" s="1"/>
  <c r="L27" i="205"/>
  <c r="O26" i="205"/>
  <c r="M26" i="205"/>
  <c r="S26" i="205" s="1"/>
  <c r="L26" i="205"/>
  <c r="O25" i="205"/>
  <c r="M25" i="205"/>
  <c r="S25" i="205" s="1"/>
  <c r="L25" i="205"/>
  <c r="O24" i="205"/>
  <c r="M24" i="205"/>
  <c r="S24" i="205" s="1"/>
  <c r="L24" i="205"/>
  <c r="O23" i="205"/>
  <c r="M23" i="205"/>
  <c r="S23" i="205" s="1"/>
  <c r="L23" i="205"/>
  <c r="O22" i="205"/>
  <c r="M22" i="205"/>
  <c r="S22" i="205" s="1"/>
  <c r="L22" i="205"/>
  <c r="M21" i="205"/>
  <c r="O20" i="205"/>
  <c r="M20" i="205"/>
  <c r="S20" i="205" s="1"/>
  <c r="L20" i="205"/>
  <c r="O19" i="205"/>
  <c r="M19" i="205"/>
  <c r="S19" i="205" s="1"/>
  <c r="L19" i="205"/>
  <c r="O18" i="205"/>
  <c r="M18" i="205"/>
  <c r="S18" i="205" s="1"/>
  <c r="L18" i="205"/>
  <c r="O17" i="205"/>
  <c r="M17" i="205"/>
  <c r="S17" i="205" s="1"/>
  <c r="L17" i="205"/>
  <c r="O16" i="205"/>
  <c r="M16" i="205"/>
  <c r="S16" i="205" s="1"/>
  <c r="L16" i="205"/>
  <c r="O15" i="205"/>
  <c r="M15" i="205"/>
  <c r="S15" i="205" s="1"/>
  <c r="L15" i="205"/>
  <c r="O14" i="205"/>
  <c r="M14" i="205"/>
  <c r="S14" i="205" s="1"/>
  <c r="L14" i="205"/>
  <c r="O13" i="205"/>
  <c r="M13" i="205"/>
  <c r="S13" i="205" s="1"/>
  <c r="L13" i="205"/>
  <c r="O12" i="205"/>
  <c r="M12" i="205"/>
  <c r="S12" i="205" s="1"/>
  <c r="L12" i="205"/>
  <c r="O11" i="205"/>
  <c r="M11" i="205"/>
  <c r="S11" i="205" s="1"/>
  <c r="L11" i="205"/>
  <c r="M10" i="205"/>
  <c r="S10" i="205" s="1"/>
  <c r="L10" i="205"/>
  <c r="O9" i="205"/>
  <c r="M9" i="205"/>
  <c r="S9" i="205" s="1"/>
  <c r="L9" i="205"/>
  <c r="O8" i="205"/>
  <c r="M8" i="205"/>
  <c r="S8" i="205" s="1"/>
  <c r="L8" i="205"/>
  <c r="O7" i="205"/>
  <c r="M7" i="205"/>
  <c r="S7" i="205" s="1"/>
  <c r="L7" i="205"/>
  <c r="M6" i="205"/>
  <c r="L6" i="205"/>
  <c r="O5" i="205"/>
  <c r="M5" i="205"/>
  <c r="S5" i="205" s="1"/>
  <c r="L5" i="205"/>
  <c r="O4" i="205"/>
  <c r="M4" i="205"/>
  <c r="L4" i="205"/>
  <c r="O32" i="204"/>
  <c r="M32" i="204"/>
  <c r="S32" i="204" s="1"/>
  <c r="L32" i="204"/>
  <c r="O31" i="204"/>
  <c r="M31" i="204"/>
  <c r="S31" i="204" s="1"/>
  <c r="L31" i="204"/>
  <c r="O30" i="204"/>
  <c r="M30" i="204"/>
  <c r="S30" i="204" s="1"/>
  <c r="L30" i="204"/>
  <c r="O29" i="204"/>
  <c r="M29" i="204"/>
  <c r="S29" i="204" s="1"/>
  <c r="L29" i="204"/>
  <c r="O28" i="204"/>
  <c r="M28" i="204"/>
  <c r="S28" i="204" s="1"/>
  <c r="L28" i="204"/>
  <c r="O27" i="204"/>
  <c r="M27" i="204"/>
  <c r="S27" i="204" s="1"/>
  <c r="L27" i="204"/>
  <c r="O26" i="204"/>
  <c r="M26" i="204"/>
  <c r="S26" i="204" s="1"/>
  <c r="L26" i="204"/>
  <c r="O25" i="204"/>
  <c r="M25" i="204"/>
  <c r="S25" i="204" s="1"/>
  <c r="L25" i="204"/>
  <c r="O24" i="204"/>
  <c r="M24" i="204"/>
  <c r="S24" i="204" s="1"/>
  <c r="L24" i="204"/>
  <c r="O23" i="204"/>
  <c r="M23" i="204"/>
  <c r="S23" i="204" s="1"/>
  <c r="L23" i="204"/>
  <c r="O22" i="204"/>
  <c r="M22" i="204"/>
  <c r="S22" i="204" s="1"/>
  <c r="L22" i="204"/>
  <c r="O21" i="204"/>
  <c r="M21" i="204"/>
  <c r="S21" i="204" s="1"/>
  <c r="L21" i="204"/>
  <c r="O20" i="204"/>
  <c r="M20" i="204"/>
  <c r="S20" i="204" s="1"/>
  <c r="L20" i="204"/>
  <c r="O19" i="204"/>
  <c r="M19" i="204"/>
  <c r="S19" i="204" s="1"/>
  <c r="L19" i="204"/>
  <c r="O18" i="204"/>
  <c r="M18" i="204"/>
  <c r="S18" i="204" s="1"/>
  <c r="L18" i="204"/>
  <c r="O17" i="204"/>
  <c r="M17" i="204"/>
  <c r="S17" i="204" s="1"/>
  <c r="L17" i="204"/>
  <c r="O16" i="204"/>
  <c r="M16" i="204"/>
  <c r="S16" i="204" s="1"/>
  <c r="L16" i="204"/>
  <c r="O15" i="204"/>
  <c r="M15" i="204"/>
  <c r="S15" i="204" s="1"/>
  <c r="L15" i="204"/>
  <c r="O14" i="204"/>
  <c r="M14" i="204"/>
  <c r="S14" i="204" s="1"/>
  <c r="L14" i="204"/>
  <c r="O13" i="204"/>
  <c r="M13" i="204"/>
  <c r="S13" i="204" s="1"/>
  <c r="L13" i="204"/>
  <c r="O12" i="204"/>
  <c r="M12" i="204"/>
  <c r="S12" i="204" s="1"/>
  <c r="L12" i="204"/>
  <c r="O11" i="204"/>
  <c r="M11" i="204"/>
  <c r="S11" i="204" s="1"/>
  <c r="L11" i="204"/>
  <c r="O10" i="204"/>
  <c r="M10" i="204"/>
  <c r="S10" i="204" s="1"/>
  <c r="L10" i="204"/>
  <c r="O9" i="204"/>
  <c r="M9" i="204"/>
  <c r="S9" i="204" s="1"/>
  <c r="L9" i="204"/>
  <c r="O8" i="204"/>
  <c r="M8" i="204"/>
  <c r="S8" i="204" s="1"/>
  <c r="L8" i="204"/>
  <c r="O7" i="204"/>
  <c r="M7" i="204"/>
  <c r="S7" i="204" s="1"/>
  <c r="L7" i="204"/>
  <c r="O6" i="204"/>
  <c r="M6" i="204"/>
  <c r="S6" i="204" s="1"/>
  <c r="L6" i="204"/>
  <c r="O5" i="204"/>
  <c r="M5" i="204"/>
  <c r="S5" i="204" s="1"/>
  <c r="L5" i="204"/>
  <c r="O4" i="204"/>
  <c r="M4" i="204"/>
  <c r="L4" i="204"/>
  <c r="M32" i="203"/>
  <c r="M31" i="203"/>
  <c r="S31" i="203" s="1"/>
  <c r="L31" i="203"/>
  <c r="O30" i="203"/>
  <c r="M30" i="203"/>
  <c r="S30" i="203" s="1"/>
  <c r="L30" i="203"/>
  <c r="M29" i="203"/>
  <c r="M28" i="203"/>
  <c r="M27" i="203"/>
  <c r="S27" i="203" s="1"/>
  <c r="O26" i="203"/>
  <c r="M26" i="203"/>
  <c r="S26" i="203" s="1"/>
  <c r="L26" i="203"/>
  <c r="O25" i="203"/>
  <c r="M25" i="203"/>
  <c r="S25" i="203" s="1"/>
  <c r="L25" i="203"/>
  <c r="O24" i="203"/>
  <c r="M24" i="203"/>
  <c r="S24" i="203" s="1"/>
  <c r="L24" i="203"/>
  <c r="M23" i="203"/>
  <c r="O22" i="203"/>
  <c r="M22" i="203"/>
  <c r="S22" i="203" s="1"/>
  <c r="L22" i="203"/>
  <c r="O21" i="203"/>
  <c r="M21" i="203"/>
  <c r="S21" i="203" s="1"/>
  <c r="L21" i="203"/>
  <c r="O20" i="203"/>
  <c r="M20" i="203"/>
  <c r="S20" i="203" s="1"/>
  <c r="L20" i="203"/>
  <c r="O19" i="203"/>
  <c r="M19" i="203"/>
  <c r="S19" i="203" s="1"/>
  <c r="L19" i="203"/>
  <c r="O18" i="203"/>
  <c r="M18" i="203"/>
  <c r="S18" i="203" s="1"/>
  <c r="L18" i="203"/>
  <c r="O17" i="203"/>
  <c r="M17" i="203"/>
  <c r="S17" i="203" s="1"/>
  <c r="L17" i="203"/>
  <c r="O16" i="203"/>
  <c r="M16" i="203"/>
  <c r="S16" i="203" s="1"/>
  <c r="L16" i="203"/>
  <c r="O15" i="203"/>
  <c r="M15" i="203"/>
  <c r="S15" i="203" s="1"/>
  <c r="L15" i="203"/>
  <c r="M14" i="203"/>
  <c r="O13" i="203"/>
  <c r="M13" i="203"/>
  <c r="S13" i="203" s="1"/>
  <c r="L13" i="203"/>
  <c r="O12" i="203"/>
  <c r="M12" i="203"/>
  <c r="S12" i="203" s="1"/>
  <c r="L12" i="203"/>
  <c r="M11" i="203"/>
  <c r="O10" i="203"/>
  <c r="M10" i="203"/>
  <c r="S10" i="203" s="1"/>
  <c r="L10" i="203"/>
  <c r="O9" i="203"/>
  <c r="M9" i="203"/>
  <c r="S9" i="203" s="1"/>
  <c r="L9" i="203"/>
  <c r="O8" i="203"/>
  <c r="M8" i="203"/>
  <c r="S8" i="203" s="1"/>
  <c r="L8" i="203"/>
  <c r="O7" i="203"/>
  <c r="M7" i="203"/>
  <c r="S7" i="203" s="1"/>
  <c r="L7" i="203"/>
  <c r="O6" i="203"/>
  <c r="M6" i="203"/>
  <c r="S6" i="203" s="1"/>
  <c r="L6" i="203"/>
  <c r="O5" i="203"/>
  <c r="M5" i="203"/>
  <c r="S5" i="203" s="1"/>
  <c r="L5" i="203"/>
  <c r="O4" i="203"/>
  <c r="M4" i="203"/>
  <c r="S4" i="203" s="1"/>
  <c r="L4" i="203"/>
  <c r="O32" i="201"/>
  <c r="M32" i="201"/>
  <c r="S32" i="201" s="1"/>
  <c r="L32" i="201"/>
  <c r="O31" i="201"/>
  <c r="M31" i="201"/>
  <c r="S31" i="201" s="1"/>
  <c r="L31" i="201"/>
  <c r="M30" i="201"/>
  <c r="M29" i="201"/>
  <c r="M28" i="201"/>
  <c r="O27" i="201"/>
  <c r="M27" i="201"/>
  <c r="S27" i="201" s="1"/>
  <c r="L27" i="201"/>
  <c r="O26" i="201"/>
  <c r="M26" i="201"/>
  <c r="S26" i="201" s="1"/>
  <c r="L26" i="201"/>
  <c r="O25" i="201"/>
  <c r="M25" i="201"/>
  <c r="S25" i="201" s="1"/>
  <c r="L25" i="201"/>
  <c r="O24" i="201"/>
  <c r="M24" i="201"/>
  <c r="S24" i="201" s="1"/>
  <c r="L24" i="201"/>
  <c r="O23" i="201"/>
  <c r="M23" i="201"/>
  <c r="S23" i="201" s="1"/>
  <c r="L23" i="201"/>
  <c r="O22" i="201"/>
  <c r="M22" i="201"/>
  <c r="S22" i="201" s="1"/>
  <c r="L22" i="201"/>
  <c r="O21" i="201"/>
  <c r="M21" i="201"/>
  <c r="S21" i="201" s="1"/>
  <c r="L21" i="201"/>
  <c r="O20" i="201"/>
  <c r="M20" i="201"/>
  <c r="S20" i="201" s="1"/>
  <c r="L20" i="201"/>
  <c r="O19" i="201"/>
  <c r="M19" i="201"/>
  <c r="S19" i="201" s="1"/>
  <c r="L19" i="201"/>
  <c r="O18" i="201"/>
  <c r="M18" i="201"/>
  <c r="S18" i="201" s="1"/>
  <c r="L18" i="201"/>
  <c r="O17" i="201"/>
  <c r="M17" i="201"/>
  <c r="S17" i="201" s="1"/>
  <c r="L17" i="201"/>
  <c r="O16" i="201"/>
  <c r="M16" i="201"/>
  <c r="S16" i="201" s="1"/>
  <c r="L16" i="201"/>
  <c r="O15" i="201"/>
  <c r="M15" i="201"/>
  <c r="S15" i="201" s="1"/>
  <c r="L15" i="201"/>
  <c r="O14" i="201"/>
  <c r="M14" i="201"/>
  <c r="S14" i="201" s="1"/>
  <c r="L14" i="201"/>
  <c r="O13" i="201"/>
  <c r="M13" i="201"/>
  <c r="S13" i="201" s="1"/>
  <c r="L13" i="201"/>
  <c r="O12" i="201"/>
  <c r="M12" i="201"/>
  <c r="S12" i="201" s="1"/>
  <c r="L12" i="201"/>
  <c r="O11" i="201"/>
  <c r="M11" i="201"/>
  <c r="S11" i="201" s="1"/>
  <c r="L11" i="201"/>
  <c r="O10" i="201"/>
  <c r="M10" i="201"/>
  <c r="S10" i="201" s="1"/>
  <c r="L10" i="201"/>
  <c r="O9" i="201"/>
  <c r="M9" i="201"/>
  <c r="S9" i="201" s="1"/>
  <c r="L9" i="201"/>
  <c r="O8" i="201"/>
  <c r="M8" i="201"/>
  <c r="S8" i="201" s="1"/>
  <c r="L8" i="201"/>
  <c r="O7" i="201"/>
  <c r="M7" i="201"/>
  <c r="S7" i="201" s="1"/>
  <c r="L7" i="201"/>
  <c r="O6" i="201"/>
  <c r="M6" i="201"/>
  <c r="S6" i="201" s="1"/>
  <c r="L6" i="201"/>
  <c r="O5" i="201"/>
  <c r="M5" i="201"/>
  <c r="S5" i="201" s="1"/>
  <c r="L5" i="201"/>
  <c r="O4" i="201"/>
  <c r="M4" i="201"/>
  <c r="S4" i="201" s="1"/>
  <c r="L4" i="201"/>
  <c r="O32" i="199"/>
  <c r="M32" i="199"/>
  <c r="S32" i="199" s="1"/>
  <c r="L32" i="199"/>
  <c r="O31" i="199"/>
  <c r="M31" i="199"/>
  <c r="S31" i="199" s="1"/>
  <c r="L31" i="199"/>
  <c r="O30" i="199"/>
  <c r="M30" i="199"/>
  <c r="S30" i="199" s="1"/>
  <c r="L30" i="199"/>
  <c r="O29" i="199"/>
  <c r="M29" i="199"/>
  <c r="S29" i="199" s="1"/>
  <c r="L29" i="199"/>
  <c r="S28" i="199"/>
  <c r="O28" i="199"/>
  <c r="M28" i="199"/>
  <c r="L28" i="199"/>
  <c r="O27" i="199"/>
  <c r="M27" i="199"/>
  <c r="S27" i="199" s="1"/>
  <c r="L27" i="199"/>
  <c r="O26" i="199"/>
  <c r="M26" i="199"/>
  <c r="S26" i="199" s="1"/>
  <c r="L26" i="199"/>
  <c r="O25" i="199"/>
  <c r="M25" i="199"/>
  <c r="S25" i="199" s="1"/>
  <c r="L25" i="199"/>
  <c r="O24" i="199"/>
  <c r="M24" i="199"/>
  <c r="S24" i="199" s="1"/>
  <c r="L24" i="199"/>
  <c r="O23" i="199"/>
  <c r="M23" i="199"/>
  <c r="S23" i="199" s="1"/>
  <c r="L23" i="199"/>
  <c r="O22" i="199"/>
  <c r="M22" i="199"/>
  <c r="S22" i="199" s="1"/>
  <c r="L22" i="199"/>
  <c r="O21" i="199"/>
  <c r="M21" i="199"/>
  <c r="S21" i="199" s="1"/>
  <c r="L21" i="199"/>
  <c r="O20" i="199"/>
  <c r="M20" i="199"/>
  <c r="S20" i="199" s="1"/>
  <c r="L20" i="199"/>
  <c r="O19" i="199"/>
  <c r="M19" i="199"/>
  <c r="S19" i="199" s="1"/>
  <c r="L19" i="199"/>
  <c r="O18" i="199"/>
  <c r="M18" i="199"/>
  <c r="S18" i="199" s="1"/>
  <c r="L18" i="199"/>
  <c r="O17" i="199"/>
  <c r="M17" i="199"/>
  <c r="S17" i="199" s="1"/>
  <c r="L17" i="199"/>
  <c r="O16" i="199"/>
  <c r="M16" i="199"/>
  <c r="S16" i="199" s="1"/>
  <c r="L16" i="199"/>
  <c r="O15" i="199"/>
  <c r="M15" i="199"/>
  <c r="S15" i="199" s="1"/>
  <c r="L15" i="199"/>
  <c r="O14" i="199"/>
  <c r="M14" i="199"/>
  <c r="S14" i="199" s="1"/>
  <c r="L14" i="199"/>
  <c r="O13" i="199"/>
  <c r="M13" i="199"/>
  <c r="S13" i="199" s="1"/>
  <c r="L13" i="199"/>
  <c r="O12" i="199"/>
  <c r="M12" i="199"/>
  <c r="S12" i="199" s="1"/>
  <c r="L12" i="199"/>
  <c r="O11" i="199"/>
  <c r="M11" i="199"/>
  <c r="S11" i="199" s="1"/>
  <c r="L11" i="199"/>
  <c r="O10" i="199"/>
  <c r="M10" i="199"/>
  <c r="S10" i="199" s="1"/>
  <c r="L10" i="199"/>
  <c r="O9" i="199"/>
  <c r="M9" i="199"/>
  <c r="S9" i="199" s="1"/>
  <c r="L9" i="199"/>
  <c r="O8" i="199"/>
  <c r="M8" i="199"/>
  <c r="S8" i="199" s="1"/>
  <c r="L8" i="199"/>
  <c r="O7" i="199"/>
  <c r="M7" i="199"/>
  <c r="S7" i="199" s="1"/>
  <c r="L7" i="199"/>
  <c r="O6" i="199"/>
  <c r="M6" i="199"/>
  <c r="S6" i="199" s="1"/>
  <c r="L6" i="199"/>
  <c r="O5" i="199"/>
  <c r="M5" i="199"/>
  <c r="S5" i="199" s="1"/>
  <c r="L5" i="199"/>
  <c r="O4" i="199"/>
  <c r="M4" i="199"/>
  <c r="L4" i="199"/>
  <c r="O32" i="198"/>
  <c r="M32" i="198"/>
  <c r="S32" i="198" s="1"/>
  <c r="L32" i="198"/>
  <c r="M31" i="198"/>
  <c r="O30" i="198"/>
  <c r="M30" i="198"/>
  <c r="S30" i="198" s="1"/>
  <c r="L30" i="198"/>
  <c r="O29" i="198"/>
  <c r="M29" i="198"/>
  <c r="S29" i="198" s="1"/>
  <c r="L29" i="198"/>
  <c r="O28" i="198"/>
  <c r="M28" i="198"/>
  <c r="S28" i="198" s="1"/>
  <c r="L28" i="198"/>
  <c r="O27" i="198"/>
  <c r="M27" i="198"/>
  <c r="S27" i="198" s="1"/>
  <c r="L27" i="198"/>
  <c r="O26" i="198"/>
  <c r="M26" i="198"/>
  <c r="S26" i="198" s="1"/>
  <c r="L26" i="198"/>
  <c r="O25" i="198"/>
  <c r="M25" i="198"/>
  <c r="S25" i="198" s="1"/>
  <c r="L25" i="198"/>
  <c r="M24" i="198"/>
  <c r="O23" i="198"/>
  <c r="M23" i="198"/>
  <c r="S23" i="198" s="1"/>
  <c r="L23" i="198"/>
  <c r="O22" i="198"/>
  <c r="M22" i="198"/>
  <c r="S22" i="198" s="1"/>
  <c r="L22" i="198"/>
  <c r="O21" i="198"/>
  <c r="M21" i="198"/>
  <c r="S21" i="198" s="1"/>
  <c r="L21" i="198"/>
  <c r="O20" i="198"/>
  <c r="M20" i="198"/>
  <c r="S20" i="198" s="1"/>
  <c r="L20" i="198"/>
  <c r="O19" i="198"/>
  <c r="M19" i="198"/>
  <c r="S19" i="198" s="1"/>
  <c r="L19" i="198"/>
  <c r="O18" i="198"/>
  <c r="M18" i="198"/>
  <c r="S18" i="198" s="1"/>
  <c r="L18" i="198"/>
  <c r="M17" i="198"/>
  <c r="S17" i="198" s="1"/>
  <c r="O16" i="198"/>
  <c r="M16" i="198"/>
  <c r="S16" i="198" s="1"/>
  <c r="L16" i="198"/>
  <c r="O15" i="198"/>
  <c r="M15" i="198"/>
  <c r="S15" i="198" s="1"/>
  <c r="L15" i="198"/>
  <c r="O14" i="198"/>
  <c r="M14" i="198"/>
  <c r="S14" i="198" s="1"/>
  <c r="L14" i="198"/>
  <c r="O13" i="198"/>
  <c r="M13" i="198"/>
  <c r="S13" i="198" s="1"/>
  <c r="L13" i="198"/>
  <c r="O12" i="198"/>
  <c r="M12" i="198"/>
  <c r="S12" i="198" s="1"/>
  <c r="L12" i="198"/>
  <c r="O11" i="198"/>
  <c r="M11" i="198"/>
  <c r="S11" i="198" s="1"/>
  <c r="L11" i="198"/>
  <c r="O10" i="198"/>
  <c r="M10" i="198"/>
  <c r="S10" i="198" s="1"/>
  <c r="L10" i="198"/>
  <c r="O9" i="198"/>
  <c r="M9" i="198"/>
  <c r="S9" i="198" s="1"/>
  <c r="L9" i="198"/>
  <c r="O8" i="198"/>
  <c r="M8" i="198"/>
  <c r="S8" i="198" s="1"/>
  <c r="L8" i="198"/>
  <c r="O7" i="198"/>
  <c r="M7" i="198"/>
  <c r="S7" i="198" s="1"/>
  <c r="L7" i="198"/>
  <c r="O6" i="198"/>
  <c r="M6" i="198"/>
  <c r="S6" i="198" s="1"/>
  <c r="L6" i="198"/>
  <c r="O5" i="198"/>
  <c r="M5" i="198"/>
  <c r="S5" i="198" s="1"/>
  <c r="L5" i="198"/>
  <c r="O4" i="198"/>
  <c r="O32" i="197"/>
  <c r="M32" i="197"/>
  <c r="S32" i="197" s="1"/>
  <c r="L32" i="197"/>
  <c r="O31" i="197"/>
  <c r="M31" i="197"/>
  <c r="S31" i="197" s="1"/>
  <c r="L31" i="197"/>
  <c r="O30" i="197"/>
  <c r="M30" i="197"/>
  <c r="S30" i="197" s="1"/>
  <c r="L30" i="197"/>
  <c r="O29" i="197"/>
  <c r="M29" i="197"/>
  <c r="S29" i="197" s="1"/>
  <c r="L29" i="197"/>
  <c r="O28" i="197"/>
  <c r="M28" i="197"/>
  <c r="S28" i="197" s="1"/>
  <c r="L28" i="197"/>
  <c r="O27" i="197"/>
  <c r="M27" i="197"/>
  <c r="S27" i="197" s="1"/>
  <c r="L27" i="197"/>
  <c r="O26" i="197"/>
  <c r="M26" i="197"/>
  <c r="S26" i="197" s="1"/>
  <c r="L26" i="197"/>
  <c r="O25" i="197"/>
  <c r="M25" i="197"/>
  <c r="S25" i="197" s="1"/>
  <c r="L25" i="197"/>
  <c r="O24" i="197"/>
  <c r="M24" i="197"/>
  <c r="S24" i="197" s="1"/>
  <c r="L24" i="197"/>
  <c r="O23" i="197"/>
  <c r="M23" i="197"/>
  <c r="S23" i="197" s="1"/>
  <c r="L23" i="197"/>
  <c r="O22" i="197"/>
  <c r="M22" i="197"/>
  <c r="S22" i="197" s="1"/>
  <c r="L22" i="197"/>
  <c r="S21" i="197"/>
  <c r="O21" i="197"/>
  <c r="M21" i="197"/>
  <c r="L21" i="197"/>
  <c r="O20" i="197"/>
  <c r="M20" i="197"/>
  <c r="S20" i="197" s="1"/>
  <c r="L20" i="197"/>
  <c r="O19" i="197"/>
  <c r="M19" i="197"/>
  <c r="S19" i="197" s="1"/>
  <c r="L19" i="197"/>
  <c r="S18" i="197"/>
  <c r="O18" i="197"/>
  <c r="M18" i="197"/>
  <c r="L18" i="197"/>
  <c r="O17" i="197"/>
  <c r="M17" i="197"/>
  <c r="S17" i="197" s="1"/>
  <c r="L17" i="197"/>
  <c r="O16" i="197"/>
  <c r="M16" i="197"/>
  <c r="S16" i="197" s="1"/>
  <c r="L16" i="197"/>
  <c r="O15" i="197"/>
  <c r="M15" i="197"/>
  <c r="S15" i="197" s="1"/>
  <c r="L15" i="197"/>
  <c r="O14" i="197"/>
  <c r="M14" i="197"/>
  <c r="S14" i="197" s="1"/>
  <c r="L14" i="197"/>
  <c r="O13" i="197"/>
  <c r="M13" i="197"/>
  <c r="S13" i="197" s="1"/>
  <c r="L13" i="197"/>
  <c r="O12" i="197"/>
  <c r="M12" i="197"/>
  <c r="S12" i="197" s="1"/>
  <c r="L12" i="197"/>
  <c r="O11" i="197"/>
  <c r="M11" i="197"/>
  <c r="S11" i="197" s="1"/>
  <c r="L11" i="197"/>
  <c r="O10" i="197"/>
  <c r="M10" i="197"/>
  <c r="S10" i="197" s="1"/>
  <c r="L10" i="197"/>
  <c r="O9" i="197"/>
  <c r="M9" i="197"/>
  <c r="S9" i="197" s="1"/>
  <c r="L9" i="197"/>
  <c r="O8" i="197"/>
  <c r="M8" i="197"/>
  <c r="S8" i="197" s="1"/>
  <c r="L8" i="197"/>
  <c r="O7" i="197"/>
  <c r="M7" i="197"/>
  <c r="S7" i="197" s="1"/>
  <c r="L7" i="197"/>
  <c r="S6" i="197"/>
  <c r="O6" i="197"/>
  <c r="M6" i="197"/>
  <c r="L6" i="197"/>
  <c r="O5" i="197"/>
  <c r="M5" i="197"/>
  <c r="S5" i="197" s="1"/>
  <c r="L5" i="197"/>
  <c r="O4" i="197"/>
  <c r="M4" i="197"/>
  <c r="S4" i="197" s="1"/>
  <c r="L4" i="197"/>
  <c r="O32" i="196"/>
  <c r="M32" i="196"/>
  <c r="S32" i="196" s="1"/>
  <c r="L32" i="196"/>
  <c r="S31" i="196"/>
  <c r="O31" i="196"/>
  <c r="M31" i="196"/>
  <c r="L31" i="196"/>
  <c r="O30" i="196"/>
  <c r="M30" i="196"/>
  <c r="S30" i="196" s="1"/>
  <c r="L30" i="196"/>
  <c r="O29" i="196"/>
  <c r="M29" i="196"/>
  <c r="S29" i="196" s="1"/>
  <c r="L29" i="196"/>
  <c r="S28" i="196"/>
  <c r="O28" i="196"/>
  <c r="M28" i="196"/>
  <c r="L28" i="196"/>
  <c r="O27" i="196"/>
  <c r="M27" i="196"/>
  <c r="S27" i="196" s="1"/>
  <c r="L27" i="196"/>
  <c r="O26" i="196"/>
  <c r="M26" i="196"/>
  <c r="S26" i="196" s="1"/>
  <c r="L26" i="196"/>
  <c r="S25" i="196"/>
  <c r="O25" i="196"/>
  <c r="M25" i="196"/>
  <c r="L25" i="196"/>
  <c r="O24" i="196"/>
  <c r="M24" i="196"/>
  <c r="S24" i="196" s="1"/>
  <c r="L24" i="196"/>
  <c r="O23" i="196"/>
  <c r="M23" i="196"/>
  <c r="S23" i="196" s="1"/>
  <c r="L23" i="196"/>
  <c r="S22" i="196"/>
  <c r="O22" i="196"/>
  <c r="M22" i="196"/>
  <c r="L22" i="196"/>
  <c r="O21" i="196"/>
  <c r="M21" i="196"/>
  <c r="S21" i="196" s="1"/>
  <c r="L21" i="196"/>
  <c r="O20" i="196"/>
  <c r="M20" i="196"/>
  <c r="S20" i="196" s="1"/>
  <c r="L20" i="196"/>
  <c r="S19" i="196"/>
  <c r="O19" i="196"/>
  <c r="M19" i="196"/>
  <c r="L19" i="196"/>
  <c r="O18" i="196"/>
  <c r="M18" i="196"/>
  <c r="S18" i="196" s="1"/>
  <c r="L18" i="196"/>
  <c r="O17" i="196"/>
  <c r="M17" i="196"/>
  <c r="S17" i="196" s="1"/>
  <c r="L17" i="196"/>
  <c r="S16" i="196"/>
  <c r="O16" i="196"/>
  <c r="M16" i="196"/>
  <c r="L16" i="196"/>
  <c r="O15" i="196"/>
  <c r="M15" i="196"/>
  <c r="S15" i="196" s="1"/>
  <c r="L15" i="196"/>
  <c r="O14" i="196"/>
  <c r="M14" i="196"/>
  <c r="S14" i="196" s="1"/>
  <c r="L14" i="196"/>
  <c r="S13" i="196"/>
  <c r="O13" i="196"/>
  <c r="M13" i="196"/>
  <c r="L13" i="196"/>
  <c r="L34" i="196" s="1"/>
  <c r="O12" i="196"/>
  <c r="M12" i="196"/>
  <c r="S12" i="196" s="1"/>
  <c r="L12" i="196"/>
  <c r="O11" i="196"/>
  <c r="M11" i="196"/>
  <c r="S11" i="196" s="1"/>
  <c r="L11" i="196"/>
  <c r="S10" i="196"/>
  <c r="O10" i="196"/>
  <c r="M10" i="196"/>
  <c r="L10" i="196"/>
  <c r="O9" i="196"/>
  <c r="M9" i="196"/>
  <c r="S9" i="196" s="1"/>
  <c r="L9" i="196"/>
  <c r="O8" i="196"/>
  <c r="M8" i="196"/>
  <c r="S8" i="196" s="1"/>
  <c r="L8" i="196"/>
  <c r="S7" i="196"/>
  <c r="O7" i="196"/>
  <c r="M7" i="196"/>
  <c r="L7" i="196"/>
  <c r="O6" i="196"/>
  <c r="M6" i="196"/>
  <c r="S6" i="196" s="1"/>
  <c r="L6" i="196"/>
  <c r="O5" i="196"/>
  <c r="M5" i="196"/>
  <c r="S5" i="196" s="1"/>
  <c r="L5" i="196"/>
  <c r="S4" i="196"/>
  <c r="O4" i="196"/>
  <c r="M4" i="196"/>
  <c r="L4" i="196"/>
  <c r="O32" i="194"/>
  <c r="M32" i="194"/>
  <c r="S32" i="194" s="1"/>
  <c r="L32" i="194"/>
  <c r="O31" i="194"/>
  <c r="M31" i="194"/>
  <c r="S31" i="194" s="1"/>
  <c r="L31" i="194"/>
  <c r="O30" i="194"/>
  <c r="M30" i="194"/>
  <c r="S30" i="194" s="1"/>
  <c r="L30" i="194"/>
  <c r="O29" i="194"/>
  <c r="M29" i="194"/>
  <c r="S29" i="194" s="1"/>
  <c r="L29" i="194"/>
  <c r="O28" i="194"/>
  <c r="M28" i="194"/>
  <c r="S28" i="194" s="1"/>
  <c r="L28" i="194"/>
  <c r="O27" i="194"/>
  <c r="M27" i="194"/>
  <c r="S27" i="194" s="1"/>
  <c r="L27" i="194"/>
  <c r="O26" i="194"/>
  <c r="M26" i="194"/>
  <c r="S26" i="194" s="1"/>
  <c r="L26" i="194"/>
  <c r="O25" i="194"/>
  <c r="M25" i="194"/>
  <c r="S25" i="194" s="1"/>
  <c r="L25" i="194"/>
  <c r="O24" i="194"/>
  <c r="M24" i="194"/>
  <c r="S24" i="194" s="1"/>
  <c r="L24" i="194"/>
  <c r="O23" i="194"/>
  <c r="M23" i="194"/>
  <c r="S23" i="194" s="1"/>
  <c r="L23" i="194"/>
  <c r="O22" i="194"/>
  <c r="M22" i="194"/>
  <c r="S22" i="194" s="1"/>
  <c r="L22" i="194"/>
  <c r="O21" i="194"/>
  <c r="M21" i="194"/>
  <c r="S21" i="194" s="1"/>
  <c r="L21" i="194"/>
  <c r="O20" i="194"/>
  <c r="M20" i="194"/>
  <c r="S20" i="194" s="1"/>
  <c r="L20" i="194"/>
  <c r="O19" i="194"/>
  <c r="M19" i="194"/>
  <c r="S19" i="194" s="1"/>
  <c r="L19" i="194"/>
  <c r="O18" i="194"/>
  <c r="M18" i="194"/>
  <c r="S18" i="194" s="1"/>
  <c r="L18" i="194"/>
  <c r="O17" i="194"/>
  <c r="M17" i="194"/>
  <c r="S17" i="194" s="1"/>
  <c r="L17" i="194"/>
  <c r="O16" i="194"/>
  <c r="M16" i="194"/>
  <c r="S16" i="194" s="1"/>
  <c r="L16" i="194"/>
  <c r="O15" i="194"/>
  <c r="M15" i="194"/>
  <c r="S15" i="194" s="1"/>
  <c r="L15" i="194"/>
  <c r="O14" i="194"/>
  <c r="M14" i="194"/>
  <c r="S14" i="194" s="1"/>
  <c r="L14" i="194"/>
  <c r="O13" i="194"/>
  <c r="M13" i="194"/>
  <c r="S13" i="194" s="1"/>
  <c r="L13" i="194"/>
  <c r="O12" i="194"/>
  <c r="M12" i="194"/>
  <c r="S12" i="194" s="1"/>
  <c r="L12" i="194"/>
  <c r="O11" i="194"/>
  <c r="M11" i="194"/>
  <c r="S11" i="194" s="1"/>
  <c r="L11" i="194"/>
  <c r="O10" i="194"/>
  <c r="M10" i="194"/>
  <c r="S10" i="194" s="1"/>
  <c r="L10" i="194"/>
  <c r="O9" i="194"/>
  <c r="M9" i="194"/>
  <c r="S9" i="194" s="1"/>
  <c r="L9" i="194"/>
  <c r="O8" i="194"/>
  <c r="M8" i="194"/>
  <c r="S8" i="194" s="1"/>
  <c r="L8" i="194"/>
  <c r="O7" i="194"/>
  <c r="M7" i="194"/>
  <c r="S7" i="194" s="1"/>
  <c r="L7" i="194"/>
  <c r="O6" i="194"/>
  <c r="M6" i="194"/>
  <c r="S6" i="194" s="1"/>
  <c r="L6" i="194"/>
  <c r="O5" i="194"/>
  <c r="M5" i="194"/>
  <c r="S5" i="194" s="1"/>
  <c r="L5" i="194"/>
  <c r="O4" i="194"/>
  <c r="M4" i="194"/>
  <c r="S4" i="194" s="1"/>
  <c r="L4" i="194"/>
  <c r="O32" i="190"/>
  <c r="M32" i="190"/>
  <c r="S32" i="190" s="1"/>
  <c r="L32" i="190"/>
  <c r="S31" i="190"/>
  <c r="O31" i="190"/>
  <c r="M31" i="190"/>
  <c r="L31" i="190"/>
  <c r="S30" i="190"/>
  <c r="O30" i="190"/>
  <c r="M30" i="190"/>
  <c r="L30" i="190"/>
  <c r="O29" i="190"/>
  <c r="M29" i="190"/>
  <c r="S29" i="190" s="1"/>
  <c r="L29" i="190"/>
  <c r="S28" i="190"/>
  <c r="O28" i="190"/>
  <c r="M28" i="190"/>
  <c r="L28" i="190"/>
  <c r="S27" i="190"/>
  <c r="O27" i="190"/>
  <c r="M27" i="190"/>
  <c r="L27" i="190"/>
  <c r="L34" i="190" s="1"/>
  <c r="O26" i="190"/>
  <c r="M26" i="190"/>
  <c r="S26" i="190" s="1"/>
  <c r="L26" i="190"/>
  <c r="S25" i="190"/>
  <c r="O25" i="190"/>
  <c r="M25" i="190"/>
  <c r="L25" i="190"/>
  <c r="S24" i="190"/>
  <c r="O24" i="190"/>
  <c r="M24" i="190"/>
  <c r="L24" i="190"/>
  <c r="O23" i="190"/>
  <c r="M23" i="190"/>
  <c r="S23" i="190" s="1"/>
  <c r="L23" i="190"/>
  <c r="S22" i="190"/>
  <c r="O22" i="190"/>
  <c r="M22" i="190"/>
  <c r="L22" i="190"/>
  <c r="S21" i="190"/>
  <c r="O21" i="190"/>
  <c r="M21" i="190"/>
  <c r="L21" i="190"/>
  <c r="O20" i="190"/>
  <c r="M20" i="190"/>
  <c r="S20" i="190" s="1"/>
  <c r="L20" i="190"/>
  <c r="S19" i="190"/>
  <c r="O19" i="190"/>
  <c r="M19" i="190"/>
  <c r="L19" i="190"/>
  <c r="S18" i="190"/>
  <c r="O18" i="190"/>
  <c r="M18" i="190"/>
  <c r="L18" i="190"/>
  <c r="O17" i="190"/>
  <c r="M17" i="190"/>
  <c r="S17" i="190" s="1"/>
  <c r="L17" i="190"/>
  <c r="S16" i="190"/>
  <c r="O16" i="190"/>
  <c r="M16" i="190"/>
  <c r="L16" i="190"/>
  <c r="S15" i="190"/>
  <c r="O15" i="190"/>
  <c r="M15" i="190"/>
  <c r="L15" i="190"/>
  <c r="O14" i="190"/>
  <c r="M14" i="190"/>
  <c r="S14" i="190" s="1"/>
  <c r="L14" i="190"/>
  <c r="S13" i="190"/>
  <c r="O13" i="190"/>
  <c r="M13" i="190"/>
  <c r="L13" i="190"/>
  <c r="S12" i="190"/>
  <c r="O12" i="190"/>
  <c r="M12" i="190"/>
  <c r="L12" i="190"/>
  <c r="O11" i="190"/>
  <c r="M11" i="190"/>
  <c r="S11" i="190" s="1"/>
  <c r="L11" i="190"/>
  <c r="S10" i="190"/>
  <c r="O10" i="190"/>
  <c r="M10" i="190"/>
  <c r="L10" i="190"/>
  <c r="S9" i="190"/>
  <c r="O9" i="190"/>
  <c r="M9" i="190"/>
  <c r="L9" i="190"/>
  <c r="O8" i="190"/>
  <c r="M8" i="190"/>
  <c r="S8" i="190" s="1"/>
  <c r="L8" i="190"/>
  <c r="S7" i="190"/>
  <c r="O7" i="190"/>
  <c r="M7" i="190"/>
  <c r="L7" i="190"/>
  <c r="S6" i="190"/>
  <c r="O6" i="190"/>
  <c r="M6" i="190"/>
  <c r="L6" i="190"/>
  <c r="O5" i="190"/>
  <c r="M5" i="190"/>
  <c r="S5" i="190" s="1"/>
  <c r="L5" i="190"/>
  <c r="S4" i="190"/>
  <c r="O4" i="190"/>
  <c r="M4" i="190"/>
  <c r="L4" i="190"/>
  <c r="M32" i="163"/>
  <c r="O31" i="163"/>
  <c r="M31" i="163"/>
  <c r="S31" i="163" s="1"/>
  <c r="L31" i="163"/>
  <c r="O30" i="163"/>
  <c r="M30" i="163"/>
  <c r="S30" i="163" s="1"/>
  <c r="L30" i="163"/>
  <c r="O29" i="163"/>
  <c r="M29" i="163"/>
  <c r="S29" i="163" s="1"/>
  <c r="L29" i="163"/>
  <c r="M28" i="163"/>
  <c r="M27" i="163"/>
  <c r="M26" i="163"/>
  <c r="M25" i="163"/>
  <c r="S25" i="163" s="1"/>
  <c r="O24" i="163"/>
  <c r="M24" i="163"/>
  <c r="M23" i="163"/>
  <c r="O22" i="163"/>
  <c r="M22" i="163"/>
  <c r="S22" i="163" s="1"/>
  <c r="L22" i="163"/>
  <c r="O21" i="163"/>
  <c r="M21" i="163"/>
  <c r="L21" i="163"/>
  <c r="O20" i="163"/>
  <c r="M20" i="163"/>
  <c r="S20" i="163" s="1"/>
  <c r="L20" i="163"/>
  <c r="O19" i="163"/>
  <c r="M19" i="163"/>
  <c r="S19" i="163" s="1"/>
  <c r="L19" i="163"/>
  <c r="O18" i="163"/>
  <c r="M18" i="163"/>
  <c r="L18" i="163"/>
  <c r="O17" i="163"/>
  <c r="M17" i="163"/>
  <c r="S17" i="163" s="1"/>
  <c r="L17" i="163"/>
  <c r="O16" i="163"/>
  <c r="M16" i="163"/>
  <c r="S16" i="163" s="1"/>
  <c r="L16" i="163"/>
  <c r="O15" i="163"/>
  <c r="M15" i="163"/>
  <c r="L15" i="163"/>
  <c r="O14" i="163"/>
  <c r="M14" i="163"/>
  <c r="S14" i="163" s="1"/>
  <c r="L14" i="163"/>
  <c r="M13" i="163"/>
  <c r="O12" i="163"/>
  <c r="M12" i="163"/>
  <c r="L12" i="163"/>
  <c r="M11" i="163"/>
  <c r="L11" i="163"/>
  <c r="O10" i="163"/>
  <c r="M10" i="163"/>
  <c r="S10" i="163" s="1"/>
  <c r="L10" i="163"/>
  <c r="O9" i="163"/>
  <c r="M9" i="163"/>
  <c r="L9" i="163"/>
  <c r="O8" i="163"/>
  <c r="M8" i="163"/>
  <c r="S8" i="163" s="1"/>
  <c r="L8" i="163"/>
  <c r="O7" i="163"/>
  <c r="M7" i="163"/>
  <c r="S7" i="163" s="1"/>
  <c r="L7" i="163"/>
  <c r="M6" i="163"/>
  <c r="O5" i="163"/>
  <c r="M5" i="163"/>
  <c r="S5" i="163" s="1"/>
  <c r="L5" i="163"/>
  <c r="O4" i="163"/>
  <c r="M4" i="163"/>
  <c r="S4" i="163" s="1"/>
  <c r="L4" i="163"/>
  <c r="L5" i="195"/>
  <c r="M5" i="195"/>
  <c r="S5" i="195" s="1"/>
  <c r="O5" i="195"/>
  <c r="L6" i="195"/>
  <c r="M6" i="195"/>
  <c r="S6" i="195" s="1"/>
  <c r="O6" i="195"/>
  <c r="L7" i="195"/>
  <c r="M7" i="195"/>
  <c r="O7" i="195"/>
  <c r="S7" i="195"/>
  <c r="L8" i="195"/>
  <c r="M8" i="195"/>
  <c r="S8" i="195" s="1"/>
  <c r="O8" i="195"/>
  <c r="L9" i="195"/>
  <c r="M9" i="195"/>
  <c r="S9" i="195" s="1"/>
  <c r="O9" i="195"/>
  <c r="L10" i="195"/>
  <c r="M10" i="195"/>
  <c r="O10" i="195"/>
  <c r="S10" i="195"/>
  <c r="L11" i="195"/>
  <c r="M11" i="195"/>
  <c r="S11" i="195" s="1"/>
  <c r="O11" i="195"/>
  <c r="L12" i="195"/>
  <c r="M12" i="195"/>
  <c r="S12" i="195" s="1"/>
  <c r="O12" i="195"/>
  <c r="L13" i="195"/>
  <c r="M13" i="195"/>
  <c r="O13" i="195"/>
  <c r="S13" i="195"/>
  <c r="L14" i="195"/>
  <c r="M14" i="195"/>
  <c r="S14" i="195" s="1"/>
  <c r="O14" i="195"/>
  <c r="L15" i="195"/>
  <c r="M15" i="195"/>
  <c r="S15" i="195" s="1"/>
  <c r="O15" i="195"/>
  <c r="L16" i="195"/>
  <c r="M16" i="195"/>
  <c r="O16" i="195"/>
  <c r="S16" i="195"/>
  <c r="L17" i="195"/>
  <c r="M17" i="195"/>
  <c r="S17" i="195" s="1"/>
  <c r="O17" i="195"/>
  <c r="L18" i="195"/>
  <c r="M18" i="195"/>
  <c r="S18" i="195" s="1"/>
  <c r="O18" i="195"/>
  <c r="L19" i="195"/>
  <c r="M19" i="195"/>
  <c r="O19" i="195"/>
  <c r="S19" i="195"/>
  <c r="L20" i="195"/>
  <c r="M20" i="195"/>
  <c r="S20" i="195" s="1"/>
  <c r="O20" i="195"/>
  <c r="L21" i="195"/>
  <c r="M21" i="195"/>
  <c r="S21" i="195" s="1"/>
  <c r="O21" i="195"/>
  <c r="L22" i="195"/>
  <c r="M22" i="195"/>
  <c r="O22" i="195"/>
  <c r="S22" i="195"/>
  <c r="L23" i="195"/>
  <c r="M23" i="195"/>
  <c r="S23" i="195" s="1"/>
  <c r="O23" i="195"/>
  <c r="L24" i="195"/>
  <c r="M24" i="195"/>
  <c r="S24" i="195" s="1"/>
  <c r="O24" i="195"/>
  <c r="L25" i="195"/>
  <c r="M25" i="195"/>
  <c r="O25" i="195"/>
  <c r="S25" i="195"/>
  <c r="L26" i="195"/>
  <c r="M26" i="195"/>
  <c r="S26" i="195" s="1"/>
  <c r="O26" i="195"/>
  <c r="L27" i="195"/>
  <c r="M27" i="195"/>
  <c r="S27" i="195" s="1"/>
  <c r="O27" i="195"/>
  <c r="L28" i="195"/>
  <c r="M28" i="195"/>
  <c r="O28" i="195"/>
  <c r="S28" i="195"/>
  <c r="L29" i="195"/>
  <c r="M29" i="195"/>
  <c r="S29" i="195" s="1"/>
  <c r="O29" i="195"/>
  <c r="L30" i="195"/>
  <c r="M30" i="195"/>
  <c r="S30" i="195" s="1"/>
  <c r="O30" i="195"/>
  <c r="L31" i="195"/>
  <c r="M31" i="195"/>
  <c r="O31" i="195"/>
  <c r="S31" i="195"/>
  <c r="L32" i="195"/>
  <c r="M32" i="195"/>
  <c r="S32" i="195" s="1"/>
  <c r="O32" i="195"/>
  <c r="O4" i="195"/>
  <c r="M4" i="195"/>
  <c r="S4" i="195" s="1"/>
  <c r="L4" i="195"/>
  <c r="K28" i="203"/>
  <c r="O28" i="203" s="1"/>
  <c r="S33" i="211" l="1"/>
  <c r="M34" i="211"/>
  <c r="M34" i="204"/>
  <c r="S4" i="204"/>
  <c r="S33" i="204" s="1"/>
  <c r="L21" i="205"/>
  <c r="L34" i="205" s="1"/>
  <c r="S6" i="205"/>
  <c r="O10" i="205"/>
  <c r="S21" i="205"/>
  <c r="K33" i="205"/>
  <c r="K33" i="207"/>
  <c r="L26" i="207"/>
  <c r="L34" i="207" s="1"/>
  <c r="K34" i="207"/>
  <c r="K5" i="212"/>
  <c r="N5" i="212" s="1"/>
  <c r="S26" i="207"/>
  <c r="S33" i="207" s="1"/>
  <c r="K6" i="212"/>
  <c r="N6" i="212" s="1"/>
  <c r="M34" i="206"/>
  <c r="S33" i="208"/>
  <c r="M34" i="208"/>
  <c r="K33" i="208"/>
  <c r="S4" i="210"/>
  <c r="S33" i="210" s="1"/>
  <c r="S32" i="210"/>
  <c r="S14" i="210"/>
  <c r="L34" i="209"/>
  <c r="M34" i="209"/>
  <c r="S33" i="209"/>
  <c r="L32" i="203"/>
  <c r="L29" i="203"/>
  <c r="S32" i="203"/>
  <c r="L14" i="203"/>
  <c r="L14" i="212" s="1"/>
  <c r="O32" i="203"/>
  <c r="K32" i="212"/>
  <c r="N32" i="212" s="1"/>
  <c r="L27" i="203"/>
  <c r="L11" i="203"/>
  <c r="L11" i="212" s="1"/>
  <c r="S11" i="203"/>
  <c r="S14" i="203"/>
  <c r="M34" i="203"/>
  <c r="L28" i="203"/>
  <c r="K27" i="212"/>
  <c r="N27" i="212" s="1"/>
  <c r="S28" i="203"/>
  <c r="M34" i="199"/>
  <c r="L17" i="198"/>
  <c r="L17" i="212" s="1"/>
  <c r="S24" i="198"/>
  <c r="K34" i="198"/>
  <c r="L24" i="198"/>
  <c r="K17" i="212"/>
  <c r="N17" i="212" s="1"/>
  <c r="K24" i="212"/>
  <c r="N24" i="212" s="1"/>
  <c r="S33" i="197"/>
  <c r="K34" i="197"/>
  <c r="M34" i="197"/>
  <c r="M23" i="212"/>
  <c r="O32" i="163"/>
  <c r="L28" i="163"/>
  <c r="N14" i="212"/>
  <c r="S28" i="163"/>
  <c r="M15" i="212"/>
  <c r="P15" i="212" s="1"/>
  <c r="M34" i="201"/>
  <c r="L18" i="212"/>
  <c r="S32" i="163"/>
  <c r="S26" i="163"/>
  <c r="L25" i="163"/>
  <c r="L25" i="212" s="1"/>
  <c r="S6" i="163"/>
  <c r="M34" i="205"/>
  <c r="L16" i="212"/>
  <c r="S4" i="205"/>
  <c r="M18" i="212"/>
  <c r="P18" i="212" s="1"/>
  <c r="L4" i="212"/>
  <c r="L34" i="211"/>
  <c r="O6" i="163"/>
  <c r="K26" i="212"/>
  <c r="N26" i="212" s="1"/>
  <c r="O25" i="163"/>
  <c r="L32" i="163"/>
  <c r="L26" i="163"/>
  <c r="L6" i="163"/>
  <c r="L6" i="212" s="1"/>
  <c r="S11" i="163"/>
  <c r="M34" i="207"/>
  <c r="L20" i="212"/>
  <c r="L9" i="212"/>
  <c r="L12" i="212"/>
  <c r="M34" i="198"/>
  <c r="L19" i="212"/>
  <c r="L22" i="212"/>
  <c r="L15" i="212"/>
  <c r="M24" i="212"/>
  <c r="M27" i="212"/>
  <c r="M9" i="212"/>
  <c r="P9" i="212" s="1"/>
  <c r="M12" i="212"/>
  <c r="P12" i="212" s="1"/>
  <c r="M21" i="212"/>
  <c r="M34" i="194"/>
  <c r="S9" i="163"/>
  <c r="S21" i="163"/>
  <c r="M30" i="212"/>
  <c r="N7" i="212"/>
  <c r="N12" i="212"/>
  <c r="L13" i="163"/>
  <c r="L23" i="163"/>
  <c r="N16" i="212"/>
  <c r="M31" i="212"/>
  <c r="M11" i="212"/>
  <c r="M25" i="212"/>
  <c r="P25" i="212" s="1"/>
  <c r="S13" i="163"/>
  <c r="S15" i="163"/>
  <c r="L27" i="163"/>
  <c r="O27" i="163"/>
  <c r="M6" i="212"/>
  <c r="L5" i="212"/>
  <c r="S12" i="163"/>
  <c r="S27" i="163"/>
  <c r="M20" i="212"/>
  <c r="P20" i="212" s="1"/>
  <c r="M10" i="212"/>
  <c r="P10" i="212" s="1"/>
  <c r="M5" i="212"/>
  <c r="N15" i="212"/>
  <c r="K34" i="163"/>
  <c r="M29" i="212"/>
  <c r="M17" i="212"/>
  <c r="M14" i="212"/>
  <c r="P14" i="212" s="1"/>
  <c r="N22" i="212"/>
  <c r="N20" i="212"/>
  <c r="M19" i="212"/>
  <c r="P19" i="212" s="1"/>
  <c r="M16" i="212"/>
  <c r="P16" i="212" s="1"/>
  <c r="M13" i="212"/>
  <c r="N18" i="212"/>
  <c r="L24" i="163"/>
  <c r="M28" i="212"/>
  <c r="S18" i="163"/>
  <c r="M32" i="212"/>
  <c r="M22" i="212"/>
  <c r="P22" i="212" s="1"/>
  <c r="N19" i="212"/>
  <c r="R16" i="212"/>
  <c r="M26" i="212"/>
  <c r="M8" i="212"/>
  <c r="R15" i="212"/>
  <c r="N9" i="212"/>
  <c r="R22" i="212"/>
  <c r="M4" i="212"/>
  <c r="M34" i="163"/>
  <c r="L7" i="212"/>
  <c r="M7" i="212"/>
  <c r="P7" i="212" s="1"/>
  <c r="O32" i="210"/>
  <c r="K34" i="210"/>
  <c r="K33" i="210"/>
  <c r="L13" i="210"/>
  <c r="L34" i="210"/>
  <c r="L34" i="208"/>
  <c r="K13" i="212"/>
  <c r="K34" i="206"/>
  <c r="S21" i="206"/>
  <c r="S33" i="206" s="1"/>
  <c r="O21" i="206"/>
  <c r="K33" i="206"/>
  <c r="L34" i="206"/>
  <c r="K34" i="205"/>
  <c r="L10" i="212"/>
  <c r="L34" i="204"/>
  <c r="S29" i="203"/>
  <c r="K29" i="212"/>
  <c r="N29" i="212" s="1"/>
  <c r="K34" i="203"/>
  <c r="L23" i="203"/>
  <c r="S23" i="203"/>
  <c r="K33" i="203"/>
  <c r="K23" i="212"/>
  <c r="O23" i="203"/>
  <c r="L29" i="201"/>
  <c r="S29" i="201"/>
  <c r="O29" i="201"/>
  <c r="L34" i="199"/>
  <c r="N10" i="212"/>
  <c r="K8" i="212"/>
  <c r="N8" i="212" s="1"/>
  <c r="L31" i="198"/>
  <c r="L31" i="212" s="1"/>
  <c r="K31" i="212"/>
  <c r="O31" i="198"/>
  <c r="S31" i="198"/>
  <c r="K33" i="198"/>
  <c r="K21" i="212"/>
  <c r="L34" i="197"/>
  <c r="L8" i="212"/>
  <c r="K33" i="197"/>
  <c r="L34" i="194"/>
  <c r="K34" i="194"/>
  <c r="S24" i="163"/>
  <c r="S33" i="163" s="1"/>
  <c r="S23" i="163"/>
  <c r="K33" i="163"/>
  <c r="K11" i="212"/>
  <c r="N25" i="212"/>
  <c r="L34" i="195"/>
  <c r="L21" i="212" l="1"/>
  <c r="S33" i="205"/>
  <c r="P5" i="212"/>
  <c r="L26" i="212"/>
  <c r="P6" i="212"/>
  <c r="L13" i="212"/>
  <c r="L32" i="212"/>
  <c r="P17" i="212"/>
  <c r="L29" i="212"/>
  <c r="L27" i="212"/>
  <c r="P27" i="212"/>
  <c r="L34" i="203"/>
  <c r="P32" i="212"/>
  <c r="S33" i="203"/>
  <c r="L24" i="212"/>
  <c r="S33" i="198"/>
  <c r="P23" i="212"/>
  <c r="P26" i="212"/>
  <c r="L34" i="198"/>
  <c r="P21" i="212"/>
  <c r="R33" i="212"/>
  <c r="P31" i="212"/>
  <c r="L34" i="163"/>
  <c r="P13" i="212"/>
  <c r="N13" i="212"/>
  <c r="N21" i="212"/>
  <c r="P29" i="212"/>
  <c r="N23" i="212"/>
  <c r="L23" i="212"/>
  <c r="N31" i="212"/>
  <c r="P8" i="212"/>
  <c r="N11" i="212"/>
  <c r="P11" i="212"/>
  <c r="AB33" i="204"/>
  <c r="AA33" i="204"/>
  <c r="Z33" i="204"/>
  <c r="Y33" i="204"/>
  <c r="X33" i="204"/>
  <c r="W33" i="204"/>
  <c r="V33" i="204"/>
  <c r="U33" i="204"/>
  <c r="X33" i="211" l="1"/>
  <c r="W33" i="211"/>
  <c r="V33" i="211"/>
  <c r="U33" i="211"/>
  <c r="Z33" i="207" l="1"/>
  <c r="Y33" i="207"/>
  <c r="X33" i="207"/>
  <c r="W33" i="207"/>
  <c r="V33" i="207"/>
  <c r="U33" i="207"/>
  <c r="U33" i="198" l="1"/>
  <c r="V33" i="198"/>
  <c r="W33" i="198"/>
  <c r="U33" i="197" l="1"/>
  <c r="X33" i="197"/>
  <c r="W33" i="197"/>
  <c r="V33" i="197"/>
  <c r="K30" i="201" l="1"/>
  <c r="K28" i="201"/>
  <c r="K30" i="212" l="1"/>
  <c r="O30" i="201"/>
  <c r="L30" i="201"/>
  <c r="L30" i="212" s="1"/>
  <c r="S30" i="201"/>
  <c r="O28" i="201"/>
  <c r="L28" i="201"/>
  <c r="K34" i="201"/>
  <c r="S28" i="201"/>
  <c r="K33" i="201"/>
  <c r="K28" i="212"/>
  <c r="W33" i="195"/>
  <c r="V33" i="195"/>
  <c r="N30" i="212" l="1"/>
  <c r="P30" i="212"/>
  <c r="L28" i="212"/>
  <c r="L34" i="201"/>
  <c r="P28" i="212"/>
  <c r="N28" i="212"/>
  <c r="Q13" i="212"/>
  <c r="Q6" i="212"/>
  <c r="Q7" i="212"/>
  <c r="Q11" i="212"/>
  <c r="Q12" i="212"/>
  <c r="Q14" i="212"/>
  <c r="Q15" i="212"/>
  <c r="Q16" i="212"/>
  <c r="Q17" i="212"/>
  <c r="Q18" i="212"/>
  <c r="Q19" i="212"/>
  <c r="Q20" i="212"/>
  <c r="Q22" i="212"/>
  <c r="Q24" i="212"/>
  <c r="Q25" i="212"/>
  <c r="Q26" i="212"/>
  <c r="Q27" i="212"/>
  <c r="Q28" i="212"/>
  <c r="Q29" i="212"/>
  <c r="Q30" i="212"/>
  <c r="Q31" i="212"/>
  <c r="Q32" i="212"/>
  <c r="Q21" i="212" l="1"/>
  <c r="Q8" i="212"/>
  <c r="Q5" i="212"/>
  <c r="Q23" i="212"/>
  <c r="Q10" i="212"/>
  <c r="Q9" i="212"/>
  <c r="K4" i="212"/>
  <c r="N4" i="212" l="1"/>
  <c r="P4" i="212"/>
  <c r="Q4" i="212"/>
  <c r="Q33" i="212" s="1"/>
  <c r="F38" i="212" s="1"/>
  <c r="K33" i="212"/>
  <c r="C37" i="212"/>
  <c r="C36" i="212"/>
  <c r="C35" i="212"/>
  <c r="AI33" i="211"/>
  <c r="AH33" i="211"/>
  <c r="AG33" i="211"/>
  <c r="AF33" i="211"/>
  <c r="AE33" i="211"/>
  <c r="AD33" i="211"/>
  <c r="AC33" i="211"/>
  <c r="AB33" i="211"/>
  <c r="AA33" i="211"/>
  <c r="Z33" i="211"/>
  <c r="T32" i="211"/>
  <c r="T31" i="211"/>
  <c r="T30" i="211"/>
  <c r="T29" i="211"/>
  <c r="T28" i="211"/>
  <c r="T27" i="211"/>
  <c r="T26" i="211"/>
  <c r="T25" i="211"/>
  <c r="T24" i="211"/>
  <c r="T23" i="211"/>
  <c r="T22" i="211"/>
  <c r="T21" i="211"/>
  <c r="T20" i="211"/>
  <c r="T19" i="211"/>
  <c r="T18" i="211"/>
  <c r="T17" i="211"/>
  <c r="T16" i="211"/>
  <c r="T15" i="211"/>
  <c r="T14" i="211"/>
  <c r="T13" i="211"/>
  <c r="T12" i="211"/>
  <c r="T11" i="211"/>
  <c r="T10" i="211"/>
  <c r="T9" i="211"/>
  <c r="T8" i="211"/>
  <c r="T7" i="211"/>
  <c r="T6" i="211"/>
  <c r="T5" i="211"/>
  <c r="T32" i="210"/>
  <c r="T31" i="210"/>
  <c r="T30" i="210"/>
  <c r="T29" i="210"/>
  <c r="T28" i="210"/>
  <c r="T27" i="210"/>
  <c r="T26" i="210"/>
  <c r="T25" i="210"/>
  <c r="T24" i="210"/>
  <c r="T23" i="210"/>
  <c r="T22" i="210"/>
  <c r="T21" i="210"/>
  <c r="T20" i="210"/>
  <c r="T19" i="210"/>
  <c r="T18" i="210"/>
  <c r="T17" i="210"/>
  <c r="T16" i="210"/>
  <c r="T15" i="210"/>
  <c r="T14" i="210"/>
  <c r="T13" i="210"/>
  <c r="T12" i="210"/>
  <c r="T11" i="210"/>
  <c r="T10" i="210"/>
  <c r="T9" i="210"/>
  <c r="T8" i="210"/>
  <c r="T6" i="210"/>
  <c r="T5" i="210"/>
  <c r="T32" i="209"/>
  <c r="T31" i="209"/>
  <c r="T30" i="209"/>
  <c r="T29" i="209"/>
  <c r="T28" i="209"/>
  <c r="T27" i="209"/>
  <c r="T26" i="209"/>
  <c r="T25" i="209"/>
  <c r="T24" i="209"/>
  <c r="T23" i="209"/>
  <c r="T22" i="209"/>
  <c r="T21" i="209"/>
  <c r="T20" i="209"/>
  <c r="T19" i="209"/>
  <c r="T18" i="209"/>
  <c r="T16" i="209"/>
  <c r="T15" i="209"/>
  <c r="T14" i="209"/>
  <c r="T13" i="209"/>
  <c r="T12" i="209"/>
  <c r="T11" i="209"/>
  <c r="T10" i="209"/>
  <c r="T9" i="209"/>
  <c r="T8" i="209"/>
  <c r="T7" i="209"/>
  <c r="T6" i="209"/>
  <c r="T5" i="209"/>
  <c r="T4" i="209"/>
  <c r="T32" i="208"/>
  <c r="T31" i="208"/>
  <c r="T30" i="208"/>
  <c r="T29" i="208"/>
  <c r="T28" i="208"/>
  <c r="T27" i="208"/>
  <c r="T26" i="208"/>
  <c r="T25" i="208"/>
  <c r="T24" i="208"/>
  <c r="T23" i="208"/>
  <c r="T22" i="208"/>
  <c r="T21" i="208"/>
  <c r="T20" i="208"/>
  <c r="T19" i="208"/>
  <c r="T18" i="208"/>
  <c r="T17" i="208"/>
  <c r="T16" i="208"/>
  <c r="T15" i="208"/>
  <c r="T14" i="208"/>
  <c r="T13" i="208"/>
  <c r="T12" i="208"/>
  <c r="T11" i="208"/>
  <c r="T10" i="208"/>
  <c r="T9" i="208"/>
  <c r="T8" i="208"/>
  <c r="T7" i="208"/>
  <c r="T6" i="208"/>
  <c r="T5" i="208"/>
  <c r="AM33" i="207"/>
  <c r="T32" i="207"/>
  <c r="T31" i="207"/>
  <c r="T30" i="207"/>
  <c r="T29" i="207"/>
  <c r="T28" i="207"/>
  <c r="T27" i="207"/>
  <c r="T26" i="207"/>
  <c r="T25" i="207"/>
  <c r="T24" i="207"/>
  <c r="T23" i="207"/>
  <c r="T22" i="207"/>
  <c r="T21" i="207"/>
  <c r="T20" i="207"/>
  <c r="T19" i="207"/>
  <c r="T18" i="207"/>
  <c r="T17" i="207"/>
  <c r="T16" i="207"/>
  <c r="T15" i="207"/>
  <c r="T14" i="207"/>
  <c r="T13" i="207"/>
  <c r="T12" i="207"/>
  <c r="T11" i="207"/>
  <c r="T10" i="207"/>
  <c r="T9" i="207"/>
  <c r="T8" i="207"/>
  <c r="T7" i="207"/>
  <c r="T6" i="207"/>
  <c r="T5" i="207"/>
  <c r="T32" i="206"/>
  <c r="T31" i="206"/>
  <c r="T30" i="206"/>
  <c r="T29" i="206"/>
  <c r="T28" i="206"/>
  <c r="T27" i="206"/>
  <c r="T26" i="206"/>
  <c r="T25" i="206"/>
  <c r="T24" i="206"/>
  <c r="T23" i="206"/>
  <c r="T22" i="206"/>
  <c r="T20" i="206"/>
  <c r="T19" i="206"/>
  <c r="T18" i="206"/>
  <c r="T17" i="206"/>
  <c r="T16" i="206"/>
  <c r="T15" i="206"/>
  <c r="T14" i="206"/>
  <c r="T13" i="206"/>
  <c r="T12" i="206"/>
  <c r="T11" i="206"/>
  <c r="T10" i="206"/>
  <c r="T9" i="206"/>
  <c r="T8" i="206"/>
  <c r="T7" i="206"/>
  <c r="T6" i="206"/>
  <c r="T5" i="206"/>
  <c r="T32" i="205"/>
  <c r="T31" i="205"/>
  <c r="T30" i="205"/>
  <c r="T29" i="205"/>
  <c r="T28" i="205"/>
  <c r="T27" i="205"/>
  <c r="T26" i="205"/>
  <c r="T25" i="205"/>
  <c r="T24" i="205"/>
  <c r="T23" i="205"/>
  <c r="T22" i="205"/>
  <c r="T21" i="205"/>
  <c r="T20" i="205"/>
  <c r="T19" i="205"/>
  <c r="T18" i="205"/>
  <c r="T17" i="205"/>
  <c r="T16" i="205"/>
  <c r="T15" i="205"/>
  <c r="T14" i="205"/>
  <c r="T13" i="205"/>
  <c r="T12" i="205"/>
  <c r="T11" i="205"/>
  <c r="T10" i="205"/>
  <c r="T9" i="205"/>
  <c r="T8" i="205"/>
  <c r="T7" i="205"/>
  <c r="T6" i="205"/>
  <c r="T5" i="205"/>
  <c r="AH33" i="204"/>
  <c r="T32" i="204"/>
  <c r="T31" i="204"/>
  <c r="T30" i="204"/>
  <c r="T29" i="204"/>
  <c r="T28" i="204"/>
  <c r="T27" i="204"/>
  <c r="T26" i="204"/>
  <c r="T25" i="204"/>
  <c r="T24" i="204"/>
  <c r="T23" i="204"/>
  <c r="T22" i="204"/>
  <c r="T21" i="204"/>
  <c r="T20" i="204"/>
  <c r="T19" i="204"/>
  <c r="T18" i="204"/>
  <c r="T17" i="204"/>
  <c r="T16" i="204"/>
  <c r="T15" i="204"/>
  <c r="T14" i="204"/>
  <c r="T13" i="204"/>
  <c r="T12" i="204"/>
  <c r="T11" i="204"/>
  <c r="T10" i="204"/>
  <c r="T9" i="204"/>
  <c r="T8" i="204"/>
  <c r="T7" i="204"/>
  <c r="T6" i="204"/>
  <c r="T5" i="204"/>
  <c r="T32" i="203"/>
  <c r="T31" i="203"/>
  <c r="T30" i="203"/>
  <c r="T29" i="203"/>
  <c r="T28" i="203"/>
  <c r="T27" i="203"/>
  <c r="T26" i="203"/>
  <c r="T25" i="203"/>
  <c r="T24" i="203"/>
  <c r="T23" i="203"/>
  <c r="T22" i="203"/>
  <c r="T21" i="203"/>
  <c r="T20" i="203"/>
  <c r="T19" i="203"/>
  <c r="T18" i="203"/>
  <c r="T17" i="203"/>
  <c r="T16" i="203"/>
  <c r="T15" i="203"/>
  <c r="T14" i="203"/>
  <c r="T13" i="203"/>
  <c r="T12" i="203"/>
  <c r="T11" i="203"/>
  <c r="T10" i="203"/>
  <c r="T9" i="203"/>
  <c r="T8" i="203"/>
  <c r="T7" i="203"/>
  <c r="T6" i="203"/>
  <c r="T5" i="203"/>
  <c r="AH33" i="201"/>
  <c r="AG33" i="201"/>
  <c r="AF33" i="201"/>
  <c r="AE33" i="201"/>
  <c r="AD33" i="201"/>
  <c r="AC33" i="201"/>
  <c r="AB33" i="201"/>
  <c r="AA33" i="201"/>
  <c r="Z33" i="201"/>
  <c r="Y33" i="201"/>
  <c r="X33" i="201"/>
  <c r="W33" i="201"/>
  <c r="V33" i="201"/>
  <c r="U33" i="201"/>
  <c r="T32" i="201"/>
  <c r="T31" i="201"/>
  <c r="T30" i="201"/>
  <c r="T29" i="201"/>
  <c r="T28" i="201"/>
  <c r="T27" i="201"/>
  <c r="T26" i="201"/>
  <c r="T25" i="201"/>
  <c r="T24" i="201"/>
  <c r="T23" i="201"/>
  <c r="T22" i="201"/>
  <c r="T21" i="201"/>
  <c r="T20" i="201"/>
  <c r="T19" i="201"/>
  <c r="T18" i="201"/>
  <c r="T17" i="201"/>
  <c r="T16" i="201"/>
  <c r="T15" i="201"/>
  <c r="T14" i="201"/>
  <c r="T13" i="201"/>
  <c r="T12" i="201"/>
  <c r="T11" i="201"/>
  <c r="T10" i="201"/>
  <c r="T9" i="201"/>
  <c r="T8" i="201"/>
  <c r="T7" i="201"/>
  <c r="T6" i="201"/>
  <c r="T5" i="201"/>
  <c r="T32" i="199"/>
  <c r="T31" i="199"/>
  <c r="T30" i="199"/>
  <c r="T29" i="199"/>
  <c r="T28" i="199"/>
  <c r="T27" i="199"/>
  <c r="T26" i="199"/>
  <c r="T25" i="199"/>
  <c r="T24" i="199"/>
  <c r="T23" i="199"/>
  <c r="T22" i="199"/>
  <c r="T21" i="199"/>
  <c r="T20" i="199"/>
  <c r="T19" i="199"/>
  <c r="T18" i="199"/>
  <c r="T17" i="199"/>
  <c r="T16" i="199"/>
  <c r="T15" i="199"/>
  <c r="T14" i="199"/>
  <c r="T13" i="199"/>
  <c r="T12" i="199"/>
  <c r="T11" i="199"/>
  <c r="T10" i="199"/>
  <c r="T9" i="199"/>
  <c r="T8" i="199"/>
  <c r="T7" i="199"/>
  <c r="T6" i="199"/>
  <c r="T5" i="199"/>
  <c r="AM33" i="198"/>
  <c r="T32" i="198"/>
  <c r="T31" i="198"/>
  <c r="T30" i="198"/>
  <c r="T29" i="198"/>
  <c r="T28" i="198"/>
  <c r="T27" i="198"/>
  <c r="T26" i="198"/>
  <c r="T25" i="198"/>
  <c r="T24" i="198"/>
  <c r="T23" i="198"/>
  <c r="T22" i="198"/>
  <c r="T21" i="198"/>
  <c r="T20" i="198"/>
  <c r="T19" i="198"/>
  <c r="T18" i="198"/>
  <c r="T17" i="198"/>
  <c r="T16" i="198"/>
  <c r="T15" i="198"/>
  <c r="T14" i="198"/>
  <c r="T13" i="198"/>
  <c r="T12" i="198"/>
  <c r="T11" i="198"/>
  <c r="T10" i="198"/>
  <c r="T9" i="198"/>
  <c r="T8" i="198"/>
  <c r="T7" i="198"/>
  <c r="T6" i="198"/>
  <c r="T5" i="198"/>
  <c r="AI33" i="197"/>
  <c r="AH33" i="197"/>
  <c r="AG33" i="197"/>
  <c r="AF33" i="197"/>
  <c r="AE33" i="197"/>
  <c r="AD33" i="197"/>
  <c r="AC33" i="197"/>
  <c r="AB33" i="197"/>
  <c r="T32" i="197"/>
  <c r="T31" i="197"/>
  <c r="T30" i="197"/>
  <c r="T29" i="197"/>
  <c r="T28" i="197"/>
  <c r="T27" i="197"/>
  <c r="T26" i="197"/>
  <c r="T25" i="197"/>
  <c r="T23" i="197"/>
  <c r="T22" i="197"/>
  <c r="T21" i="197"/>
  <c r="T20" i="197"/>
  <c r="T19" i="197"/>
  <c r="T18" i="197"/>
  <c r="T17" i="197"/>
  <c r="T16" i="197"/>
  <c r="T15" i="197"/>
  <c r="T14" i="197"/>
  <c r="T13" i="197"/>
  <c r="T12" i="197"/>
  <c r="T11" i="197"/>
  <c r="T10" i="197"/>
  <c r="T9" i="197"/>
  <c r="T8" i="197"/>
  <c r="T7" i="197"/>
  <c r="T6" i="197"/>
  <c r="T5" i="197"/>
  <c r="T4" i="197"/>
  <c r="AI33" i="196"/>
  <c r="AH33" i="196"/>
  <c r="AG33" i="196"/>
  <c r="AF33" i="196"/>
  <c r="AE33" i="196"/>
  <c r="AD33" i="196"/>
  <c r="AC33" i="196"/>
  <c r="AB33" i="196"/>
  <c r="AA33" i="196"/>
  <c r="Z33" i="196"/>
  <c r="Y33" i="196"/>
  <c r="X33" i="196"/>
  <c r="W33" i="196"/>
  <c r="V33" i="196"/>
  <c r="U33" i="196"/>
  <c r="T32" i="196"/>
  <c r="T31" i="196"/>
  <c r="T30" i="196"/>
  <c r="T29" i="196"/>
  <c r="T28" i="196"/>
  <c r="T27" i="196"/>
  <c r="T26" i="196"/>
  <c r="T25" i="196"/>
  <c r="T24" i="196"/>
  <c r="T23" i="196"/>
  <c r="T22" i="196"/>
  <c r="T21" i="196"/>
  <c r="T20" i="196"/>
  <c r="T19" i="196"/>
  <c r="T18" i="196"/>
  <c r="T17" i="196"/>
  <c r="T16" i="196"/>
  <c r="T15" i="196"/>
  <c r="T14" i="196"/>
  <c r="T13" i="196"/>
  <c r="T12" i="196"/>
  <c r="T11" i="196"/>
  <c r="T10" i="196"/>
  <c r="T9" i="196"/>
  <c r="T8" i="196"/>
  <c r="T7" i="196"/>
  <c r="T6" i="196"/>
  <c r="T5" i="196"/>
  <c r="T4" i="196"/>
  <c r="AI33" i="195"/>
  <c r="AH33" i="195"/>
  <c r="AG33" i="195"/>
  <c r="AF33" i="195"/>
  <c r="AE33" i="195"/>
  <c r="AD33" i="195"/>
  <c r="AC33" i="195"/>
  <c r="AB33" i="195"/>
  <c r="AA33" i="195"/>
  <c r="Z33" i="195"/>
  <c r="Y33" i="195"/>
  <c r="X33" i="195"/>
  <c r="U33" i="195"/>
  <c r="T32" i="195"/>
  <c r="T31" i="195"/>
  <c r="T30" i="195"/>
  <c r="T29" i="195"/>
  <c r="T28" i="195"/>
  <c r="T27" i="195"/>
  <c r="T26" i="195"/>
  <c r="T25" i="195"/>
  <c r="T24" i="195"/>
  <c r="T23" i="195"/>
  <c r="T22" i="195"/>
  <c r="T21" i="195"/>
  <c r="T20" i="195"/>
  <c r="T19" i="195"/>
  <c r="T18" i="195"/>
  <c r="T17" i="195"/>
  <c r="T16" i="195"/>
  <c r="T15" i="195"/>
  <c r="T14" i="195"/>
  <c r="T13" i="195"/>
  <c r="T12" i="195"/>
  <c r="T11" i="195"/>
  <c r="T10" i="195"/>
  <c r="T9" i="195"/>
  <c r="T8" i="195"/>
  <c r="T7" i="195"/>
  <c r="T6" i="195"/>
  <c r="T5" i="195"/>
  <c r="T4" i="195"/>
  <c r="U33" i="163"/>
  <c r="AI33" i="194"/>
  <c r="AH33" i="194"/>
  <c r="AG33" i="194"/>
  <c r="AF33" i="194"/>
  <c r="AE33" i="194"/>
  <c r="AD33" i="194"/>
  <c r="AC33" i="194"/>
  <c r="AB33" i="194"/>
  <c r="AA33" i="194"/>
  <c r="Z33" i="194"/>
  <c r="Y33" i="194"/>
  <c r="X33" i="194"/>
  <c r="W33" i="194"/>
  <c r="V33" i="194"/>
  <c r="U33" i="194"/>
  <c r="T32" i="194"/>
  <c r="T31" i="194"/>
  <c r="T30" i="194"/>
  <c r="T29" i="194"/>
  <c r="T28" i="194"/>
  <c r="T27" i="194"/>
  <c r="T26" i="194"/>
  <c r="T25" i="194"/>
  <c r="T24" i="194"/>
  <c r="T23" i="194"/>
  <c r="T22" i="194"/>
  <c r="T21" i="194"/>
  <c r="T20" i="194"/>
  <c r="T19" i="194"/>
  <c r="T18" i="194"/>
  <c r="T17" i="194"/>
  <c r="T16" i="194"/>
  <c r="T15" i="194"/>
  <c r="T14" i="194"/>
  <c r="T13" i="194"/>
  <c r="T12" i="194"/>
  <c r="T11" i="194"/>
  <c r="T10" i="194"/>
  <c r="T9" i="194"/>
  <c r="T8" i="194"/>
  <c r="T7" i="194"/>
  <c r="T6" i="194"/>
  <c r="T5" i="194"/>
  <c r="T4" i="194"/>
  <c r="AI33" i="190"/>
  <c r="AH33" i="190"/>
  <c r="AG33" i="190"/>
  <c r="AF33" i="190"/>
  <c r="AE33" i="190"/>
  <c r="AD33" i="190"/>
  <c r="AC33" i="190"/>
  <c r="AB33" i="190"/>
  <c r="AA33" i="190"/>
  <c r="Z33" i="190"/>
  <c r="Y33" i="190"/>
  <c r="X33" i="190"/>
  <c r="W33" i="190"/>
  <c r="V33" i="190"/>
  <c r="U33" i="190"/>
  <c r="T32" i="190"/>
  <c r="T31" i="190"/>
  <c r="T30" i="190"/>
  <c r="T29" i="190"/>
  <c r="T28" i="190"/>
  <c r="T27" i="190"/>
  <c r="T26" i="190"/>
  <c r="T25" i="190"/>
  <c r="T24" i="190"/>
  <c r="T23" i="190"/>
  <c r="T22" i="190"/>
  <c r="T21" i="190"/>
  <c r="T20" i="190"/>
  <c r="T19" i="190"/>
  <c r="T18" i="190"/>
  <c r="T17" i="190"/>
  <c r="T16" i="190"/>
  <c r="T15" i="190"/>
  <c r="T14" i="190"/>
  <c r="T13" i="190"/>
  <c r="T12" i="190"/>
  <c r="T11" i="190"/>
  <c r="T10" i="190"/>
  <c r="T9" i="190"/>
  <c r="T8" i="190"/>
  <c r="T7" i="190"/>
  <c r="T6" i="190"/>
  <c r="T5" i="190"/>
  <c r="T4" i="190"/>
  <c r="V33" i="163"/>
  <c r="X33" i="163"/>
  <c r="W33" i="163"/>
  <c r="Y33" i="163"/>
  <c r="Z33" i="163"/>
  <c r="AA33" i="163"/>
  <c r="AB33" i="163"/>
  <c r="AC33" i="163"/>
  <c r="AD33" i="163"/>
  <c r="AE33" i="163"/>
  <c r="AF33" i="163"/>
  <c r="AG33" i="163"/>
  <c r="AH33" i="163"/>
  <c r="T4" i="201" l="1"/>
  <c r="T17" i="209"/>
  <c r="T24" i="197"/>
  <c r="T4" i="204"/>
  <c r="T4" i="205"/>
  <c r="T4" i="207"/>
  <c r="T4" i="206"/>
  <c r="T4" i="208"/>
  <c r="T4" i="210"/>
  <c r="T4" i="203"/>
  <c r="T4" i="199"/>
  <c r="T4" i="198"/>
  <c r="T21" i="206"/>
  <c r="T7" i="210"/>
  <c r="T4" i="211"/>
  <c r="T21" i="163"/>
  <c r="T7" i="163"/>
  <c r="T4" i="163"/>
  <c r="S21" i="212" l="1"/>
  <c r="T19" i="163"/>
  <c r="T25" i="163"/>
  <c r="T31" i="163"/>
  <c r="T10" i="163"/>
  <c r="T22" i="163"/>
  <c r="T28" i="163"/>
  <c r="T9" i="163"/>
  <c r="T15" i="163"/>
  <c r="T27" i="163"/>
  <c r="T5" i="163"/>
  <c r="T17" i="163"/>
  <c r="T23" i="163"/>
  <c r="T29" i="163"/>
  <c r="T6" i="163"/>
  <c r="T18" i="163"/>
  <c r="T24" i="163"/>
  <c r="T30" i="163"/>
  <c r="T8" i="163"/>
  <c r="T14" i="163"/>
  <c r="T20" i="163"/>
  <c r="T26" i="163"/>
  <c r="T32" i="163"/>
  <c r="T13" i="163"/>
  <c r="T12" i="163"/>
  <c r="T11" i="163"/>
  <c r="T16" i="163"/>
  <c r="S4" i="212" l="1"/>
  <c r="M33" i="212"/>
  <c r="S26" i="212"/>
  <c r="S23" i="212"/>
  <c r="S27" i="212"/>
  <c r="S28" i="212"/>
  <c r="S31" i="212"/>
  <c r="S20" i="212"/>
  <c r="S30" i="212"/>
  <c r="S6" i="212"/>
  <c r="S17" i="212"/>
  <c r="S15" i="212"/>
  <c r="S22" i="212"/>
  <c r="S25" i="212"/>
  <c r="S32" i="212"/>
  <c r="S14" i="212"/>
  <c r="S24" i="212"/>
  <c r="S7" i="212"/>
  <c r="S29" i="212"/>
  <c r="S5" i="212"/>
  <c r="S9" i="212"/>
  <c r="S10" i="212"/>
  <c r="S19" i="212"/>
  <c r="S8" i="212"/>
  <c r="S18" i="212"/>
  <c r="S13" i="212"/>
  <c r="S12" i="212"/>
  <c r="S11" i="212"/>
  <c r="S16" i="212"/>
  <c r="P33" i="212" l="1"/>
  <c r="S33" i="212"/>
  <c r="F39" i="212" s="1"/>
  <c r="F41" i="2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  <author>Usuário(a)</author>
  </authors>
  <commentList>
    <comment ref="K8" authorId="0" shapeId="0" xr:uid="{BD3D07AA-E783-43DE-BCD1-340B09858DC6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11/09/2024: CEDIDO À FAED: 20.
25/10/2024&gt; CEDIDO AO CESFI: 20.</t>
        </r>
      </text>
    </comment>
    <comment ref="N13" authorId="0" shapeId="0" xr:uid="{BBF6F941-BA2C-4C4E-B884-4D7C9D57C1A1}">
      <text>
        <r>
          <rPr>
            <b/>
            <sz val="10"/>
            <color indexed="81"/>
            <rFont val="Segoe UI"/>
            <family val="2"/>
          </rPr>
          <t xml:space="preserve">LETÍCIA-SEGECON/FPOLIS:
</t>
        </r>
        <r>
          <rPr>
            <sz val="10"/>
            <color indexed="81"/>
            <rFont val="Segoe UI"/>
            <family val="2"/>
          </rPr>
          <t xml:space="preserve">23/01/2025: CEDIDO PARA SECOM: 05.
</t>
        </r>
      </text>
    </comment>
    <comment ref="K23" authorId="1" shapeId="0" xr:uid="{30D50C4E-F97A-4DAA-9136-EE6497E10B56}">
      <text>
        <r>
          <rPr>
            <b/>
            <sz val="9"/>
            <color indexed="81"/>
            <rFont val="Segoe UI"/>
            <family val="2"/>
          </rPr>
          <t>Usuário(a):</t>
        </r>
        <r>
          <rPr>
            <sz val="9"/>
            <color indexed="81"/>
            <rFont val="Segoe UI"/>
            <family val="2"/>
          </rPr>
          <t xml:space="preserve">
20/09/2024: CEDIDO PARA REIT/SECOM: 500.</t>
        </r>
      </text>
    </comment>
    <comment ref="K25" authorId="0" shapeId="0" xr:uid="{A5D7F262-E1CB-4069-9D1D-317D9E71FC4C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23/01/2025: CEDIDO PARA SECOM: 500.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  <author>LETÍCIA-SEGECON/FPOLIS</author>
  </authors>
  <commentList>
    <comment ref="K11" authorId="0" shapeId="0" xr:uid="{9352FADE-1A0E-42A3-A1BC-6D3C2BFBD71B}">
      <text>
        <r>
          <rPr>
            <b/>
            <sz val="9"/>
            <color indexed="81"/>
            <rFont val="Segoe UI"/>
            <family val="2"/>
          </rPr>
          <t>LETICIA - SEGECON/FPOLIS:</t>
        </r>
        <r>
          <rPr>
            <sz val="9"/>
            <color indexed="81"/>
            <rFont val="Segoe UI"/>
            <family val="2"/>
          </rPr>
          <t xml:space="preserve">
16/08/2024: RECEBIDO DA REITORIA/SECOM: 01.</t>
        </r>
      </text>
    </comment>
    <comment ref="K14" authorId="1" shapeId="0" xr:uid="{B9C28C7C-536D-4D6D-BE8B-8A9B9055000B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17/10/2024: CEDIDO AO CESFI: 10.
25/10/2024: CEDIDO AO CESFI: 06.</t>
        </r>
      </text>
    </comment>
    <comment ref="N18" authorId="1" shapeId="0" xr:uid="{A86CD1CF-857E-448F-9B40-0D2BBA2DE8D6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17/02/2025: CEDIDO AO CEART: 69.
18/02/2025: CEDIDO AO CEART: 76.</t>
        </r>
      </text>
    </comment>
    <comment ref="K23" authorId="1" shapeId="0" xr:uid="{F520789A-F036-49C7-AA03-FA3E24F9DB04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17/10/2024: CEDIDO AO CESFI: 150.</t>
        </r>
      </text>
    </comment>
    <comment ref="N27" authorId="1" shapeId="0" xr:uid="{822045B0-F8CB-4E5D-8749-A467D0594727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10/10/2024: CEDIDO AO CEAD: 150.
13/02/2025: CEDIDO À SECOM: 1.350.</t>
        </r>
      </text>
    </comment>
    <comment ref="N28" authorId="1" shapeId="0" xr:uid="{7E2724F0-B8E9-41E5-844D-06506D5E65A2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13/02/2025: CEDIDO À SECOM: 4004.</t>
        </r>
      </text>
    </comment>
    <comment ref="K29" authorId="1" shapeId="0" xr:uid="{22280DC5-0999-4062-B453-56152518D845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10/10/2024: CEDIDO AO CEAD: 150.</t>
        </r>
      </text>
    </comment>
    <comment ref="K31" authorId="1" shapeId="0" xr:uid="{E8C3B23F-5D88-4BAF-8204-46C17082148B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17/10/2024: CEDIDO AO CESFI: 1000.</t>
        </r>
      </text>
    </comment>
    <comment ref="K32" authorId="0" shapeId="0" xr:uid="{09967806-0135-46C5-85A7-EEC9A43699EE}">
      <text>
        <r>
          <rPr>
            <b/>
            <sz val="10"/>
            <color indexed="81"/>
            <rFont val="Segoe UI"/>
            <family val="2"/>
          </rPr>
          <t>LETICIA - SEGECON/FPOLIS:</t>
        </r>
        <r>
          <rPr>
            <sz val="10"/>
            <color indexed="81"/>
            <rFont val="Segoe UI"/>
            <family val="2"/>
          </rPr>
          <t xml:space="preserve">
21/08/2024: CEDIDO À REITORIA/SECOM: 2000.
17/10/2024: CEDIDO AO CESFI: 1001.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28" authorId="0" shapeId="0" xr:uid="{2C20860A-6FB7-42C5-B6D1-6FC22B9B4C0E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21/01/2025: CEDIDO À REITORIA/SECOM: 7000.</t>
        </r>
      </text>
    </comment>
    <comment ref="K30" authorId="0" shapeId="0" xr:uid="{4CEF8F82-8854-4B1B-B97B-A87C3F61B222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18/09/2024: RECEBIDO DO CEAVI: 2008.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  <author>LETICIA KOSLOWSKY MEES MATTOS</author>
  </authors>
  <commentList>
    <comment ref="K6" authorId="0" shapeId="0" xr:uid="{C3F5E0C2-5F36-4A16-B019-4DE18D6BB90F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16/09/2024: CEDIDO AO CERES: 05.</t>
        </r>
      </text>
    </comment>
    <comment ref="K10" authorId="0" shapeId="0" xr:uid="{C35B2EAE-1EF8-4E45-AD0D-51C1209A8F0B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10/10/2024: CEDIDO AO CEPLAN: 20.</t>
        </r>
      </text>
    </comment>
    <comment ref="N13" authorId="0" shapeId="0" xr:uid="{47776ED9-D1BC-42E0-BEF5-F0577B6F547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19/02/2025: CEDIDO À REIT/SECOM: 02.</t>
        </r>
      </text>
    </comment>
    <comment ref="K21" authorId="1" shapeId="0" xr:uid="{2FE88A7B-95C3-4321-8ABF-D8A919843B09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19/03/2024: RECEBIDO DO CEPLAN: 62.</t>
        </r>
      </text>
    </comment>
    <comment ref="N23" authorId="0" shapeId="0" xr:uid="{B06CB6D3-8611-4749-A393-C7C0EDA42672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17/02/2025: CEDIDO À REITORIA/SECOM: 300.</t>
        </r>
      </text>
    </comment>
    <comment ref="N24" authorId="0" shapeId="0" xr:uid="{8E830D9A-EA98-4717-9404-1BB7C0317EB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24/09/2024: CEDIDO A SECOM: 100.
19/02/2025: CEDIDO A REIT/SECOM: 200.</t>
        </r>
      </text>
    </comment>
    <comment ref="N27" authorId="0" shapeId="0" xr:uid="{6403C26C-07FA-445E-A144-70CBC9A8C4C6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17/02/2025: CEDIDO À REIT/SECOM: 300.</t>
        </r>
      </text>
    </comment>
    <comment ref="N28" authorId="0" shapeId="0" xr:uid="{309C3235-E7E7-4C6A-936D-6C87983BADF7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13/02/2025:  CEDIDO à SECOM: 5000.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  <author>LETICIA - SEGECON FPOLIS</author>
    <author>LETICIA KOSLOWSKY MEES MATTOS</author>
  </authors>
  <commentList>
    <comment ref="K6" authorId="0" shapeId="0" xr:uid="{D4FA3460-BAD7-40E7-9C14-036AD0FAC05E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26/09/2024: RECEBIDO DA REIT/SECOM: 01.</t>
        </r>
      </text>
    </comment>
    <comment ref="K8" authorId="1" shapeId="0" xr:uid="{C01A88C3-FA4E-466C-898D-F96B1B03326E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10/04/2024: RECEBIDO DO CEART: 10.
</t>
        </r>
      </text>
    </comment>
    <comment ref="K10" authorId="0" shapeId="0" xr:uid="{0FB19B37-4692-442E-9343-B3C07AD91B42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01/10/2024: RECEBIDO DA FAED: 30.
10/10/2024: RECEBIDO DO CEO: 20.</t>
        </r>
      </text>
    </comment>
    <comment ref="K21" authorId="2" shapeId="0" xr:uid="{56BB2C44-5ADA-4C3C-8ECC-BFB3FB5AD834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19/03/2024: CEDIDO AO CEO: 62.</t>
        </r>
      </text>
    </comment>
    <comment ref="K24" authorId="0" shapeId="0" xr:uid="{0743E080-BADF-413F-B39B-D675BD2C4A23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24/09/2024: CEDIDO A SECOM: 300.
</t>
        </r>
      </text>
    </comment>
    <comment ref="N26" authorId="0" shapeId="0" xr:uid="{C07F58E9-7800-4A4E-AD47-5DB6FD6212F2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17/02/2025: CEDIDO À REIT/SECOM: 300.</t>
        </r>
      </text>
    </comment>
    <comment ref="N28" authorId="0" shapeId="0" xr:uid="{5C13A0D6-5367-4F8B-827F-A26F4EF9F049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17/02/2025: CEDIDO À REIT/SECOM: 8000.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5" authorId="0" shapeId="0" xr:uid="{55899105-984C-43F4-8E25-9525BA64B2A2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15/10/2024: CEDIDO AO CESFI: 08.</t>
        </r>
      </text>
    </comment>
    <comment ref="N24" authorId="0" shapeId="0" xr:uid="{969CE8DE-4CCE-41EF-9610-57CD202DD4DC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01/10/2024: CEDIDO À REIT/SECOM: 150.
17/02/2025: CEDIDO À REIT/SECOM:  150.
15/04/2025: REMANEJADO DA REIT/SECOM: 150.</t>
        </r>
      </text>
    </comment>
    <comment ref="N26" authorId="0" shapeId="0" xr:uid="{C0B895FD-8691-41F9-9869-6C8686CD0B79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01/10/2024: CEDIDO À REIT/SECOM: 600.
13/02/2025: CEDIDO À SECOM: 150.</t>
        </r>
      </text>
    </comment>
    <comment ref="K30" authorId="0" shapeId="0" xr:uid="{381ED661-008C-4BCA-9C17-55E27762B7D6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18/09/2024: CEDIDO AO CAV: 2008.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  <author>Usuário(a)</author>
  </authors>
  <commentList>
    <comment ref="N7" authorId="0" shapeId="0" xr:uid="{FC13607F-0347-4D71-9E57-2880DD3D9B6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17/02/2025: CEDIDO À REITORIA/SECOM: 20.</t>
        </r>
      </text>
    </comment>
    <comment ref="K13" authorId="0" shapeId="0" xr:uid="{FC438ABA-4246-42C1-95CC-D1C0FC05D680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22/01/2025: CEDIDO PARA REITORIA/SECOM: 03.</t>
        </r>
      </text>
    </comment>
    <comment ref="K23" authorId="1" shapeId="0" xr:uid="{8231FCE3-724E-4E29-9873-7E1092BA4DF7}">
      <text>
        <r>
          <rPr>
            <b/>
            <sz val="9"/>
            <color indexed="81"/>
            <rFont val="Segoe UI"/>
            <family val="2"/>
          </rPr>
          <t>Usuário(a):</t>
        </r>
        <r>
          <rPr>
            <sz val="9"/>
            <color indexed="81"/>
            <rFont val="Segoe UI"/>
            <family val="2"/>
          </rPr>
          <t xml:space="preserve">
20/09/2024: CEDIDO PARA REIT/SECOM: 660.</t>
        </r>
      </text>
    </comment>
    <comment ref="K24" authorId="1" shapeId="0" xr:uid="{1D41CC1E-FB25-45B7-A2C5-B6B12539BD5E}">
      <text>
        <r>
          <rPr>
            <b/>
            <sz val="9"/>
            <color indexed="81"/>
            <rFont val="Segoe UI"/>
            <family val="2"/>
          </rPr>
          <t>Usuário(a):</t>
        </r>
        <r>
          <rPr>
            <sz val="9"/>
            <color indexed="81"/>
            <rFont val="Segoe UI"/>
            <family val="2"/>
          </rPr>
          <t xml:space="preserve">
20/09/2024: CEDIDO A REIT/SECOM: 1000.</t>
        </r>
      </text>
    </comment>
    <comment ref="N25" authorId="0" shapeId="0" xr:uid="{461EEF84-4762-461E-885A-05EFDAB1050F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17/02/2025: CEDIDO À REIT/SECOM: 1301.</t>
        </r>
      </text>
    </comment>
    <comment ref="N26" authorId="0" shapeId="0" xr:uid="{85EF36DC-DE39-4D3F-8627-CEF3657924FE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17/02/2025: CEDIDO À REIT/SECOM: 2000.</t>
        </r>
      </text>
    </comment>
    <comment ref="K27" authorId="0" shapeId="0" xr:uid="{F1BF4A9B-CC77-4F6F-8518-892227CE29DD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22/01/2025: CEDIDO PARA REITORIA/SECOM: 5000.</t>
        </r>
      </text>
    </comment>
    <comment ref="N27" authorId="0" shapeId="0" xr:uid="{795B313B-FE24-4F28-AA59-7519CBC88CF1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22/01/2025: CEDIDO PARA REITORIA/SECOM: 5000.</t>
        </r>
      </text>
    </comment>
    <comment ref="K28" authorId="0" shapeId="0" xr:uid="{77AE1F6C-72EA-470C-A3F4-B8246E05F8DE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22/01/2025: CEDIDO PARA REITORIA/SECOM: 6001.</t>
        </r>
      </text>
    </comment>
    <comment ref="N28" authorId="0" shapeId="0" xr:uid="{18F8B8F2-760D-4F0C-AD21-5735EA3B645C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22/01/2025: CEDIDO PARA REITORIA/SECOM: 6001.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6" authorId="0" shapeId="0" xr:uid="{2DAFDD02-70F5-4D33-8CC8-A14928BB460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16/09/2024: RECEBIDO DO CEO: 05.</t>
        </r>
      </text>
    </comment>
    <comment ref="K17" authorId="0" shapeId="0" xr:uid="{53EA2D1E-23C5-4B3E-BBBF-E21922CAE2C1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30/10/2024: CEDIDO AO CEART: 60.</t>
        </r>
      </text>
    </comment>
    <comment ref="N27" authorId="0" shapeId="0" xr:uid="{CA020C4C-5942-41DD-AFDD-70EACF98715D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17/01/2025: CEDIDO À REITORIA/SECOM: 500.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  <author>LETICIA - SEGECON FPOLIS</author>
    <author>LETICIA KOSLOWSKY MEES MATTOS</author>
  </authors>
  <commentList>
    <comment ref="K5" authorId="0" shapeId="0" xr:uid="{9998D9F2-9BBE-45E0-8429-2266ADBFB9D1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15/10/2024: RECEBIDO DO CEAVI: 08.</t>
        </r>
      </text>
    </comment>
    <comment ref="K8" authorId="1" shapeId="0" xr:uid="{67AB7491-722D-465F-8708-E02A3B01FA51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17/06/24: RECEBIDO DA ESAG: 05.
25/10/2024: RECEBIDO DA PROEX: 20.</t>
        </r>
      </text>
    </comment>
    <comment ref="K13" authorId="2" shapeId="0" xr:uid="{4E6295CA-F78E-41C6-B5C3-3F55B7F749EE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25/07/2024: RECEBIDO DA REITORIA/SECOM: 02.</t>
        </r>
      </text>
    </comment>
    <comment ref="K14" authorId="0" shapeId="0" xr:uid="{8FEF0E0C-D213-422E-A888-AD9E9C2FB474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17/10/2024: RECEBIDO AO CEFID: 10.
25/10/2024: RECEBIDO DO CESFI: 06.</t>
        </r>
      </text>
    </comment>
    <comment ref="K23" authorId="0" shapeId="0" xr:uid="{4B0AC9D6-7520-4755-A2B2-72EF1BDFE386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17/10/2024: RECEBIDO AO CEFID: 150.
17/01/2025: CEDIDO À REITORIA/SECOM: 150.</t>
        </r>
      </text>
    </comment>
    <comment ref="K31" authorId="0" shapeId="0" xr:uid="{22BC0C29-731D-4710-9C81-82FB4BD1E15C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03/10/2024: RECEBIDO DA ESAG: 200.
17/10/2024: RECEBIDO AO CEFID: 1000.</t>
        </r>
      </text>
    </comment>
    <comment ref="K32" authorId="0" shapeId="0" xr:uid="{B63B6E93-CCA1-42E8-AD4D-097F64C56ED4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17/10/2024: RECEBIDO AO CEFID: 1001.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24" authorId="0" shapeId="0" xr:uid="{C367B27F-3996-421A-9C1F-1E58718C2CA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24/09/2024: CEDIDO A SECOM: 300.</t>
        </r>
      </text>
    </comment>
    <comment ref="N26" authorId="0" shapeId="0" xr:uid="{EC0DF9D6-FF2B-4249-8922-5F0C6BFBFE1C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17/02/2025: CEDIDO À REIT/SECOM: 199.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  <author>LETICIA KOSLOWSKY MEES MATTOS</author>
  </authors>
  <commentList>
    <comment ref="K6" authorId="0" shapeId="0" xr:uid="{4C35402A-1588-41F2-973D-10F265AAB8DE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26/09/2024: CEDIDO AO CEPLAN: 01.</t>
        </r>
      </text>
    </comment>
    <comment ref="N7" authorId="0" shapeId="0" xr:uid="{C0E7D25C-3DC2-429C-AFFB-5150F5115E1E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13/02/2025: RECEBIDO DA ESAG: 08.
17/02/2025: RECEBIDO DO CEART: 20.
17/02/2025: RECEBIDO DO CCT: 20.</t>
        </r>
      </text>
    </comment>
    <comment ref="K11" authorId="1" shapeId="0" xr:uid="{379AAFD5-48A2-471F-A353-F1405F556BD5}">
      <text>
        <r>
          <rPr>
            <b/>
            <sz val="9"/>
            <color indexed="81"/>
            <rFont val="Segoe UI"/>
            <family val="2"/>
          </rPr>
          <t>LETICIA - SEGECON/FPOLIS:</t>
        </r>
        <r>
          <rPr>
            <sz val="9"/>
            <color indexed="81"/>
            <rFont val="Segoe UI"/>
            <family val="2"/>
          </rPr>
          <t xml:space="preserve">
16/08/2024: CEDIDO AO CEFID: 01.</t>
        </r>
      </text>
    </comment>
    <comment ref="V11" authorId="1" shapeId="0" xr:uid="{14D5784B-D8FA-4787-9A6D-ADB2E966C68D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DEMANDA REITORIA.</t>
        </r>
      </text>
    </comment>
    <comment ref="V12" authorId="1" shapeId="0" xr:uid="{41890DFD-9EB2-41B0-B629-A03036FFA910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DEMANDA: 
03 - REITORIA
08 - COVEST</t>
        </r>
      </text>
    </comment>
    <comment ref="N13" authorId="0" shapeId="0" xr:uid="{9D6198CE-DA1E-4F78-91DC-D8CF3EEE8887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25/07/2024: CEDIDO AO CESFI: 02.
22/01/2025: RECEBIDO DO CCT: 03.
23/01/2025: RECEBIDO DA PROEX: 05.
13/02/2025: RECEBIDO DO CEART: 08.
RECEBIDO DA ESAG: 07.
</t>
        </r>
        <r>
          <rPr>
            <b/>
            <sz val="10"/>
            <color indexed="81"/>
            <rFont val="Segoe UI"/>
            <family val="2"/>
          </rPr>
          <t>19/02/2025: RECEBIDO DA REIT/BU: 02.
19/02/2025: RECEBIDO DO CEO: 02.</t>
        </r>
      </text>
    </comment>
    <comment ref="V13" authorId="1" shapeId="0" xr:uid="{A7C89D23-38E2-41F2-9EAD-0304A64388F0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DEMANDA: 
04 - REITORIA
16 - COVEST</t>
        </r>
      </text>
    </comment>
    <comment ref="N23" authorId="0" shapeId="0" xr:uid="{10EC0156-5C4C-429C-99B2-038EB4F4D0F2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20/09/2024: RECEBIDO DO CCT: 660.
RECEBIDO DA PROEX: 500.
RECEBIDO DO CESFI: 200.
17/01/2025: RECEBIDO DO CESFI:150.
17/02/2025: RECEBIDO DO CEO: 300.
</t>
        </r>
        <r>
          <rPr>
            <b/>
            <sz val="10"/>
            <color indexed="81"/>
            <rFont val="Segoe UI"/>
            <family val="2"/>
          </rPr>
          <t>19/02/2025: RECEBIDO DA BU: 15.</t>
        </r>
      </text>
    </comment>
    <comment ref="N24" authorId="0" shapeId="0" xr:uid="{01405508-CDA1-4436-83C2-06608CC639FD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20/09/2024: RECEBIDO DO CCT: 1000.
RECEBIDO DO CEART: 300.
24/09/2024: RECEBIDO DO CESMO: 300
24/09/2024: RECEBIDO DO CEO: 100.
24/09/2024: RECEBIDO DO CEPLAN: 300.
27/09/2024: RECEBIDO DA ESAG: 110.
01/10/2024: RECEBIDO DO CEAVI: 150.
17/02/2025: RECEBIDO DO CEAVI: 150.
19/02/2025: RECEBIDO DO CEO: 200.</t>
        </r>
        <r>
          <rPr>
            <b/>
            <sz val="10"/>
            <color indexed="81"/>
            <rFont val="Segoe UI"/>
            <family val="2"/>
          </rPr>
          <t xml:space="preserve">
15/04/2025: REMANEJADO PRO CEAVI: 150.</t>
        </r>
      </text>
    </comment>
    <comment ref="N25" authorId="0" shapeId="0" xr:uid="{C8AE09DC-6346-4BAF-96DA-ED1B26406C35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23/01/2025: RECEBIDO DA PROEX: 500.
13/02/2025: RECEBIDO DO CEART: 200.
14/02/2025: RECEBIDO DA ESAG: 50.
17/02/2025: RECEBIDO DO CCT: 1301.
</t>
        </r>
        <r>
          <rPr>
            <b/>
            <sz val="10"/>
            <color indexed="81"/>
            <rFont val="Segoe UI"/>
            <family val="2"/>
          </rPr>
          <t>19/02/2025: RECEBIDO DO MESC: 10.</t>
        </r>
      </text>
    </comment>
    <comment ref="N26" authorId="0" shapeId="0" xr:uid="{8E2E4034-1347-4D55-ABE8-9E6371BB182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24/09/2024: RECEBIDO DA BU: 100.
01/10/2024:RECEBIDO DO CEAVI: 600.
13/02/2025: RECEBIDO DA BU: 400.
13/02/2025: RECEBIDO DO CEART: 600.
13/02/2025: RECEBIDO DO CEAVI: ??.
13/02/2025: RECEBIDO DA ESAG: 110.
17/02/2025: RECEBIDO DO CCT: 2000.
17/02/2025: RECEBIDO DO CEAVI: 150.
17/02/2025: RECEBIDO DO CESMO: 199.
17/02/2025: RECEBIDO DO CEPLAN: 300.
</t>
        </r>
      </text>
    </comment>
    <comment ref="N27" authorId="0" shapeId="0" xr:uid="{64C73C9D-24AB-407A-8D8E-0C3263AECE45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17/01/2025: RECEBIDO DO CERES: 500.
22/01/2025: RECEBIDO DO CCT: 5000.
13/02/2025: RECEBIDO DO CEART: 1000.
13/02/2025 RECEBIDO DO MUSEU: 500.
13/02/2025: RECEBIDO DO CEFID: 1.350.
17/02/2025: RECEBIDO DO CEO: 300.
</t>
        </r>
        <r>
          <rPr>
            <b/>
            <sz val="10"/>
            <color indexed="81"/>
            <rFont val="Segoe UI"/>
            <family val="2"/>
          </rPr>
          <t>[19/02/2025: recebido da scii: 200].</t>
        </r>
      </text>
    </comment>
    <comment ref="N28" authorId="0" shapeId="0" xr:uid="{AC6BC1C4-7E50-4813-9B77-33E356B5BC10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21/01/2025: RECEBIDO DO CAV: 7000.
22/01/2025: RECEBIDO DO CCT: 6001.
13/02/2025: RECEBIDO DO CEART: 3000.
13/02/2025: RECEBIDO DA ESAG: 1.100.
13/02/2025: RECEBIDO DO CEFID: 4004.
13/02/2025: RECEBIDO DO CEO: 5000.
17/02/2025: RECEBIDO DO CEPLAN: 8000.</t>
        </r>
      </text>
    </comment>
    <comment ref="K32" authorId="1" shapeId="0" xr:uid="{837A392F-05E9-4448-97C6-3D96D15AA1A5}">
      <text>
        <r>
          <rPr>
            <b/>
            <sz val="10"/>
            <color indexed="81"/>
            <rFont val="Segoe UI"/>
            <family val="2"/>
          </rPr>
          <t>LETICIA -SEGECON/FPOLIS:</t>
        </r>
        <r>
          <rPr>
            <sz val="10"/>
            <color indexed="81"/>
            <rFont val="Segoe UI"/>
            <family val="2"/>
          </rPr>
          <t xml:space="preserve">
21/08/2024: RECEBIDO DO CEFID: 2000.
13/02/2025: RECEBIDO DA ESAG: 2000.</t>
        </r>
      </text>
    </comment>
    <comment ref="N32" authorId="0" shapeId="0" xr:uid="{96B75397-4638-4F8C-A5D0-952DF953E47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21/08/2024: RECEBIDO DO CEFID: 2000.
13/02/2025: RECEBIDO DA ESAG: 2000.
19/02/2025: RECEBIDO DA REIT/BU: 1500.
19/02/2025: RECEBIDO DO MESC: 3000.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27" authorId="0" shapeId="0" xr:uid="{F0371AD9-F288-454A-AE6F-F8DBEB609F11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19/02/2025: cedido À secom: 200.</t>
        </r>
      </text>
    </comment>
    <comment ref="N31" authorId="0" shapeId="0" xr:uid="{2A6AD622-37B9-4BC1-A435-B9EC564422CC}">
      <text>
        <r>
          <rPr>
            <b/>
            <sz val="10"/>
            <color indexed="81"/>
            <rFont val="Segoe UI"/>
            <charset val="1"/>
          </rPr>
          <t>LETÍCIA-SEGECON/FPOLIS:</t>
        </r>
        <r>
          <rPr>
            <sz val="10"/>
            <color indexed="81"/>
            <rFont val="Segoe UI"/>
            <charset val="1"/>
          </rPr>
          <t xml:space="preserve">
15/04/2025: REMANEJADO PARA O CART: 300.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13" authorId="0" shapeId="0" xr:uid="{31BBB76E-6691-4981-BA6A-0DBE549DCCC9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19/02/2025: CEDIDO À REIT/SECOM: 02.</t>
        </r>
      </text>
    </comment>
    <comment ref="K21" authorId="0" shapeId="0" xr:uid="{D0AF3CC9-2CD4-49A6-8659-A5352B12C8B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22/01/2025: RECEBIDO DA ESAG: 37.</t>
        </r>
      </text>
    </comment>
    <comment ref="N26" authorId="0" shapeId="0" xr:uid="{714C0CE7-F035-4C96-81DB-B0E06D2B33DC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24/09/2024: CEDIDO A SECOM: 100.
13/02/2025: CEDIDO À SECOM: 400.</t>
        </r>
      </text>
    </comment>
    <comment ref="N32" authorId="0" shapeId="0" xr:uid="{9A9F50E2-1A63-43E7-ACFD-9EF34B3026F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19/02/2025: CEDIDO À REIT/SECOM: 1500.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  <author>LETÍCIA-SEGECON/FPOLIS</author>
  </authors>
  <commentList>
    <comment ref="K13" authorId="0" shapeId="0" xr:uid="{EDB3C0AE-5B5A-410E-955B-4F74A6DF7C90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27/06/2024: RECEBIDO DA ESAG: 01.</t>
        </r>
      </text>
    </comment>
    <comment ref="N23" authorId="1" shapeId="0" xr:uid="{AEE04110-0041-49FA-9875-B63B212A3C0D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19/02/2025: CEDIDO À REIT/SECOM: 15.</t>
        </r>
      </text>
    </comment>
    <comment ref="N25" authorId="1" shapeId="0" xr:uid="{2C2FAA1D-88C0-4285-A700-FEC9E70AB675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19/02/2025: CEDIDO À REIT/SECOM: 10.</t>
        </r>
      </text>
    </comment>
    <comment ref="N27" authorId="1" shapeId="0" xr:uid="{A25D7170-B00C-4DEB-95F6-60EE80AC3B26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13/02/2025: CEDIDO à SECOM: 500.</t>
        </r>
      </text>
    </comment>
    <comment ref="N32" authorId="1" shapeId="0" xr:uid="{06369DC4-5719-485D-936C-D546F6987BA1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19/02/2025:  CEDIDO À REIT/SECOM: 3000.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7" authorId="0" shapeId="0" xr:uid="{F537D9F3-1DDF-4143-A125-7F5E3FC4608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13/02/2025: CEDIDO À SECOM: 08.</t>
        </r>
      </text>
    </comment>
    <comment ref="N8" authorId="0" shapeId="0" xr:uid="{5CD76611-E0BF-4D97-AB81-B8CD2CE47648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17/06/24: CEDIDO AO CESFI: 05.</t>
        </r>
      </text>
    </comment>
    <comment ref="N13" authorId="0" shapeId="0" xr:uid="{A2C5AC23-63C5-4D8D-A1FB-62CD9AEDD82D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27/06/2024: CEDIDO À REITORIA/MESC: 01.
13/02/2025: CEDIDO À SECOM: 7.</t>
        </r>
      </text>
    </comment>
    <comment ref="N21" authorId="0" shapeId="0" xr:uid="{ED2618DB-4FB5-4647-9636-89AF4344BA66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22/01/2025: CEDIDO À BU: 37.</t>
        </r>
      </text>
    </comment>
    <comment ref="N24" authorId="0" shapeId="0" xr:uid="{F7F0FE89-4236-4D6C-ACDC-8CE503D19F7B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27/09/2024: CEDIDO PARA REIT/SECOM: 110.</t>
        </r>
      </text>
    </comment>
    <comment ref="N25" authorId="0" shapeId="0" xr:uid="{2562AD82-4E8A-41CE-B7AB-E4152770942B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14/02/2025: CEDIDO À SECOM: 50.</t>
        </r>
      </text>
    </comment>
    <comment ref="N26" authorId="0" shapeId="0" xr:uid="{A79035A9-AC9A-4859-AC1E-269FD1BBD307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13/02/2025: CEDIDO À SECOM: 110.</t>
        </r>
      </text>
    </comment>
    <comment ref="N28" authorId="0" shapeId="0" xr:uid="{AD019CA5-0205-4C99-8DF4-1822C2BCF01F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13/02/2025: CEDIDO À SECOM: 1.100.</t>
        </r>
      </text>
    </comment>
    <comment ref="N31" authorId="0" shapeId="0" xr:uid="{579A01AF-BEB3-4E3C-BFFC-FCB0B00B0698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03/10/2024: CEDIDO AO CESFI: 200.
15/04/2025: REMANEJADO PARA O CEART: 200.</t>
        </r>
      </text>
    </comment>
    <comment ref="N32" authorId="0" shapeId="0" xr:uid="{FFB56740-4300-438F-87C7-01979978E6CC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13/02/2025: CEDIDO À SECOM: 2000.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7" authorId="0" shapeId="0" xr:uid="{5795E511-5D53-4081-A229-6CFCB3306B30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17/02/2025: CEDIDO À REITORIA/SECOM: 20.</t>
        </r>
      </text>
    </comment>
    <comment ref="N8" authorId="0" shapeId="0" xr:uid="{EAF887AF-EBFA-43DB-BD4B-021445BFAFD5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10/04/2024: CEDIDO AO CEPLAN: 10.</t>
        </r>
      </text>
    </comment>
    <comment ref="N13" authorId="0" shapeId="0" xr:uid="{6C0C04C1-D451-4808-AEE5-2F3CCEE32C70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13/02/2025: CEDIDO À SECOM: 08.</t>
        </r>
      </text>
    </comment>
    <comment ref="N17" authorId="0" shapeId="0" xr:uid="{44ED783F-F9C2-45C9-93B2-20ED86F931C8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30/10/2024: RECEBIDO DO CERES: 60.
17/02/2025: RECEBIDO DO CEAD: 690.</t>
        </r>
      </text>
    </comment>
    <comment ref="N18" authorId="0" shapeId="0" xr:uid="{96225DD7-C7F2-4A1E-9AA6-C567162D32D1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17/02/2025: RECEBIDO DO CEAD: 02.
17/02/2025: RECEBIDO DO CEFID: 69.
18/02/2025: RECEBIDO DO CEFID: 76.</t>
        </r>
      </text>
    </comment>
    <comment ref="N23" authorId="0" shapeId="0" xr:uid="{9D98667A-63FB-4AB8-8DF2-3822BC3280D6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20/09/2024: CEDIDO À REIT/SECOM: 200.</t>
        </r>
      </text>
    </comment>
    <comment ref="N24" authorId="0" shapeId="0" xr:uid="{F44129B5-4DFF-4EBB-BF89-55665200DD05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20/09/2024: CEDIDO À REIT/SECOM: 300.</t>
        </r>
      </text>
    </comment>
    <comment ref="N25" authorId="0" shapeId="0" xr:uid="{52554BC8-0B13-4B2C-97AA-68A62775BDD8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13/02/2025: CEDIDO À SECOM: 200.</t>
        </r>
      </text>
    </comment>
    <comment ref="N26" authorId="0" shapeId="0" xr:uid="{DB8D3E03-B700-45B4-9EF2-2A4B6A44E845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13/02/2025: CEDIDO À SECOM: 600.
</t>
        </r>
      </text>
    </comment>
    <comment ref="N27" authorId="0" shapeId="0" xr:uid="{099B4704-96F1-4D9B-BAB7-180503CAAF86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13/02/2025: CEDIDO À SECOM: 1000.</t>
        </r>
      </text>
    </comment>
    <comment ref="N28" authorId="0" shapeId="0" xr:uid="{B195226A-B45C-4E74-ACF9-A958F1230532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13/02/2025 CEDIDO À SECOM: 3000.</t>
        </r>
      </text>
    </comment>
    <comment ref="N31" authorId="0" shapeId="0" xr:uid="{7F6D77D1-3D79-4C76-852A-31C1ADD8B151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24/09/2024: CEDIDO PRA FAED: 500.
15/04/2025: REMANEJADO DA REIT/SCII: 300.
15/04/2025: REMANEJADO DA ESAG: 200.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8" authorId="0" shapeId="0" xr:uid="{ECF42FFD-1312-480D-9267-7555DF64EDE0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11/09/2024: RECEBIDO DA PROEX: 20.</t>
        </r>
      </text>
    </comment>
    <comment ref="K10" authorId="0" shapeId="0" xr:uid="{3D64EB84-98D8-4794-9BF5-A43FB1FEE8EB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01/10/2024: CEDIDO AO CEPLAN: 30.</t>
        </r>
      </text>
    </comment>
    <comment ref="K31" authorId="0" shapeId="0" xr:uid="{25A4F25A-A456-46BE-B407-709AE40291D0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24/09/2024: RECEBIDO DO CEART: 500.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17" authorId="0" shapeId="0" xr:uid="{81E12B0C-D087-4264-BB75-48DAA3F4DC60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17/02/2025: CEDIDO AO CEART: 690.</t>
        </r>
      </text>
    </comment>
    <comment ref="N18" authorId="0" shapeId="0" xr:uid="{CB9081BD-44F5-4EBF-802E-7CB8ED98D217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17/02/2025: CEDIDO AO CEART: 02.</t>
        </r>
      </text>
    </comment>
    <comment ref="N27" authorId="0" shapeId="0" xr:uid="{26EAFB94-7196-42AE-BE46-D9D3857AE3F3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[30/08/2024: 1000 transferido do item 25]
10/10/2024: RECEBIDO DO CEFID: 150.</t>
        </r>
      </text>
    </comment>
    <comment ref="N29" authorId="0" shapeId="0" xr:uid="{619C2390-37EE-41F5-B2AF-D8FE5E6CBF51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[30/08/2024: 1000 transferido do item 27].
10/10/2024: RECEBIDO DO CEFID: 150</t>
        </r>
      </text>
    </comment>
  </commentList>
</comments>
</file>

<file path=xl/sharedStrings.xml><?xml version="1.0" encoding="utf-8"?>
<sst xmlns="http://schemas.openxmlformats.org/spreadsheetml/2006/main" count="4265" uniqueCount="336">
  <si>
    <t>Saldo / Automático</t>
  </si>
  <si>
    <t>...../...../......</t>
  </si>
  <si>
    <t>ALERTA</t>
  </si>
  <si>
    <t>Item</t>
  </si>
  <si>
    <t>Unidade</t>
  </si>
  <si>
    <t>Lote</t>
  </si>
  <si>
    <t>Qtde Registrada</t>
  </si>
  <si>
    <t>Valor Total Utilizado</t>
  </si>
  <si>
    <t>Valor Utilizado</t>
  </si>
  <si>
    <t>% Aditivos</t>
  </si>
  <si>
    <t>% Utilizado</t>
  </si>
  <si>
    <t>Dimensões</t>
  </si>
  <si>
    <t xml:space="preserve">Placa em PVC, branca, impressão digital 4x0 cores, resolução mínima 300dpi's e espessura de 2mm, acabamento corte a laser, inclui adequação de layout, instalada com fita. </t>
  </si>
  <si>
    <t>Especificação</t>
  </si>
  <si>
    <t>Grupo-Classe</t>
  </si>
  <si>
    <t>Código NUC</t>
  </si>
  <si>
    <t>02-12</t>
  </si>
  <si>
    <t>50031-001</t>
  </si>
  <si>
    <t>Empresa</t>
  </si>
  <si>
    <t>até 100 un.</t>
  </si>
  <si>
    <t>101 a 500 un.</t>
  </si>
  <si>
    <t>100 a 1.000 un.</t>
  </si>
  <si>
    <t>acima de 1.001 un.</t>
  </si>
  <si>
    <t>100 a 500 un.</t>
  </si>
  <si>
    <t>Peça</t>
  </si>
  <si>
    <t>CARTAZ FORMATO A2; FORMATO A2 = 42 (largura) x 60 (altura) cm; Papel Couchê Brilho, com gramatura 115 G; COR DE IMPRESSÃO 4 CORES (Colorido) - impressão só frente (sem verso)</t>
  </si>
  <si>
    <t>CARTAZ FORMATO A3; FORMATO A3 = 30 (largura) x 42 (altura) cm; Papel Couchê Brilho, com gramatura 115 G; COR DE IMPRESSÃO 4 CORES (Colorido) - impressão só frente (sem verso)</t>
  </si>
  <si>
    <t>CARTÃO DE VISITA; FORMATO = 9 (largura) X 5 (altura) cm; Papel Couchê Fosco, com gramatura 240 G; COR DE IMPRESSÃO 4 CORES (Colorido) - impressão frente e verso</t>
  </si>
  <si>
    <t>Preço  Unitário</t>
  </si>
  <si>
    <t xml:space="preserve">Valor Total da Ata </t>
  </si>
  <si>
    <t>OS nº   XXXX/2024 Qtde. DT</t>
  </si>
  <si>
    <t>GL EDITORA GRÁFICA LTDA</t>
  </si>
  <si>
    <r>
      <t xml:space="preserve">OBJETO: </t>
    </r>
    <r>
      <rPr>
        <b/>
        <sz val="10"/>
        <rFont val="Calibri"/>
        <family val="2"/>
        <scheme val="minor"/>
      </rPr>
      <t>CONTRATAÇÃO DE EMPRESA ESPECIALIZADA EM SERVIÇOS GRÁFICOS (IMPRESSOS ADAPTADOS, BANNERS, FRONTLIGHT, ADESIVOS, ENTRE OUTROS) PARA A UDESC</t>
    </r>
  </si>
  <si>
    <r>
      <t>VIGÊNCIA DA ATA: 19/02/24</t>
    </r>
    <r>
      <rPr>
        <b/>
        <sz val="10"/>
        <rFont val="Calibri"/>
        <family val="2"/>
        <scheme val="minor"/>
      </rPr>
      <t xml:space="preserve"> até 19/02/25</t>
    </r>
  </si>
  <si>
    <t>Banner em lona, impressão digital 4x0 cores, resolução mínima 720 dpi's e 280 g/m² de gramatura mínima; e suporte: 
1) em madeira em duas das menores extremidades e acabamento com ponteira de PVC (grampeada)  e corda trançada de no mínimo 4mm e de resistência suficiente e compatível com o banner; ou 
2) com ilhóses dispostos de 20 em 20 cm, em ferro ou alumínio e de diâmetro compatível com a corda utilizada - corda trançada de no mínimo 4mm e de resistência suficiente e compatível com o banner.</t>
  </si>
  <si>
    <t>50 X 70cm</t>
  </si>
  <si>
    <t>90 X 150cm</t>
  </si>
  <si>
    <t>110 X 150cm</t>
  </si>
  <si>
    <t>130 X 180cm</t>
  </si>
  <si>
    <t>80 X 120cm</t>
  </si>
  <si>
    <t>Banner em papel sulfite - impressão digital 4x0 cores, resolução mínima 720 dpi's e 120 g/m² de gramatura mínima; e suporte: 
1) em madeira em duas das menores extremidades e acabamento com ponteira de PVC (grampeada)  e corda trançada de no mínimo 4mm e de resistência suficiente e compatível com o banner; ou 
2) Perfil C de plástico para acabamento de faixas e banners com 16 mm - e corda trançada de no mínimo 4mm e de resistência suficiente e compatível com o banner.</t>
  </si>
  <si>
    <t xml:space="preserve">90 X 120cm </t>
  </si>
  <si>
    <t>A A MAINARDES LTDA</t>
  </si>
  <si>
    <t>Detalhamento</t>
  </si>
  <si>
    <t>339039.63</t>
  </si>
  <si>
    <t>Frontlight em lona, impressão digital 4x0 cores, resolução mínima 1200 dpi's e 440 g/m² de gramatura mínima; fixado com ilhóses dispostos de 20 em 20 cm, em ferro ou alumínio e de diâmetro compatível com a corda utilizada - corda trançada de no mínimo 4mm e de resistência suficiente e compatível com o frontlight. INSTALADO E RETIRADO.</t>
  </si>
  <si>
    <t>255 X 275cm</t>
  </si>
  <si>
    <t xml:space="preserve">295 X  875cm   </t>
  </si>
  <si>
    <t>310 X 914cm</t>
  </si>
  <si>
    <t>3D IMPRESSÃO DIGITAL LTDA</t>
  </si>
  <si>
    <t>Adesivo em vinil, impressão digital 4x0 cores, resolução mínima 300 dpi's e 26 a 30 g/m² de gramatura mínima de cola; acabamento meio corte especial com faca.</t>
  </si>
  <si>
    <t>75cm X metro linear</t>
  </si>
  <si>
    <t>99 x 44,5cm</t>
  </si>
  <si>
    <t>Metro</t>
  </si>
  <si>
    <t>Adesivo recortado em vinil colorido (cores diversas a escolher), para adesivagem.</t>
  </si>
  <si>
    <t>90cm x metro linear</t>
  </si>
  <si>
    <t>Crachá c/ cordão</t>
  </si>
  <si>
    <t>Crachá em cartão PVC laminado branco, impressão digital 4x1 cores, resolução mínima 300 dpi's e espessura de 0,70 a 0,80mm cantos arredondados, com perfuração entre 15 a 20mm compatível com grampo de metal tipo jacaré do cordão. Deverá acompanhar o desenvolvimento da arte para aprovação pela UDESC. Acompanha cordão para crachá personalizado em impressão digital, com grampo de metal tipo jacaré, em 100% poliéster. Crachá  5,4 X 8,60cm, cordão 1,3 a 1,6 X 80 a 90cm.</t>
  </si>
  <si>
    <t xml:space="preserve">Placa em PVC branco, impressão digital 4x0 cores, resolução mínima 300 dpi's e espessura de 2mm, com fixação dupla face de espuma acrílica para ambiente externo de no mínimo 20mm de largura e de no mínimo 10cm de tamanho para cada 150g de placa. </t>
  </si>
  <si>
    <t>200 X 100cm</t>
  </si>
  <si>
    <t>70 x 35cm</t>
  </si>
  <si>
    <t>14 x 14cm</t>
  </si>
  <si>
    <t>MULTYGRAFHIC EDITORA LTDA</t>
  </si>
  <si>
    <t>CARTAZ. Formato 30 (largura) x 40 (altura) cm; Impresso em papel fotográfico de alta qualidade, brilho, com gramatura 200g; qualidade de impressão de pelo menos 300 DPIs; Impressão colorida 4 cores - impressão só frente (sem verso)</t>
  </si>
  <si>
    <t>30 x 40 cm</t>
  </si>
  <si>
    <t>RB FLEXO LTDA</t>
  </si>
  <si>
    <t>FLYER FRENTE E VERSO; FORMATO A5 = 15 (largura) X 21 (altura) cm; Papel Couchê Brilho, com gramatura 115 G; COR DE IMPRESSÃO 4 CORES (Colorido) - impressão frente e verso</t>
  </si>
  <si>
    <r>
      <t>FOLDER FRENTE E VERSO; FORMATO A4 = 29,7 (largura) X 21 (altura) cm; Papel Couchê Brilho ou Fosco, com gramatura 115 G; COR DE IMPRESSÃO 4 CORES (Colorido) - impressão frente e verso.</t>
    </r>
    <r>
      <rPr>
        <sz val="10"/>
        <color rgb="FFFF0000"/>
        <rFont val="Calibri"/>
        <family val="2"/>
        <scheme val="minor"/>
      </rPr>
      <t xml:space="preserve"> Com UMA dobra. </t>
    </r>
  </si>
  <si>
    <r>
      <t xml:space="preserve">FOLDER. Formato aberto: 39 X 28 cm; cor de impressão 4 cores (colorido - impressão frente e verso); papel couchê fosco, gramatura 150g; acabamento: folder dobrado em 3 partes iguais. </t>
    </r>
    <r>
      <rPr>
        <sz val="10"/>
        <color rgb="FFFF0000"/>
        <rFont val="Calibri"/>
        <family val="2"/>
        <scheme val="minor"/>
      </rPr>
      <t>DUAS dobras</t>
    </r>
  </si>
  <si>
    <t>PROCESSO: PE 1755/2023 - SGPE 51233/2023</t>
  </si>
  <si>
    <t>CENTRO PARTICIPANTE: REITORIA/BU</t>
  </si>
  <si>
    <t>CENTRO PARTICIPANTE: REITORIA/SCII</t>
  </si>
  <si>
    <t>CENTRO PARTICIPANTE: REITORIA/PROEX</t>
  </si>
  <si>
    <t>CENTRO PARTICIPANTE: REITORIA/MUSEU</t>
  </si>
  <si>
    <t>CENTRO PARTICIPANTE: ESAG</t>
  </si>
  <si>
    <t>CENTRO PARTICIPANTE: CEART</t>
  </si>
  <si>
    <t>CENTRO PARTICIPANTE: FAED</t>
  </si>
  <si>
    <t>CENTRO PARTICIPANTE: CEFID</t>
  </si>
  <si>
    <t>CENTRO PARTICIPANTE: CAV</t>
  </si>
  <si>
    <t>CENTRO PARTICIPANTE: CEO</t>
  </si>
  <si>
    <t>CENTRO PARTICIPANTE: CEPLAN</t>
  </si>
  <si>
    <t>CENTRO PARTICIPANTE: CEAVI</t>
  </si>
  <si>
    <t>CENTRO PARTICIPANTE: CCT</t>
  </si>
  <si>
    <t>CENTRO PARTICIPANTE: CERES</t>
  </si>
  <si>
    <t>CENTRO PARTICIPANTE: CESFI</t>
  </si>
  <si>
    <t>CENTRO PARTICIPANTE: CESMO</t>
  </si>
  <si>
    <t>CENTRO PARTICIPANTE: GESTOR</t>
  </si>
  <si>
    <t>OS nº 249/2024 Qtde. DT</t>
  </si>
  <si>
    <r>
      <rPr>
        <b/>
        <sz val="10"/>
        <rFont val="Calibri"/>
        <family val="2"/>
        <scheme val="minor"/>
      </rPr>
      <t>OBJETO:</t>
    </r>
    <r>
      <rPr>
        <sz val="10"/>
        <rFont val="Calibri"/>
        <family val="2"/>
        <scheme val="minor"/>
      </rPr>
      <t xml:space="preserve"> CONTRATAÇÃO DE EMPRESA ESPECIALIZADA EM SERVIÇOS GRÁFICOS (IMPRESSOS ADAPTADOS, BANNERS, FRONTLIGHT, ADESIVOS, ENTRE OUTROS) PARA A UDESC</t>
    </r>
  </si>
  <si>
    <t>OS nº  515/2024 Qtde. DT</t>
  </si>
  <si>
    <t>OS nº 1000/2024 Qtde. DT</t>
  </si>
  <si>
    <r>
      <t xml:space="preserve">OBS: </t>
    </r>
    <r>
      <rPr>
        <b/>
        <u/>
        <sz val="11"/>
        <rFont val="Calibri"/>
        <family val="2"/>
        <scheme val="minor"/>
      </rPr>
      <t>VALOR MÍNIMO</t>
    </r>
    <r>
      <rPr>
        <b/>
        <sz val="11"/>
        <rFont val="Calibri"/>
        <family val="2"/>
        <scheme val="minor"/>
      </rPr>
      <t xml:space="preserve"> DA OS: </t>
    </r>
    <r>
      <rPr>
        <b/>
        <u/>
        <sz val="11"/>
        <rFont val="Calibri"/>
        <family val="2"/>
        <scheme val="minor"/>
      </rPr>
      <t>R$ 300,00</t>
    </r>
  </si>
  <si>
    <t>OS nº 1099/2024 Qtde. DT</t>
  </si>
  <si>
    <t>OS nº  513/2024 Qtde. DT</t>
  </si>
  <si>
    <t>OS nº   1536/2024 Qtde. DT</t>
  </si>
  <si>
    <t>OS nº   1538/2024 Qtde. DT</t>
  </si>
  <si>
    <t>OS nº   1539/2024 Qtde. DT</t>
  </si>
  <si>
    <t>OS nº   1585/2024 Qtde. DT</t>
  </si>
  <si>
    <t>OS nº   1587/2024 Qtde. DT</t>
  </si>
  <si>
    <t>OS nº 1934/2024 Qtde. DT</t>
  </si>
  <si>
    <t>OS nº   1941/2024 Qtde. DT</t>
  </si>
  <si>
    <t>OS nº 1965/2024 Qtde. DT</t>
  </si>
  <si>
    <t>OS nº   2063/2024 Qtde. DT</t>
  </si>
  <si>
    <t>OS nº   474/2024                GL</t>
  </si>
  <si>
    <t>OS nº   1108/2024        AA Mainardes</t>
  </si>
  <si>
    <t>OS 1258/2024     3D</t>
  </si>
  <si>
    <t>OS nº   1433/2024
GL</t>
  </si>
  <si>
    <t>OS nº   261/2024 Qtde. DT</t>
  </si>
  <si>
    <t>OS nº   402/2024 Qtde. DT</t>
  </si>
  <si>
    <t>OS nº   404/2024 Qtde. DT</t>
  </si>
  <si>
    <t>OS nº   868/2024 Qtde. DT</t>
  </si>
  <si>
    <t>OS nº   1129/2024 Qtde. DT</t>
  </si>
  <si>
    <t>OS nº   1469/2024 Qtde. DT</t>
  </si>
  <si>
    <t>OS nº   1472/2024 Qtde. DT</t>
  </si>
  <si>
    <t>OS nº   1494/2024 Qtde. DT</t>
  </si>
  <si>
    <t xml:space="preserve">OS nº   450/2024 </t>
  </si>
  <si>
    <t xml:space="preserve">OS nº  970/2024 </t>
  </si>
  <si>
    <t xml:space="preserve">OS nº   1020/2024 </t>
  </si>
  <si>
    <t xml:space="preserve">OS nº   1071/2024 </t>
  </si>
  <si>
    <t>OS nº   1115/2024</t>
  </si>
  <si>
    <t>OS nº   0284/2024 Qtde. DT</t>
  </si>
  <si>
    <t>OS nº   0576/2024   Qtde. DT</t>
  </si>
  <si>
    <t>OS nº 1271/2024 Qtde. DT</t>
  </si>
  <si>
    <t>OS nº   1603/2024 Qtde. DT</t>
  </si>
  <si>
    <t>OS nº   510/2024 Qtde. DT</t>
  </si>
  <si>
    <t>OS nº   718/2024 Qtde. DT</t>
  </si>
  <si>
    <t>OS nº   747/2024 Qtde. DT</t>
  </si>
  <si>
    <t>OS nº   929/2024 Qtde. DT</t>
  </si>
  <si>
    <t>OS nº   972/2024 Qtde. DT</t>
  </si>
  <si>
    <t>OS nº   1058/2024 Qtde. DT</t>
  </si>
  <si>
    <t>OS nº   1118/2024 Qtde. DT</t>
  </si>
  <si>
    <t>OS nº   1421/2024 Qtde. DT</t>
  </si>
  <si>
    <t>27/03/2024
Murilo - Eventos</t>
  </si>
  <si>
    <t xml:space="preserve">11/04/2024
Luciano - PPGEC e Murilo Eventos </t>
  </si>
  <si>
    <t>19/04/2024
Murilo - Eventos</t>
  </si>
  <si>
    <t>07/05/2024
Murilo - Eventos</t>
  </si>
  <si>
    <t>13/05/2024
Murilo - Eventos</t>
  </si>
  <si>
    <t>22/05/2024
Murilo - Eventos (Pedro Bertemes DEE)</t>
  </si>
  <si>
    <t>03/06/2024
Murilo - Feira do Livro</t>
  </si>
  <si>
    <t>02/07/2024
Biblioteca</t>
  </si>
  <si>
    <t>OS nº   463/2024 Qtde. DT</t>
  </si>
  <si>
    <t>OS nº   512/2024 Qtde. DT</t>
  </si>
  <si>
    <t>OS nº   511/2024 Qtde. DT</t>
  </si>
  <si>
    <t>OS nº   527/2024 Qtde. DT</t>
  </si>
  <si>
    <t>OS nº   687/2024 Qtde. DT</t>
  </si>
  <si>
    <t>OS nº   710/2024 Qtde. DT</t>
  </si>
  <si>
    <t>OS nº   783/2024 Qtde. DT</t>
  </si>
  <si>
    <t>OS nº   950/2024 Qtde. DT</t>
  </si>
  <si>
    <t>OS nº   1331/2024 Qtde. DT</t>
  </si>
  <si>
    <t>OS nº   281/2024 Qtde. DT</t>
  </si>
  <si>
    <t>OS nº   415/2024 Qtde. DT</t>
  </si>
  <si>
    <t>OS nº   672/2024 Qtde. DT</t>
  </si>
  <si>
    <t>OS nº   1052/2024 Qtde. DT</t>
  </si>
  <si>
    <t>OS nº   1068/2024 Qtde. DT</t>
  </si>
  <si>
    <t>OS nº   1358/2024 Qtde. DT</t>
  </si>
  <si>
    <t>OS nº   591/2024 DENF ELISANGELA</t>
  </si>
  <si>
    <t>OS nº   685/2024       DEG</t>
  </si>
  <si>
    <t>OS nº   1338/2024 Geórgia</t>
  </si>
  <si>
    <t>OS nº   435/2024  - mari biblio</t>
  </si>
  <si>
    <t>OS nº 0892/2024     DEX</t>
  </si>
  <si>
    <t>OS nº   325/2024 Qtde. DT</t>
  </si>
  <si>
    <t>OS nº   339/2024 Qtde. DT</t>
  </si>
  <si>
    <t>OS nº   716/2024 Qtde. DT</t>
  </si>
  <si>
    <t>OS nº   864/2024 Qtde. DT</t>
  </si>
  <si>
    <t>OS nº   554/2024 Qtde. DT</t>
  </si>
  <si>
    <t>OS nº   824/2024 Qtde. DT</t>
  </si>
  <si>
    <t>OS nº   1177/2024 Qtde. DT</t>
  </si>
  <si>
    <t>OS nº   1449/2024 Qtde. DT</t>
  </si>
  <si>
    <t>OS nº   1894/2024 Qtde. DT -</t>
  </si>
  <si>
    <t>OS nº   1914/2024 Qtde. DT</t>
  </si>
  <si>
    <t>OS nº   2060/2024 Qtde. DT</t>
  </si>
  <si>
    <t>OS nº 516/2024 Qtde. DT</t>
  </si>
  <si>
    <t>OS nº   2165/2024 Qtde. DT</t>
  </si>
  <si>
    <t>OS nº 2166/2024 Qtde. DT</t>
  </si>
  <si>
    <t>OS nº 2186/2024 Qtde. DT</t>
  </si>
  <si>
    <t>OS nº 2311/2024 Qtde. DT</t>
  </si>
  <si>
    <t>OS nº 2313/2024 Qtde. DT</t>
  </si>
  <si>
    <t>OS nº   2445/2024 Qtde. DT</t>
  </si>
  <si>
    <t>OS nº 2448/2024 Qtde. DT</t>
  </si>
  <si>
    <t>OS nº   2718/2024 Qtde. DT</t>
  </si>
  <si>
    <t>OS nº 2739/2024 Qtde. DT</t>
  </si>
  <si>
    <t>OS nº 2967/2024 Qtde. DT</t>
  </si>
  <si>
    <t>OS nº   3071/2024 Qtde. DT</t>
  </si>
  <si>
    <t>OS nº 22/2025 Qtde. DT</t>
  </si>
  <si>
    <t>OS nº   XXXX/2025 Qtde. DT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</si>
  <si>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</si>
  <si>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</si>
  <si>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</si>
  <si>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</si>
  <si>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</si>
  <si>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</si>
  <si>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</si>
  <si>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>Qtde Utilizada Ata</t>
  </si>
  <si>
    <t>Qtde Utilizada Total</t>
  </si>
  <si>
    <t>Quantidade disponível para aditivar</t>
  </si>
  <si>
    <t>Qtde Aditivada</t>
  </si>
  <si>
    <t>SALDO</t>
  </si>
  <si>
    <t>Valor Total Registrado</t>
  </si>
  <si>
    <t>Valor Total Aditivado</t>
  </si>
  <si>
    <r>
      <rPr>
        <sz val="10"/>
        <color rgb="FFFF0000"/>
        <rFont val="Calibri"/>
        <family val="2"/>
        <scheme val="minor"/>
      </rPr>
      <t>339039.63</t>
    </r>
    <r>
      <rPr>
        <sz val="10"/>
        <rFont val="Calibri"/>
        <family val="2"/>
        <scheme val="minor"/>
      </rPr>
      <t xml:space="preserve"> </t>
    </r>
    <r>
      <rPr>
        <b/>
        <sz val="10"/>
        <color rgb="FF0000FF"/>
        <rFont val="Calibri"/>
        <family val="2"/>
        <scheme val="minor"/>
      </rPr>
      <t>339030.16</t>
    </r>
  </si>
  <si>
    <t>OS nº 144/2025 Qtde. DT [GL EDITORA]</t>
  </si>
  <si>
    <t>OS nº 146/2025 Qtde. DT [A A MAINARDES]</t>
  </si>
  <si>
    <r>
      <rPr>
        <sz val="10"/>
        <color rgb="FFFF0000"/>
        <rFont val="Calibri"/>
        <family val="2"/>
        <scheme val="minor"/>
      </rPr>
      <t xml:space="preserve">339039.63 </t>
    </r>
    <r>
      <rPr>
        <sz val="10"/>
        <color rgb="FF0000FF"/>
        <rFont val="Calibri"/>
        <family val="2"/>
        <scheme val="minor"/>
      </rPr>
      <t>339030.16</t>
    </r>
  </si>
  <si>
    <t>OS nº 177/2025 Qtde. DT [MULTYGRAFHIC]</t>
  </si>
  <si>
    <t>OS nº  181/2025 Qtde. DT [RB FLEXO]</t>
  </si>
  <si>
    <t>OS nº 189/2025 Qtde. DT [3D IMPRESSÃO]</t>
  </si>
  <si>
    <r>
      <t>CENTRO PARTICIPANTE: REITORIA/SECOM</t>
    </r>
    <r>
      <rPr>
        <sz val="10"/>
        <color rgb="FF0066FF"/>
        <rFont val="Calibri"/>
        <family val="2"/>
        <scheme val="minor"/>
      </rPr>
      <t xml:space="preserve"> </t>
    </r>
    <r>
      <rPr>
        <sz val="10"/>
        <color rgb="FF0000FF"/>
        <rFont val="Calibri"/>
        <family val="2"/>
        <scheme val="minor"/>
      </rPr>
      <t>[ORIENTAÇÃO CPROR 23/01/25: sinalização, 339030-44; senão 339030-16 - mat.expediente, 339032-99, distribuição gratuita]</t>
    </r>
  </si>
  <si>
    <r>
      <t>CENTRO PARTICIPANTE: CEAD</t>
    </r>
    <r>
      <rPr>
        <sz val="10"/>
        <color rgb="FF0066FF"/>
        <rFont val="Calibri"/>
        <family val="2"/>
        <scheme val="minor"/>
      </rPr>
      <t xml:space="preserve"> </t>
    </r>
    <r>
      <rPr>
        <sz val="10"/>
        <color rgb="FF0000FF"/>
        <rFont val="Calibri"/>
        <family val="2"/>
        <scheme val="minor"/>
      </rPr>
      <t>[ORIENTAÇÃO CPROR 23/01/25: sinalização, 339030-44; senão 339030-16 - mat.expediente, 339032-99, distribuição gratuita]</t>
    </r>
  </si>
  <si>
    <t>OS nº 204/2025 Qtde. DT</t>
  </si>
  <si>
    <r>
      <rPr>
        <sz val="10"/>
        <color rgb="FFFF0000"/>
        <rFont val="Calibri"/>
        <family val="2"/>
        <scheme val="minor"/>
      </rPr>
      <t>339039.63</t>
    </r>
    <r>
      <rPr>
        <sz val="10"/>
        <rFont val="Calibri"/>
        <family val="2"/>
        <scheme val="minor"/>
      </rPr>
      <t xml:space="preserve"> </t>
    </r>
    <r>
      <rPr>
        <sz val="10"/>
        <color rgb="FF0066FF"/>
        <rFont val="Calibri"/>
        <family val="2"/>
        <scheme val="minor"/>
      </rPr>
      <t>339030.44</t>
    </r>
  </si>
  <si>
    <r>
      <rPr>
        <sz val="10"/>
        <color rgb="FFFF0000"/>
        <rFont val="Calibri"/>
        <family val="2"/>
        <scheme val="minor"/>
      </rPr>
      <t>339039.63</t>
    </r>
    <r>
      <rPr>
        <sz val="10"/>
        <rFont val="Calibri"/>
        <family val="2"/>
        <scheme val="minor"/>
      </rPr>
      <t xml:space="preserve"> </t>
    </r>
    <r>
      <rPr>
        <sz val="10"/>
        <color rgb="FF0000FF"/>
        <rFont val="Calibri"/>
        <family val="2"/>
        <scheme val="minor"/>
      </rPr>
      <t>339030.16</t>
    </r>
  </si>
  <si>
    <r>
      <rPr>
        <sz val="10"/>
        <color rgb="FFFF0000"/>
        <rFont val="Calibri"/>
        <family val="2"/>
        <scheme val="minor"/>
      </rPr>
      <t>339039.63</t>
    </r>
    <r>
      <rPr>
        <sz val="10"/>
        <rFont val="Calibri"/>
        <family val="2"/>
        <scheme val="minor"/>
      </rPr>
      <t xml:space="preserve"> </t>
    </r>
    <r>
      <rPr>
        <sz val="10"/>
        <color rgb="FF0000FF"/>
        <rFont val="Calibri"/>
        <family val="2"/>
        <scheme val="minor"/>
      </rPr>
      <t>339032.99</t>
    </r>
  </si>
  <si>
    <t>OS nº   2302/2024 
GL</t>
  </si>
  <si>
    <t>OS nº   2628/2024         GL</t>
  </si>
  <si>
    <t>OS nº   2670/2024       3D Digi</t>
  </si>
  <si>
    <t>OS nº   1984/2024 GL EDITORA</t>
  </si>
  <si>
    <t>OS nº  2015/2024 Qtde. DT</t>
  </si>
  <si>
    <t>OS nº   2188/2024 Qtde. DT</t>
  </si>
  <si>
    <t>OS nº   2734/2024 3D COMUNICA</t>
  </si>
  <si>
    <t>OS nº   2630/2024 GL EDITORA lucas moda</t>
  </si>
  <si>
    <t>OS nº   2685/2024 GL EDITORA comunicação</t>
  </si>
  <si>
    <t>OS nº   2688/2024 AA MAINARDES comunicação</t>
  </si>
  <si>
    <t>OS nº   2693/2024 GL editora numma</t>
  </si>
  <si>
    <t>OS nº   2751/2024 AMANDA - GL EDITORA</t>
  </si>
  <si>
    <t>OS nº   27522024 AMANDA - GL EDITORA</t>
  </si>
  <si>
    <t>OS nº   XXXX/2024 JOCIELE</t>
  </si>
  <si>
    <t>OS nº   2893/2024 AMANDA/3D IMPRESSÃO</t>
  </si>
  <si>
    <t>OS 3061/2024  SANDRA</t>
  </si>
  <si>
    <t>OS nº   3067/2024 Qtde. SANDRA</t>
  </si>
  <si>
    <t>OS nº  182/2025 Qtde. Anelize Z</t>
  </si>
  <si>
    <t>OS nº   1899/2024 Qtde. DT</t>
  </si>
  <si>
    <t>27.08.2024</t>
  </si>
  <si>
    <t>OS nº   20272024 Qtde. DT</t>
  </si>
  <si>
    <t>OS nº   2156/2024 Qtde. DT</t>
  </si>
  <si>
    <t>OS nº   2276/2024  Qtde. DT</t>
  </si>
  <si>
    <t>OS nº   2298/2024 Qtde. DT</t>
  </si>
  <si>
    <t>OS nº   165/2025 Qtde. DT</t>
  </si>
  <si>
    <t>14.02.2025</t>
  </si>
  <si>
    <t>OS nº   1768/2024</t>
  </si>
  <si>
    <t>OS nº   1773/2024</t>
  </si>
  <si>
    <t>OS nº   1796/2024</t>
  </si>
  <si>
    <t>OS nº   1800/2024</t>
  </si>
  <si>
    <t xml:space="preserve">OS nº   1872/2024 </t>
  </si>
  <si>
    <t>OS nº   1918/2024</t>
  </si>
  <si>
    <t>OS nº   1939/2024</t>
  </si>
  <si>
    <t>OS 1968/2024</t>
  </si>
  <si>
    <t>OS 1970/2024</t>
  </si>
  <si>
    <t>OS nº   2077/2024</t>
  </si>
  <si>
    <t>OS 2130/2024</t>
  </si>
  <si>
    <t>OS 2144/2024</t>
  </si>
  <si>
    <t>OS 2300/2024</t>
  </si>
  <si>
    <t>OS 2414/2024</t>
  </si>
  <si>
    <t>OS nº   2415/2024</t>
  </si>
  <si>
    <t>OS2581/2024</t>
  </si>
  <si>
    <t>OS 2584/2024</t>
  </si>
  <si>
    <t>OS 2798/2024</t>
  </si>
  <si>
    <t xml:space="preserve">OS 2827/2024 </t>
  </si>
  <si>
    <t>18.09/2024</t>
  </si>
  <si>
    <t>OS nº   2078/2024 Qtde. DT</t>
  </si>
  <si>
    <t>OS nº   2606/2024 Qtde. DT</t>
  </si>
  <si>
    <t>OS nº   2607/2024 Qtde. DT</t>
  </si>
  <si>
    <t>OS nº  1650/2024 Qtde. DT</t>
  </si>
  <si>
    <t>OS nº   2327/2024 Qtde. DT</t>
  </si>
  <si>
    <t>OS nº   2469/2024 Qtde. DT</t>
  </si>
  <si>
    <t>OS nº       2579/2024 Qtde. DT</t>
  </si>
  <si>
    <t>OS nº   2610/2024 Qtde. DT</t>
  </si>
  <si>
    <t>AF nº       183/2025        Qtde. DT</t>
  </si>
  <si>
    <t>OS nº   1786/2024 Qtde. DT</t>
  </si>
  <si>
    <t>OS nº   2113/2024 Qtde. DT</t>
  </si>
  <si>
    <t>OS nº   2241/2024 Qtde. DT</t>
  </si>
  <si>
    <t>OS nº   2372/2024 Qtde. DT</t>
  </si>
  <si>
    <t>OS nº   2428/2024 Qtde. DT</t>
  </si>
  <si>
    <t>OS nº   2635/2024 Qtde. DT</t>
  </si>
  <si>
    <t>OS nº   2779/2024 Qtde. DT</t>
  </si>
  <si>
    <t>OS nº   2959/2024 Qtde. DT</t>
  </si>
  <si>
    <t>14/08/2024
JORNADA DAS ENGENHARIAS 2024</t>
  </si>
  <si>
    <t>23/09/2024
PROFMAT</t>
  </si>
  <si>
    <t>30/09/2024
PROGRAMA DE EXTENSÃO LACIA</t>
  </si>
  <si>
    <t>11/10/2024
Penélope - Eventos</t>
  </si>
  <si>
    <t>16/10/2024
PRAPEG - Brenno DQMC</t>
  </si>
  <si>
    <t>OS nº   2285/2024 Qtde. DT</t>
  </si>
  <si>
    <t>OS nº  2419/2024 Qtde. DT</t>
  </si>
  <si>
    <t>OS nº   1761/2024 Qtde. DT</t>
  </si>
  <si>
    <t>OS nº   1913/2024 Qtde. DT</t>
  </si>
  <si>
    <t>OS nº   1936/2024 Qtde. DT</t>
  </si>
  <si>
    <t>OS nº   2023/2024 Qtde. DT</t>
  </si>
  <si>
    <t>OS nº   2121/2024 Qtde. DT</t>
  </si>
  <si>
    <t>OS nº   2223/2024 Qtde. DT</t>
  </si>
  <si>
    <t>OS nº   2272/2024 Qtde. DT</t>
  </si>
  <si>
    <t>OS nº   2710/2024 Qtde. DT</t>
  </si>
  <si>
    <t>OS nº   2719/2024 Qtde. DT</t>
  </si>
  <si>
    <t>OS nº   2833/2024 Qtde. DT</t>
  </si>
  <si>
    <t>OS nº   2968/2024 Qtde. DT</t>
  </si>
  <si>
    <t>OS nº   2971/2024 Qtde. DT</t>
  </si>
  <si>
    <t>OS nº   1832/2024 Qtde. DT     DIOGO ZOO</t>
  </si>
  <si>
    <t>OS nº   1919/2024 VÁRIOS - 300,00</t>
  </si>
  <si>
    <t>OS nº   2001/2024     Edir - ZOO</t>
  </si>
  <si>
    <t>OS nº   2081/2024 Andreia - NCTI</t>
  </si>
  <si>
    <t>OS nº   2239/2024 Olvani + DEG</t>
  </si>
  <si>
    <t>OS nº   2373/2024 SGPE 43862/44257</t>
  </si>
  <si>
    <t xml:space="preserve">OS nº   2377/2024 </t>
  </si>
  <si>
    <t>OS nº  2497/2024 Qtde. DT</t>
  </si>
  <si>
    <t>OS nº   2694/2024 Qtde. DT</t>
  </si>
  <si>
    <t>OS nº   2471/2024 Qtde. DT</t>
  </si>
  <si>
    <t>OS nº   2489/2024 Qtde. DT</t>
  </si>
  <si>
    <t>OS nº   2523/2024 Qtde. DT</t>
  </si>
  <si>
    <t>OS nº   2626/2024 Qtde. DT</t>
  </si>
  <si>
    <t>OS nº   2808/2024 DIOGO.ZOO</t>
  </si>
  <si>
    <t>OS nº   2864/2024 Clarissa.ENF</t>
  </si>
  <si>
    <t>OS nº   2886/2024 Sandra.Enf</t>
  </si>
  <si>
    <t>OS nº   2930/2024        DEX</t>
  </si>
  <si>
    <t>OS nº   3089/2024 KICI</t>
  </si>
  <si>
    <t>OS nº   3070/2024 KICI</t>
  </si>
  <si>
    <t>OS nº   196/2025 MARI + LETIERI</t>
  </si>
  <si>
    <t>OS nº   186/2025 DEX</t>
  </si>
  <si>
    <t>OS nº   188/2025 DEX+KATIA</t>
  </si>
  <si>
    <t>OS nº  193/2025 DEG</t>
  </si>
  <si>
    <t>DAD + DEG</t>
  </si>
  <si>
    <t>DEX</t>
  </si>
  <si>
    <t>DIEGO</t>
  </si>
  <si>
    <t>Danielle. Enf</t>
  </si>
  <si>
    <t>DEG - SEPE</t>
  </si>
  <si>
    <t>Aleksandro</t>
  </si>
  <si>
    <t>GL EDITORA</t>
  </si>
  <si>
    <t>MULTYGRAFHIC</t>
  </si>
  <si>
    <t>3D</t>
  </si>
  <si>
    <t>A A MAINERS</t>
  </si>
  <si>
    <t>MULTYGRAFIC</t>
  </si>
  <si>
    <t>OS nº   95/2025 Qtde. DT</t>
  </si>
  <si>
    <t>OS nº   170/2025 Qtde. DT</t>
  </si>
  <si>
    <t>PAEX</t>
  </si>
  <si>
    <t>OS nº 2277/2024 Qtde. DT</t>
  </si>
  <si>
    <t>OS nº   2109/2024 Qtde. DT</t>
  </si>
  <si>
    <t>OS nº   1921/2024 Qtde. DT</t>
  </si>
  <si>
    <t>OS nº   1810/2024 Qtde. DT -  PRAPEG</t>
  </si>
  <si>
    <t>Resumo Atualizado em 15/04/2025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</si>
</sst>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-* #,##0_-;\-* #,##0_-;_-* &quot;-&quot;??_-;_-@_-"/>
    <numFmt numFmtId="170" formatCode="&quot;R$&quot;\ #,##0.00"/>
    <numFmt numFmtId="171" formatCode="0;;;@"/>
    <numFmt numFmtId="172" formatCode="#,##0_ ;\-#,##0\ "/>
    <numFmt numFmtId="173" formatCode="#,##0_ ;[Red]\-#,##0\ "/>
  </numFmts>
  <fonts count="28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rgb="FF00B05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color indexed="81"/>
      <name val="Segoe UI"/>
      <family val="2"/>
    </font>
    <font>
      <b/>
      <sz val="10"/>
      <color indexed="81"/>
      <name val="Segoe UI"/>
      <family val="2"/>
    </font>
    <font>
      <b/>
      <sz val="9"/>
      <color rgb="FF000000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rgb="FF0066FF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indexed="81"/>
      <name val="Segoe UI"/>
      <charset val="1"/>
    </font>
    <font>
      <b/>
      <sz val="10"/>
      <color indexed="81"/>
      <name val="Segoe UI"/>
      <charset val="1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D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9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267">
    <xf numFmtId="0" fontId="0" fillId="0" borderId="0" xfId="0"/>
    <xf numFmtId="0" fontId="5" fillId="7" borderId="8" xfId="1" applyFont="1" applyFill="1" applyBorder="1" applyAlignment="1" applyProtection="1">
      <alignment horizontal="left" wrapText="1"/>
      <protection locked="0"/>
    </xf>
    <xf numFmtId="0" fontId="5" fillId="7" borderId="15" xfId="1" applyFont="1" applyFill="1" applyBorder="1" applyAlignment="1" applyProtection="1">
      <alignment horizontal="left" wrapText="1"/>
      <protection locked="0"/>
    </xf>
    <xf numFmtId="168" fontId="5" fillId="7" borderId="2" xfId="1" applyNumberFormat="1" applyFont="1" applyFill="1" applyBorder="1" applyAlignment="1" applyProtection="1">
      <alignment horizontal="right" wrapText="1"/>
      <protection locked="0"/>
    </xf>
    <xf numFmtId="0" fontId="5" fillId="7" borderId="10" xfId="1" applyFont="1" applyFill="1" applyBorder="1" applyAlignment="1" applyProtection="1">
      <alignment horizontal="left" wrapText="1"/>
      <protection locked="0"/>
    </xf>
    <xf numFmtId="0" fontId="5" fillId="7" borderId="0" xfId="1" applyFont="1" applyFill="1" applyBorder="1" applyAlignment="1" applyProtection="1">
      <alignment horizontal="left" wrapText="1"/>
      <protection locked="0"/>
    </xf>
    <xf numFmtId="168" fontId="5" fillId="7" borderId="7" xfId="1" applyNumberFormat="1" applyFont="1" applyFill="1" applyBorder="1" applyAlignment="1" applyProtection="1">
      <alignment horizontal="right" wrapText="1"/>
      <protection locked="0"/>
    </xf>
    <xf numFmtId="9" fontId="5" fillId="7" borderId="7" xfId="17" applyFont="1" applyFill="1" applyBorder="1" applyAlignment="1">
      <alignment horizontal="right" wrapText="1"/>
    </xf>
    <xf numFmtId="0" fontId="5" fillId="7" borderId="12" xfId="1" applyFont="1" applyFill="1" applyBorder="1" applyAlignment="1" applyProtection="1">
      <alignment horizontal="left" wrapText="1"/>
      <protection locked="0"/>
    </xf>
    <xf numFmtId="0" fontId="5" fillId="7" borderId="14" xfId="1" applyFont="1" applyFill="1" applyBorder="1" applyAlignment="1" applyProtection="1">
      <alignment horizontal="left" wrapText="1"/>
      <protection locked="0"/>
    </xf>
    <xf numFmtId="9" fontId="5" fillId="7" borderId="3" xfId="12" applyFont="1" applyFill="1" applyBorder="1" applyAlignment="1" applyProtection="1">
      <alignment horizontal="right" wrapText="1"/>
      <protection locked="0"/>
    </xf>
    <xf numFmtId="169" fontId="5" fillId="7" borderId="15" xfId="27" applyNumberFormat="1" applyFont="1" applyFill="1" applyBorder="1" applyAlignment="1" applyProtection="1">
      <alignment wrapText="1"/>
      <protection locked="0"/>
    </xf>
    <xf numFmtId="169" fontId="5" fillId="7" borderId="0" xfId="27" applyNumberFormat="1" applyFont="1" applyFill="1" applyBorder="1" applyAlignment="1" applyProtection="1">
      <alignment wrapText="1"/>
      <protection locked="0"/>
    </xf>
    <xf numFmtId="169" fontId="5" fillId="7" borderId="14" xfId="27" applyNumberFormat="1" applyFont="1" applyFill="1" applyBorder="1" applyAlignment="1" applyProtection="1">
      <alignment wrapText="1"/>
      <protection locked="0"/>
    </xf>
    <xf numFmtId="0" fontId="5" fillId="7" borderId="6" xfId="1" applyFont="1" applyFill="1" applyBorder="1" applyAlignment="1" applyProtection="1">
      <alignment wrapText="1"/>
      <protection locked="0"/>
    </xf>
    <xf numFmtId="0" fontId="8" fillId="7" borderId="8" xfId="1" applyFont="1" applyFill="1" applyBorder="1" applyAlignment="1">
      <alignment vertical="center" wrapText="1"/>
    </xf>
    <xf numFmtId="0" fontId="8" fillId="7" borderId="10" xfId="1" applyFont="1" applyFill="1" applyBorder="1" applyAlignment="1">
      <alignment vertical="center" wrapText="1"/>
    </xf>
    <xf numFmtId="0" fontId="8" fillId="7" borderId="12" xfId="1" applyFont="1" applyFill="1" applyBorder="1" applyAlignment="1">
      <alignment vertical="center" wrapText="1"/>
    </xf>
    <xf numFmtId="0" fontId="9" fillId="0" borderId="0" xfId="1" applyFont="1" applyAlignment="1">
      <alignment wrapText="1"/>
    </xf>
    <xf numFmtId="0" fontId="11" fillId="10" borderId="1" xfId="0" applyFont="1" applyFill="1" applyBorder="1" applyAlignment="1" applyProtection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44" fontId="11" fillId="10" borderId="1" xfId="13" applyFont="1" applyFill="1" applyBorder="1" applyAlignment="1" applyProtection="1">
      <alignment horizontal="center" vertical="center" wrapText="1"/>
    </xf>
    <xf numFmtId="1" fontId="9" fillId="2" borderId="1" xfId="1" applyNumberFormat="1" applyFont="1" applyFill="1" applyBorder="1" applyAlignment="1" applyProtection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Alignment="1">
      <alignment vertical="center" wrapText="1"/>
    </xf>
    <xf numFmtId="0" fontId="10" fillId="9" borderId="1" xfId="0" applyFont="1" applyFill="1" applyBorder="1" applyAlignment="1" applyProtection="1">
      <alignment horizontal="center" vertical="center"/>
    </xf>
    <xf numFmtId="0" fontId="9" fillId="9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center" vertical="center" wrapText="1"/>
    </xf>
    <xf numFmtId="49" fontId="9" fillId="9" borderId="1" xfId="0" applyNumberFormat="1" applyFont="1" applyFill="1" applyBorder="1" applyAlignment="1">
      <alignment horizontal="center" vertical="center" wrapText="1"/>
    </xf>
    <xf numFmtId="170" fontId="9" fillId="9" borderId="1" xfId="1" applyNumberFormat="1" applyFont="1" applyFill="1" applyBorder="1" applyAlignment="1">
      <alignment vertical="center" wrapText="1"/>
    </xf>
    <xf numFmtId="3" fontId="12" fillId="8" borderId="1" xfId="0" applyNumberFormat="1" applyFont="1" applyFill="1" applyBorder="1" applyAlignment="1" applyProtection="1">
      <alignment horizontal="center" vertical="center"/>
    </xf>
    <xf numFmtId="3" fontId="9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9" borderId="1" xfId="1" applyFont="1" applyFill="1" applyBorder="1" applyAlignment="1" applyProtection="1">
      <alignment wrapText="1"/>
      <protection locked="0"/>
    </xf>
    <xf numFmtId="0" fontId="9" fillId="9" borderId="1" xfId="1" applyFont="1" applyFill="1" applyBorder="1" applyAlignment="1">
      <alignment wrapText="1"/>
    </xf>
    <xf numFmtId="0" fontId="9" fillId="9" borderId="1" xfId="1" applyFont="1" applyFill="1" applyBorder="1" applyAlignment="1" applyProtection="1">
      <alignment horizontal="center" wrapText="1"/>
      <protection locked="0"/>
    </xf>
    <xf numFmtId="0" fontId="9" fillId="9" borderId="1" xfId="1" applyFont="1" applyFill="1" applyBorder="1" applyAlignment="1">
      <alignment horizontal="center" wrapText="1"/>
    </xf>
    <xf numFmtId="0" fontId="9" fillId="9" borderId="3" xfId="0" applyFont="1" applyFill="1" applyBorder="1" applyAlignment="1">
      <alignment vertical="center" wrapText="1"/>
    </xf>
    <xf numFmtId="0" fontId="10" fillId="11" borderId="1" xfId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 applyProtection="1">
      <alignment horizontal="center" vertical="center"/>
    </xf>
    <xf numFmtId="49" fontId="9" fillId="11" borderId="1" xfId="0" applyNumberFormat="1" applyFont="1" applyFill="1" applyBorder="1" applyAlignment="1">
      <alignment horizontal="center" vertical="center" wrapText="1"/>
    </xf>
    <xf numFmtId="170" fontId="9" fillId="11" borderId="1" xfId="1" applyNumberFormat="1" applyFont="1" applyFill="1" applyBorder="1" applyAlignment="1">
      <alignment vertical="center" wrapText="1"/>
    </xf>
    <xf numFmtId="0" fontId="9" fillId="11" borderId="1" xfId="0" applyFont="1" applyFill="1" applyBorder="1" applyAlignment="1" applyProtection="1">
      <alignment horizontal="center" vertical="center"/>
      <protection locked="0"/>
    </xf>
    <xf numFmtId="49" fontId="9" fillId="11" borderId="1" xfId="0" applyNumberFormat="1" applyFont="1" applyFill="1" applyBorder="1" applyAlignment="1" applyProtection="1">
      <alignment horizontal="center" vertical="center"/>
      <protection locked="0"/>
    </xf>
    <xf numFmtId="170" fontId="9" fillId="9" borderId="1" xfId="1" applyNumberFormat="1" applyFont="1" applyFill="1" applyBorder="1" applyAlignment="1">
      <alignment wrapText="1"/>
    </xf>
    <xf numFmtId="0" fontId="10" fillId="11" borderId="1" xfId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vertical="center" wrapText="1"/>
    </xf>
    <xf numFmtId="0" fontId="10" fillId="9" borderId="1" xfId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left" vertical="center" wrapText="1"/>
    </xf>
    <xf numFmtId="49" fontId="9" fillId="9" borderId="1" xfId="0" applyNumberFormat="1" applyFont="1" applyFill="1" applyBorder="1" applyAlignment="1" applyProtection="1">
      <alignment horizontal="center" vertical="center"/>
      <protection locked="0"/>
    </xf>
    <xf numFmtId="0" fontId="9" fillId="9" borderId="1" xfId="0" applyFont="1" applyFill="1" applyBorder="1" applyAlignment="1">
      <alignment horizontal="left" vertical="center" wrapText="1"/>
    </xf>
    <xf numFmtId="3" fontId="9" fillId="8" borderId="1" xfId="0" applyNumberFormat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 wrapText="1"/>
    </xf>
    <xf numFmtId="4" fontId="9" fillId="0" borderId="0" xfId="1" applyNumberFormat="1" applyFont="1" applyFill="1" applyAlignment="1">
      <alignment horizontal="center" vertical="center" wrapText="1"/>
    </xf>
    <xf numFmtId="44" fontId="9" fillId="0" borderId="0" xfId="13" applyFont="1" applyFill="1" applyAlignment="1">
      <alignment horizontal="center" vertical="center" wrapText="1"/>
    </xf>
    <xf numFmtId="1" fontId="9" fillId="0" borderId="0" xfId="1" applyNumberFormat="1" applyFont="1" applyFill="1" applyAlignment="1" applyProtection="1">
      <alignment horizontal="center" wrapText="1"/>
      <protection locked="0"/>
    </xf>
    <xf numFmtId="166" fontId="9" fillId="0" borderId="0" xfId="0" applyNumberFormat="1" applyFont="1" applyFill="1" applyAlignment="1">
      <alignment horizontal="center" vertical="center" wrapText="1"/>
    </xf>
    <xf numFmtId="3" fontId="9" fillId="0" borderId="0" xfId="1" applyNumberFormat="1" applyFont="1" applyAlignment="1" applyProtection="1">
      <alignment wrapText="1"/>
      <protection locked="0"/>
    </xf>
    <xf numFmtId="44" fontId="9" fillId="0" borderId="0" xfId="13" applyFont="1" applyAlignment="1" applyProtection="1">
      <alignment wrapText="1"/>
      <protection locked="0"/>
    </xf>
    <xf numFmtId="0" fontId="9" fillId="0" borderId="0" xfId="1" applyFont="1" applyAlignment="1" applyProtection="1">
      <alignment wrapText="1"/>
      <protection locked="0"/>
    </xf>
    <xf numFmtId="0" fontId="9" fillId="9" borderId="3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vertical="center" wrapText="1"/>
    </xf>
    <xf numFmtId="0" fontId="9" fillId="9" borderId="1" xfId="0" applyFont="1" applyFill="1" applyBorder="1" applyAlignment="1" applyProtection="1">
      <alignment horizontal="center" vertical="center" wrapText="1"/>
      <protection locked="0"/>
    </xf>
    <xf numFmtId="0" fontId="10" fillId="9" borderId="3" xfId="0" applyFont="1" applyFill="1" applyBorder="1" applyAlignment="1" applyProtection="1">
      <alignment horizontal="center" vertical="center"/>
    </xf>
    <xf numFmtId="0" fontId="10" fillId="9" borderId="3" xfId="1" applyFont="1" applyFill="1" applyBorder="1" applyAlignment="1">
      <alignment horizontal="center" vertical="center" wrapText="1"/>
    </xf>
    <xf numFmtId="0" fontId="9" fillId="11" borderId="1" xfId="0" applyFont="1" applyFill="1" applyBorder="1" applyAlignment="1" applyProtection="1">
      <alignment horizontal="center" vertical="center" wrapText="1"/>
      <protection locked="0"/>
    </xf>
    <xf numFmtId="44" fontId="9" fillId="9" borderId="0" xfId="13" applyFont="1" applyFill="1" applyAlignment="1" applyProtection="1">
      <alignment wrapText="1"/>
      <protection locked="0"/>
    </xf>
    <xf numFmtId="0" fontId="10" fillId="0" borderId="1" xfId="0" applyFont="1" applyFill="1" applyBorder="1" applyAlignment="1" applyProtection="1">
      <alignment horizontal="center" vertical="center"/>
    </xf>
    <xf numFmtId="0" fontId="10" fillId="10" borderId="1" xfId="0" applyFont="1" applyFill="1" applyBorder="1" applyAlignment="1" applyProtection="1">
      <alignment horizontal="center" vertical="center" wrapText="1"/>
    </xf>
    <xf numFmtId="166" fontId="9" fillId="7" borderId="1" xfId="0" applyNumberFormat="1" applyFont="1" applyFill="1" applyBorder="1" applyAlignment="1">
      <alignment horizontal="center" vertical="center" wrapText="1"/>
    </xf>
    <xf numFmtId="170" fontId="9" fillId="12" borderId="1" xfId="1" applyNumberFormat="1" applyFont="1" applyFill="1" applyBorder="1" applyAlignment="1">
      <alignment wrapText="1"/>
    </xf>
    <xf numFmtId="170" fontId="9" fillId="0" borderId="0" xfId="1" applyNumberFormat="1" applyFont="1" applyAlignment="1">
      <alignment wrapText="1"/>
    </xf>
    <xf numFmtId="0" fontId="9" fillId="9" borderId="1" xfId="0" applyFont="1" applyFill="1" applyBorder="1" applyAlignment="1">
      <alignment horizontal="left" vertical="center" wrapText="1"/>
    </xf>
    <xf numFmtId="1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9" borderId="0" xfId="1" applyFont="1" applyFill="1" applyAlignment="1" applyProtection="1">
      <alignment horizontal="center" wrapText="1"/>
      <protection locked="0"/>
    </xf>
    <xf numFmtId="0" fontId="9" fillId="9" borderId="0" xfId="1" applyFont="1" applyFill="1" applyAlignment="1" applyProtection="1">
      <alignment wrapText="1"/>
      <protection locked="0"/>
    </xf>
    <xf numFmtId="0" fontId="10" fillId="0" borderId="0" xfId="1" applyFont="1" applyAlignment="1">
      <alignment wrapText="1"/>
    </xf>
    <xf numFmtId="0" fontId="9" fillId="9" borderId="0" xfId="1" applyFont="1" applyFill="1" applyAlignment="1">
      <alignment wrapText="1"/>
    </xf>
    <xf numFmtId="0" fontId="9" fillId="9" borderId="1" xfId="1" applyFont="1" applyFill="1" applyBorder="1" applyAlignment="1" applyProtection="1">
      <alignment vertical="center" wrapText="1"/>
      <protection locked="0"/>
    </xf>
    <xf numFmtId="0" fontId="9" fillId="9" borderId="1" xfId="1" applyFont="1" applyFill="1" applyBorder="1" applyAlignment="1">
      <alignment vertical="center" wrapText="1"/>
    </xf>
    <xf numFmtId="0" fontId="9" fillId="9" borderId="1" xfId="1" applyNumberFormat="1" applyFont="1" applyFill="1" applyBorder="1" applyAlignment="1">
      <alignment vertical="center" wrapText="1"/>
    </xf>
    <xf numFmtId="0" fontId="9" fillId="9" borderId="1" xfId="1" applyFont="1" applyFill="1" applyBorder="1" applyAlignment="1" applyProtection="1">
      <alignment horizontal="center" vertical="center" wrapText="1"/>
      <protection locked="0"/>
    </xf>
    <xf numFmtId="0" fontId="9" fillId="9" borderId="1" xfId="1" applyNumberFormat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44" fontId="9" fillId="0" borderId="0" xfId="13" applyFont="1" applyAlignment="1" applyProtection="1">
      <alignment horizontal="center" wrapText="1"/>
      <protection locked="0"/>
    </xf>
    <xf numFmtId="0" fontId="9" fillId="0" borderId="0" xfId="1" applyFont="1" applyAlignment="1">
      <alignment horizontal="center" wrapText="1"/>
    </xf>
    <xf numFmtId="170" fontId="9" fillId="9" borderId="1" xfId="1" applyNumberFormat="1" applyFont="1" applyFill="1" applyBorder="1" applyAlignment="1">
      <alignment horizontal="center" vertical="center" wrapText="1"/>
    </xf>
    <xf numFmtId="170" fontId="9" fillId="0" borderId="0" xfId="1" applyNumberFormat="1" applyFont="1" applyAlignment="1" applyProtection="1">
      <alignment wrapText="1"/>
      <protection locked="0"/>
    </xf>
    <xf numFmtId="0" fontId="9" fillId="8" borderId="1" xfId="1" applyFont="1" applyFill="1" applyBorder="1" applyAlignment="1" applyProtection="1">
      <alignment wrapText="1"/>
      <protection locked="0"/>
    </xf>
    <xf numFmtId="0" fontId="9" fillId="8" borderId="1" xfId="1" applyFont="1" applyFill="1" applyBorder="1" applyAlignment="1" applyProtection="1">
      <alignment horizontal="center" vertical="center" wrapText="1"/>
      <protection locked="0"/>
    </xf>
    <xf numFmtId="0" fontId="10" fillId="8" borderId="1" xfId="0" applyFont="1" applyFill="1" applyBorder="1" applyAlignment="1" applyProtection="1">
      <alignment horizontal="center" vertical="center"/>
    </xf>
    <xf numFmtId="0" fontId="9" fillId="8" borderId="1" xfId="0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170" fontId="9" fillId="8" borderId="1" xfId="1" applyNumberFormat="1" applyFont="1" applyFill="1" applyBorder="1" applyAlignment="1">
      <alignment vertical="center" wrapText="1"/>
    </xf>
    <xf numFmtId="4" fontId="16" fillId="0" borderId="0" xfId="1" applyNumberFormat="1" applyFont="1" applyFill="1" applyAlignment="1">
      <alignment horizontal="center" vertical="center" wrapText="1"/>
    </xf>
    <xf numFmtId="0" fontId="9" fillId="8" borderId="1" xfId="1" applyFont="1" applyFill="1" applyBorder="1" applyAlignment="1" applyProtection="1">
      <alignment horizontal="center" wrapText="1"/>
      <protection locked="0"/>
    </xf>
    <xf numFmtId="0" fontId="9" fillId="8" borderId="1" xfId="1" applyNumberFormat="1" applyFont="1" applyFill="1" applyBorder="1" applyAlignment="1">
      <alignment horizontal="center" wrapText="1"/>
    </xf>
    <xf numFmtId="0" fontId="9" fillId="0" borderId="1" xfId="1" applyFont="1" applyFill="1" applyBorder="1" applyAlignment="1" applyProtection="1">
      <alignment wrapText="1"/>
      <protection locked="0"/>
    </xf>
    <xf numFmtId="0" fontId="9" fillId="0" borderId="1" xfId="1" applyFont="1" applyFill="1" applyBorder="1" applyAlignment="1" applyProtection="1">
      <alignment horizontal="center" wrapText="1"/>
      <protection locked="0"/>
    </xf>
    <xf numFmtId="0" fontId="9" fillId="9" borderId="1" xfId="0" applyFont="1" applyFill="1" applyBorder="1" applyAlignment="1" applyProtection="1">
      <alignment horizontal="center" vertical="center"/>
    </xf>
    <xf numFmtId="14" fontId="10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9" fillId="8" borderId="1" xfId="1" applyNumberFormat="1" applyFont="1" applyFill="1" applyBorder="1" applyAlignment="1" applyProtection="1">
      <alignment horizontal="center" wrapText="1"/>
      <protection locked="0"/>
    </xf>
    <xf numFmtId="0" fontId="9" fillId="8" borderId="1" xfId="1" applyFont="1" applyFill="1" applyBorder="1" applyAlignment="1">
      <alignment horizontal="center" wrapText="1"/>
    </xf>
    <xf numFmtId="1" fontId="9" fillId="9" borderId="1" xfId="1" applyNumberFormat="1" applyFont="1" applyFill="1" applyBorder="1" applyAlignment="1" applyProtection="1">
      <alignment horizontal="center" wrapText="1"/>
      <protection locked="0"/>
    </xf>
    <xf numFmtId="170" fontId="9" fillId="9" borderId="1" xfId="1" applyNumberFormat="1" applyFont="1" applyFill="1" applyBorder="1" applyAlignment="1">
      <alignment horizontal="center" wrapText="1"/>
    </xf>
    <xf numFmtId="0" fontId="9" fillId="0" borderId="0" xfId="1" applyFont="1" applyAlignment="1" applyProtection="1">
      <alignment horizontal="center" wrapText="1"/>
      <protection locked="0"/>
    </xf>
    <xf numFmtId="14" fontId="10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1" xfId="1" applyFont="1" applyFill="1" applyBorder="1" applyAlignment="1">
      <alignment wrapText="1"/>
    </xf>
    <xf numFmtId="0" fontId="10" fillId="8" borderId="1" xfId="1" applyFont="1" applyFill="1" applyBorder="1" applyAlignment="1" applyProtection="1">
      <alignment horizontal="center" vertical="center" wrapText="1"/>
      <protection locked="0"/>
    </xf>
    <xf numFmtId="44" fontId="9" fillId="9" borderId="0" xfId="108" applyFont="1" applyFill="1" applyAlignment="1" applyProtection="1">
      <alignment wrapText="1"/>
      <protection locked="0"/>
    </xf>
    <xf numFmtId="44" fontId="9" fillId="0" borderId="0" xfId="108" applyFont="1" applyAlignment="1" applyProtection="1">
      <alignment wrapText="1"/>
      <protection locked="0"/>
    </xf>
    <xf numFmtId="44" fontId="9" fillId="9" borderId="0" xfId="108" applyFont="1" applyFill="1" applyAlignment="1" applyProtection="1">
      <alignment horizontal="center" wrapText="1"/>
      <protection locked="0"/>
    </xf>
    <xf numFmtId="44" fontId="9" fillId="0" borderId="0" xfId="108" applyFont="1" applyAlignment="1" applyProtection="1">
      <alignment horizontal="center" wrapText="1"/>
      <protection locked="0"/>
    </xf>
    <xf numFmtId="0" fontId="9" fillId="0" borderId="1" xfId="1" applyFont="1" applyBorder="1" applyAlignment="1">
      <alignment wrapText="1"/>
    </xf>
    <xf numFmtId="0" fontId="9" fillId="8" borderId="1" xfId="1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3" fontId="10" fillId="9" borderId="1" xfId="1" applyNumberFormat="1" applyFont="1" applyFill="1" applyBorder="1" applyAlignment="1">
      <alignment horizontal="center" vertical="center" wrapText="1"/>
    </xf>
    <xf numFmtId="170" fontId="10" fillId="9" borderId="1" xfId="1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171" fontId="9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9" fillId="9" borderId="0" xfId="108" applyFont="1" applyFill="1" applyAlignment="1" applyProtection="1">
      <alignment horizontal="center" vertical="center" wrapText="1"/>
      <protection locked="0"/>
    </xf>
    <xf numFmtId="44" fontId="9" fillId="0" borderId="0" xfId="108" applyFont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horizontal="center" vertical="center" wrapText="1"/>
      <protection locked="0"/>
    </xf>
    <xf numFmtId="172" fontId="9" fillId="8" borderId="1" xfId="1" applyNumberFormat="1" applyFont="1" applyFill="1" applyBorder="1" applyAlignment="1">
      <alignment horizontal="center" vertical="center" wrapText="1"/>
    </xf>
    <xf numFmtId="0" fontId="20" fillId="0" borderId="0" xfId="0" applyFont="1"/>
    <xf numFmtId="4" fontId="21" fillId="9" borderId="0" xfId="1" applyNumberFormat="1" applyFont="1" applyFill="1" applyAlignment="1">
      <alignment horizontal="center" vertical="center" wrapText="1"/>
    </xf>
    <xf numFmtId="0" fontId="9" fillId="9" borderId="0" xfId="1" applyFont="1" applyFill="1" applyAlignment="1">
      <alignment horizontal="center" vertical="center" wrapText="1"/>
    </xf>
    <xf numFmtId="0" fontId="21" fillId="9" borderId="0" xfId="1" applyFont="1" applyFill="1" applyAlignment="1">
      <alignment horizontal="left" vertical="center"/>
    </xf>
    <xf numFmtId="0" fontId="10" fillId="9" borderId="0" xfId="1" applyFont="1" applyFill="1" applyAlignment="1">
      <alignment horizont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4" fontId="9" fillId="0" borderId="1" xfId="13" applyFont="1" applyFill="1" applyBorder="1" applyAlignment="1">
      <alignment vertical="center" wrapText="1"/>
    </xf>
    <xf numFmtId="169" fontId="9" fillId="0" borderId="0" xfId="27" applyNumberFormat="1" applyFont="1" applyFill="1" applyAlignment="1" applyProtection="1">
      <alignment horizont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170" fontId="9" fillId="0" borderId="1" xfId="1" applyNumberFormat="1" applyFont="1" applyFill="1" applyBorder="1" applyAlignment="1">
      <alignment vertical="center" wrapText="1"/>
    </xf>
    <xf numFmtId="3" fontId="22" fillId="16" borderId="1" xfId="0" applyNumberFormat="1" applyFont="1" applyFill="1" applyBorder="1" applyAlignment="1">
      <alignment horizontal="center" vertical="center" wrapText="1"/>
    </xf>
    <xf numFmtId="3" fontId="22" fillId="17" borderId="1" xfId="0" applyNumberFormat="1" applyFont="1" applyFill="1" applyBorder="1" applyAlignment="1">
      <alignment horizontal="center" vertical="center" wrapText="1"/>
    </xf>
    <xf numFmtId="3" fontId="22" fillId="6" borderId="1" xfId="0" applyNumberFormat="1" applyFont="1" applyFill="1" applyBorder="1" applyAlignment="1">
      <alignment horizontal="center" vertical="center" wrapText="1"/>
    </xf>
    <xf numFmtId="166" fontId="22" fillId="4" borderId="1" xfId="0" applyNumberFormat="1" applyFont="1" applyFill="1" applyBorder="1" applyAlignment="1">
      <alignment horizontal="center" vertical="center" wrapText="1"/>
    </xf>
    <xf numFmtId="0" fontId="9" fillId="10" borderId="1" xfId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166" fontId="9" fillId="10" borderId="1" xfId="1" applyNumberFormat="1" applyFont="1" applyFill="1" applyBorder="1" applyAlignment="1">
      <alignment horizontal="center" vertical="center" wrapText="1"/>
    </xf>
    <xf numFmtId="0" fontId="9" fillId="10" borderId="1" xfId="1" applyFont="1" applyFill="1" applyBorder="1" applyAlignment="1" applyProtection="1">
      <alignment horizontal="center" vertical="center" wrapText="1"/>
      <protection locked="0"/>
    </xf>
    <xf numFmtId="44" fontId="9" fillId="0" borderId="0" xfId="13" applyFont="1" applyFill="1" applyAlignment="1" applyProtection="1">
      <alignment horizontal="center" wrapText="1"/>
      <protection locked="0"/>
    </xf>
    <xf numFmtId="0" fontId="16" fillId="14" borderId="1" xfId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 wrapText="1"/>
    </xf>
    <xf numFmtId="166" fontId="22" fillId="2" borderId="1" xfId="1" applyNumberFormat="1" applyFont="1" applyFill="1" applyBorder="1" applyAlignment="1">
      <alignment horizontal="center" vertical="center" wrapText="1"/>
    </xf>
    <xf numFmtId="0" fontId="22" fillId="2" borderId="1" xfId="1" applyFont="1" applyFill="1" applyBorder="1" applyAlignment="1" applyProtection="1">
      <alignment horizontal="center" vertical="center" wrapText="1"/>
      <protection locked="0"/>
    </xf>
    <xf numFmtId="168" fontId="5" fillId="2" borderId="1" xfId="3" applyNumberFormat="1" applyFont="1" applyFill="1" applyBorder="1" applyAlignment="1" applyProtection="1">
      <alignment horizontal="center" vertical="center" wrapText="1"/>
    </xf>
    <xf numFmtId="3" fontId="12" fillId="16" borderId="1" xfId="0" applyNumberFormat="1" applyFont="1" applyFill="1" applyBorder="1" applyAlignment="1" applyProtection="1">
      <alignment horizontal="center" vertical="center"/>
    </xf>
    <xf numFmtId="3" fontId="12" fillId="18" borderId="1" xfId="0" applyNumberFormat="1" applyFont="1" applyFill="1" applyBorder="1" applyAlignment="1" applyProtection="1">
      <alignment horizontal="center" vertical="center"/>
    </xf>
    <xf numFmtId="166" fontId="5" fillId="17" borderId="1" xfId="0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73" fontId="22" fillId="4" borderId="1" xfId="0" applyNumberFormat="1" applyFont="1" applyFill="1" applyBorder="1" applyAlignment="1">
      <alignment horizontal="center" vertical="center" wrapText="1"/>
    </xf>
    <xf numFmtId="0" fontId="10" fillId="9" borderId="1" xfId="1" applyFont="1" applyFill="1" applyBorder="1" applyAlignment="1">
      <alignment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16" borderId="1" xfId="1" applyFont="1" applyFill="1" applyBorder="1" applyAlignment="1">
      <alignment vertical="center" wrapText="1"/>
    </xf>
    <xf numFmtId="44" fontId="9" fillId="0" borderId="0" xfId="13" applyFont="1" applyFill="1" applyAlignment="1" applyProtection="1">
      <alignment wrapText="1"/>
      <protection locked="0"/>
    </xf>
    <xf numFmtId="0" fontId="10" fillId="11" borderId="1" xfId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left" vertical="center" wrapText="1"/>
    </xf>
    <xf numFmtId="1" fontId="9" fillId="9" borderId="1" xfId="1" applyNumberFormat="1" applyFont="1" applyFill="1" applyBorder="1" applyAlignment="1">
      <alignment wrapText="1"/>
    </xf>
    <xf numFmtId="44" fontId="9" fillId="9" borderId="0" xfId="13" applyFont="1" applyFill="1" applyAlignment="1" applyProtection="1">
      <alignment horizontal="center" wrapText="1"/>
      <protection locked="0"/>
    </xf>
    <xf numFmtId="14" fontId="9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>
      <alignment horizontal="center" wrapText="1"/>
    </xf>
    <xf numFmtId="0" fontId="10" fillId="0" borderId="1" xfId="1" applyFont="1" applyBorder="1" applyAlignment="1">
      <alignment horizontal="center" wrapText="1"/>
    </xf>
    <xf numFmtId="0" fontId="9" fillId="0" borderId="1" xfId="1" applyFont="1" applyBorder="1" applyAlignment="1">
      <alignment horizontal="center" vertical="center" wrapText="1"/>
    </xf>
    <xf numFmtId="170" fontId="9" fillId="0" borderId="1" xfId="1" applyNumberFormat="1" applyFont="1" applyBorder="1" applyAlignment="1">
      <alignment wrapText="1"/>
    </xf>
    <xf numFmtId="44" fontId="9" fillId="0" borderId="0" xfId="108" applyFont="1" applyFill="1" applyAlignment="1" applyProtection="1">
      <alignment wrapText="1"/>
      <protection locked="0"/>
    </xf>
    <xf numFmtId="0" fontId="10" fillId="0" borderId="0" xfId="1" applyFont="1" applyAlignment="1">
      <alignment horizontal="center" wrapText="1"/>
    </xf>
    <xf numFmtId="0" fontId="1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>
      <alignment wrapText="1"/>
    </xf>
    <xf numFmtId="44" fontId="9" fillId="0" borderId="0" xfId="1" applyNumberFormat="1" applyFont="1" applyAlignment="1">
      <alignment wrapText="1"/>
    </xf>
    <xf numFmtId="0" fontId="9" fillId="14" borderId="1" xfId="1" applyFont="1" applyFill="1" applyBorder="1" applyAlignment="1">
      <alignment horizontal="center" vertical="center" wrapText="1"/>
    </xf>
    <xf numFmtId="0" fontId="13" fillId="9" borderId="1" xfId="1" applyFont="1" applyFill="1" applyBorder="1"/>
    <xf numFmtId="0" fontId="9" fillId="0" borderId="1" xfId="1" applyFont="1" applyBorder="1" applyAlignment="1" applyProtection="1">
      <alignment horizontal="center" wrapText="1"/>
      <protection locked="0"/>
    </xf>
    <xf numFmtId="0" fontId="9" fillId="0" borderId="1" xfId="1" applyFont="1" applyBorder="1" applyAlignment="1" applyProtection="1">
      <alignment wrapText="1"/>
      <protection locked="0"/>
    </xf>
    <xf numFmtId="0" fontId="10" fillId="7" borderId="1" xfId="0" applyFont="1" applyFill="1" applyBorder="1" applyAlignment="1" applyProtection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49" fontId="9" fillId="7" borderId="1" xfId="0" applyNumberFormat="1" applyFont="1" applyFill="1" applyBorder="1" applyAlignment="1" applyProtection="1">
      <alignment horizontal="center" vertical="center"/>
      <protection locked="0"/>
    </xf>
    <xf numFmtId="49" fontId="9" fillId="7" borderId="1" xfId="0" applyNumberFormat="1" applyFont="1" applyFill="1" applyBorder="1" applyAlignment="1">
      <alignment horizontal="center" vertical="center" wrapText="1"/>
    </xf>
    <xf numFmtId="170" fontId="9" fillId="7" borderId="1" xfId="1" applyNumberFormat="1" applyFont="1" applyFill="1" applyBorder="1" applyAlignment="1">
      <alignment vertical="center" wrapText="1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0" fontId="10" fillId="11" borderId="2" xfId="1" applyFont="1" applyFill="1" applyBorder="1" applyAlignment="1">
      <alignment horizontal="center" vertical="center" wrapText="1"/>
    </xf>
    <xf numFmtId="0" fontId="10" fillId="11" borderId="3" xfId="1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  <xf numFmtId="0" fontId="9" fillId="11" borderId="2" xfId="0" applyFont="1" applyFill="1" applyBorder="1" applyAlignment="1" applyProtection="1">
      <alignment wrapText="1"/>
      <protection locked="0"/>
    </xf>
    <xf numFmtId="0" fontId="9" fillId="11" borderId="3" xfId="0" applyFont="1" applyFill="1" applyBorder="1" applyAlignment="1" applyProtection="1">
      <alignment wrapText="1"/>
      <protection locked="0"/>
    </xf>
    <xf numFmtId="0" fontId="10" fillId="9" borderId="2" xfId="1" applyFont="1" applyFill="1" applyBorder="1" applyAlignment="1">
      <alignment horizontal="center" vertical="center" wrapText="1"/>
    </xf>
    <xf numFmtId="0" fontId="10" fillId="9" borderId="3" xfId="1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9" fillId="11" borderId="2" xfId="0" applyFont="1" applyFill="1" applyBorder="1" applyAlignment="1">
      <alignment vertical="center" wrapText="1"/>
    </xf>
    <xf numFmtId="0" fontId="9" fillId="11" borderId="3" xfId="0" applyFont="1" applyFill="1" applyBorder="1" applyAlignment="1">
      <alignment vertical="center" wrapText="1"/>
    </xf>
    <xf numFmtId="0" fontId="9" fillId="9" borderId="2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vertical="center" wrapText="1"/>
    </xf>
    <xf numFmtId="0" fontId="10" fillId="9" borderId="2" xfId="1" applyFont="1" applyFill="1" applyBorder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10" fillId="9" borderId="3" xfId="1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vertical="center" wrapText="1"/>
    </xf>
    <xf numFmtId="0" fontId="10" fillId="11" borderId="1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0" fontId="9" fillId="11" borderId="3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vertical="center" wrapText="1"/>
    </xf>
    <xf numFmtId="0" fontId="9" fillId="11" borderId="3" xfId="1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0" fillId="11" borderId="2" xfId="1" applyFont="1" applyFill="1" applyBorder="1" applyAlignment="1">
      <alignment horizontal="center" vertical="center"/>
    </xf>
    <xf numFmtId="0" fontId="10" fillId="11" borderId="3" xfId="1" applyFont="1" applyFill="1" applyBorder="1" applyAlignment="1">
      <alignment horizontal="center" vertical="center"/>
    </xf>
    <xf numFmtId="3" fontId="9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12" borderId="4" xfId="0" applyNumberFormat="1" applyFont="1" applyFill="1" applyBorder="1" applyAlignment="1">
      <alignment vertical="center" wrapText="1"/>
    </xf>
    <xf numFmtId="0" fontId="9" fillId="12" borderId="5" xfId="0" applyNumberFormat="1" applyFont="1" applyFill="1" applyBorder="1" applyAlignment="1">
      <alignment vertical="center" wrapText="1"/>
    </xf>
    <xf numFmtId="0" fontId="9" fillId="12" borderId="6" xfId="0" applyNumberFormat="1" applyFont="1" applyFill="1" applyBorder="1" applyAlignment="1">
      <alignment vertical="center" wrapText="1"/>
    </xf>
    <xf numFmtId="0" fontId="9" fillId="12" borderId="4" xfId="0" applyNumberFormat="1" applyFont="1" applyFill="1" applyBorder="1" applyAlignment="1">
      <alignment horizontal="left" vertical="center" wrapText="1"/>
    </xf>
    <xf numFmtId="0" fontId="9" fillId="12" borderId="5" xfId="0" applyNumberFormat="1" applyFont="1" applyFill="1" applyBorder="1" applyAlignment="1">
      <alignment horizontal="left" vertical="center" wrapText="1"/>
    </xf>
    <xf numFmtId="0" fontId="9" fillId="12" borderId="6" xfId="0" applyNumberFormat="1" applyFont="1" applyFill="1" applyBorder="1" applyAlignment="1">
      <alignment horizontal="left" vertical="center" wrapText="1"/>
    </xf>
    <xf numFmtId="0" fontId="16" fillId="13" borderId="4" xfId="0" applyFont="1" applyFill="1" applyBorder="1" applyAlignment="1">
      <alignment horizontal="center" vertical="center" wrapText="1"/>
    </xf>
    <xf numFmtId="0" fontId="16" fillId="13" borderId="5" xfId="0" applyFont="1" applyFill="1" applyBorder="1" applyAlignment="1">
      <alignment horizontal="center" vertical="center" wrapText="1"/>
    </xf>
    <xf numFmtId="0" fontId="16" fillId="13" borderId="6" xfId="0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1" borderId="2" xfId="0" applyFont="1" applyFill="1" applyBorder="1" applyAlignment="1" applyProtection="1">
      <alignment horizontal="center" wrapText="1"/>
      <protection locked="0"/>
    </xf>
    <xf numFmtId="0" fontId="9" fillId="11" borderId="3" xfId="0" applyFont="1" applyFill="1" applyBorder="1" applyAlignment="1" applyProtection="1">
      <alignment horizontal="center" wrapText="1"/>
      <protection locked="0"/>
    </xf>
    <xf numFmtId="0" fontId="9" fillId="8" borderId="3" xfId="0" applyFont="1" applyFill="1" applyBorder="1" applyAlignment="1">
      <alignment vertical="center" wrapText="1"/>
    </xf>
    <xf numFmtId="3" fontId="9" fillId="15" borderId="1" xfId="1" applyNumberFormat="1" applyFont="1" applyFill="1" applyBorder="1" applyAlignment="1" applyProtection="1">
      <alignment horizontal="center" vertical="center" wrapText="1"/>
      <protection locked="0"/>
    </xf>
    <xf numFmtId="3" fontId="10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3" fontId="9" fillId="8" borderId="1" xfId="1" applyNumberFormat="1" applyFont="1" applyFill="1" applyBorder="1" applyAlignment="1" applyProtection="1">
      <alignment horizontal="center" vertical="center" wrapText="1"/>
      <protection locked="0"/>
    </xf>
    <xf numFmtId="3" fontId="10" fillId="15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9" fillId="5" borderId="3" xfId="1" applyNumberFormat="1" applyFont="1" applyFill="1" applyBorder="1" applyAlignment="1" applyProtection="1">
      <alignment horizontal="center" vertical="center" wrapText="1"/>
      <protection locked="0"/>
    </xf>
    <xf numFmtId="3" fontId="9" fillId="5" borderId="2" xfId="1" applyNumberFormat="1" applyFont="1" applyFill="1" applyBorder="1" applyAlignment="1" applyProtection="1">
      <alignment horizontal="center" vertical="center"/>
      <protection locked="0"/>
    </xf>
    <xf numFmtId="3" fontId="9" fillId="5" borderId="3" xfId="1" applyNumberFormat="1" applyFont="1" applyFill="1" applyBorder="1" applyAlignment="1" applyProtection="1">
      <alignment horizontal="center" vertical="center"/>
      <protection locked="0"/>
    </xf>
    <xf numFmtId="3" fontId="11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11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10" fillId="9" borderId="2" xfId="0" applyFont="1" applyFill="1" applyBorder="1" applyAlignment="1">
      <alignment vertical="center" wrapText="1"/>
    </xf>
    <xf numFmtId="0" fontId="10" fillId="9" borderId="3" xfId="0" applyFont="1" applyFill="1" applyBorder="1" applyAlignment="1">
      <alignment vertical="center" wrapText="1"/>
    </xf>
    <xf numFmtId="3" fontId="10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10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43" fontId="9" fillId="12" borderId="4" xfId="27" applyFont="1" applyFill="1" applyBorder="1" applyAlignment="1">
      <alignment vertical="center" wrapText="1"/>
    </xf>
    <xf numFmtId="43" fontId="9" fillId="12" borderId="5" xfId="27" applyFont="1" applyFill="1" applyBorder="1" applyAlignment="1">
      <alignment vertical="center" wrapText="1"/>
    </xf>
    <xf numFmtId="43" fontId="9" fillId="12" borderId="6" xfId="27" applyFont="1" applyFill="1" applyBorder="1" applyAlignment="1">
      <alignment vertical="center" wrapText="1"/>
    </xf>
    <xf numFmtId="0" fontId="5" fillId="7" borderId="15" xfId="1" applyFont="1" applyFill="1" applyBorder="1" applyAlignment="1">
      <alignment horizontal="center" vertical="center" wrapText="1"/>
    </xf>
    <xf numFmtId="0" fontId="5" fillId="7" borderId="9" xfId="1" applyFont="1" applyFill="1" applyBorder="1" applyAlignment="1">
      <alignment horizontal="center" vertical="center" wrapText="1"/>
    </xf>
    <xf numFmtId="0" fontId="5" fillId="7" borderId="0" xfId="1" applyFont="1" applyFill="1" applyBorder="1" applyAlignment="1">
      <alignment horizontal="center" vertical="center" wrapText="1"/>
    </xf>
    <xf numFmtId="0" fontId="5" fillId="7" borderId="11" xfId="1" applyFont="1" applyFill="1" applyBorder="1" applyAlignment="1">
      <alignment horizontal="center" vertical="center" wrapText="1"/>
    </xf>
    <xf numFmtId="0" fontId="5" fillId="7" borderId="14" xfId="1" applyFont="1" applyFill="1" applyBorder="1" applyAlignment="1">
      <alignment horizontal="center" vertical="center" wrapText="1"/>
    </xf>
    <xf numFmtId="0" fontId="5" fillId="7" borderId="13" xfId="1" applyFont="1" applyFill="1" applyBorder="1" applyAlignment="1">
      <alignment horizontal="center" vertical="center" wrapText="1"/>
    </xf>
    <xf numFmtId="0" fontId="21" fillId="7" borderId="4" xfId="1" applyFont="1" applyFill="1" applyBorder="1" applyAlignment="1" applyProtection="1">
      <alignment horizontal="left" wrapText="1"/>
      <protection locked="0"/>
    </xf>
    <xf numFmtId="0" fontId="21" fillId="7" borderId="5" xfId="1" applyFont="1" applyFill="1" applyBorder="1" applyAlignment="1" applyProtection="1">
      <alignment horizontal="left" wrapText="1"/>
      <protection locked="0"/>
    </xf>
    <xf numFmtId="0" fontId="9" fillId="12" borderId="10" xfId="0" applyNumberFormat="1" applyFont="1" applyFill="1" applyBorder="1" applyAlignment="1">
      <alignment horizontal="center" vertical="center" wrapText="1"/>
    </xf>
    <xf numFmtId="0" fontId="9" fillId="12" borderId="0" xfId="0" applyNumberFormat="1" applyFont="1" applyFill="1" applyBorder="1" applyAlignment="1">
      <alignment horizontal="center" vertical="center" wrapText="1"/>
    </xf>
    <xf numFmtId="0" fontId="9" fillId="12" borderId="12" xfId="0" applyNumberFormat="1" applyFont="1" applyFill="1" applyBorder="1" applyAlignment="1">
      <alignment vertical="center" wrapText="1"/>
    </xf>
    <xf numFmtId="0" fontId="9" fillId="12" borderId="14" xfId="0" applyNumberFormat="1" applyFont="1" applyFill="1" applyBorder="1" applyAlignment="1">
      <alignment vertical="center" wrapText="1"/>
    </xf>
  </cellXfs>
  <cellStyles count="197">
    <cellStyle name="Moeda" xfId="13" builtinId="4"/>
    <cellStyle name="Moeda 10" xfId="108" xr:uid="{00000000-0005-0000-0000-000092000000}"/>
    <cellStyle name="Moeda 11" xfId="127" xr:uid="{00000000-0005-0000-0000-0000A5000000}"/>
    <cellStyle name="Moeda 12" xfId="146" xr:uid="{00000000-0005-0000-0000-0000B8000000}"/>
    <cellStyle name="Moeda 13" xfId="165" xr:uid="{00000000-0005-0000-0000-0000CB000000}"/>
    <cellStyle name="Moeda 14" xfId="184" xr:uid="{00000000-0005-0000-0000-0000DE000000}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10" xfId="162" xr:uid="{00000000-0005-0000-0000-000003000000}"/>
    <cellStyle name="Moeda 3 11" xfId="181" xr:uid="{00000000-0005-0000-0000-000003000000}"/>
    <cellStyle name="Moeda 3 2" xfId="20" xr:uid="{00000000-0005-0000-0000-000004000000}"/>
    <cellStyle name="Moeda 3 2 10" xfId="190" xr:uid="{00000000-0005-0000-0000-000004000000}"/>
    <cellStyle name="Moeda 3 2 2" xfId="39" xr:uid="{00000000-0005-0000-0000-000004000000}"/>
    <cellStyle name="Moeda 3 2 3" xfId="58" xr:uid="{00000000-0005-0000-0000-000004000000}"/>
    <cellStyle name="Moeda 3 2 4" xfId="77" xr:uid="{00000000-0005-0000-0000-000004000000}"/>
    <cellStyle name="Moeda 3 2 5" xfId="95" xr:uid="{00000000-0005-0000-0000-000004000000}"/>
    <cellStyle name="Moeda 3 2 6" xfId="114" xr:uid="{00000000-0005-0000-0000-000004000000}"/>
    <cellStyle name="Moeda 3 2 7" xfId="133" xr:uid="{00000000-0005-0000-0000-000004000000}"/>
    <cellStyle name="Moeda 3 2 8" xfId="152" xr:uid="{00000000-0005-0000-0000-000004000000}"/>
    <cellStyle name="Moeda 3 2 9" xfId="171" xr:uid="{00000000-0005-0000-0000-000004000000}"/>
    <cellStyle name="Moeda 3 3" xfId="30" xr:uid="{00000000-0005-0000-0000-000003000000}"/>
    <cellStyle name="Moeda 3 4" xfId="49" xr:uid="{00000000-0005-0000-0000-000003000000}"/>
    <cellStyle name="Moeda 3 5" xfId="68" xr:uid="{00000000-0005-0000-0000-000003000000}"/>
    <cellStyle name="Moeda 3 6" xfId="86" xr:uid="{00000000-0005-0000-0000-000003000000}"/>
    <cellStyle name="Moeda 3 7" xfId="105" xr:uid="{00000000-0005-0000-0000-000003000000}"/>
    <cellStyle name="Moeda 3 8" xfId="124" xr:uid="{00000000-0005-0000-0000-000003000000}"/>
    <cellStyle name="Moeda 3 9" xfId="143" xr:uid="{00000000-0005-0000-0000-000003000000}"/>
    <cellStyle name="Moeda 4" xfId="14" xr:uid="{00000000-0005-0000-0000-000005000000}"/>
    <cellStyle name="Moeda 4 10" xfId="166" xr:uid="{00000000-0005-0000-0000-000005000000}"/>
    <cellStyle name="Moeda 4 11" xfId="185" xr:uid="{00000000-0005-0000-0000-000005000000}"/>
    <cellStyle name="Moeda 4 2" xfId="24" xr:uid="{00000000-0005-0000-0000-000006000000}"/>
    <cellStyle name="Moeda 4 2 10" xfId="194" xr:uid="{00000000-0005-0000-0000-000006000000}"/>
    <cellStyle name="Moeda 4 2 2" xfId="43" xr:uid="{00000000-0005-0000-0000-000006000000}"/>
    <cellStyle name="Moeda 4 2 3" xfId="62" xr:uid="{00000000-0005-0000-0000-000006000000}"/>
    <cellStyle name="Moeda 4 2 4" xfId="81" xr:uid="{00000000-0005-0000-0000-000006000000}"/>
    <cellStyle name="Moeda 4 2 5" xfId="99" xr:uid="{00000000-0005-0000-0000-000006000000}"/>
    <cellStyle name="Moeda 4 2 6" xfId="118" xr:uid="{00000000-0005-0000-0000-000006000000}"/>
    <cellStyle name="Moeda 4 2 7" xfId="137" xr:uid="{00000000-0005-0000-0000-000006000000}"/>
    <cellStyle name="Moeda 4 2 8" xfId="156" xr:uid="{00000000-0005-0000-0000-000006000000}"/>
    <cellStyle name="Moeda 4 2 9" xfId="175" xr:uid="{00000000-0005-0000-0000-000006000000}"/>
    <cellStyle name="Moeda 4 3" xfId="34" xr:uid="{00000000-0005-0000-0000-000005000000}"/>
    <cellStyle name="Moeda 4 4" xfId="53" xr:uid="{00000000-0005-0000-0000-000005000000}"/>
    <cellStyle name="Moeda 4 5" xfId="72" xr:uid="{00000000-0005-0000-0000-000005000000}"/>
    <cellStyle name="Moeda 4 6" xfId="90" xr:uid="{00000000-0005-0000-0000-000005000000}"/>
    <cellStyle name="Moeda 4 7" xfId="109" xr:uid="{00000000-0005-0000-0000-000005000000}"/>
    <cellStyle name="Moeda 4 8" xfId="128" xr:uid="{00000000-0005-0000-0000-000005000000}"/>
    <cellStyle name="Moeda 4 9" xfId="147" xr:uid="{00000000-0005-0000-0000-000005000000}"/>
    <cellStyle name="Moeda 5" xfId="23" xr:uid="{00000000-0005-0000-0000-000007000000}"/>
    <cellStyle name="Moeda 5 10" xfId="193" xr:uid="{00000000-0005-0000-0000-000007000000}"/>
    <cellStyle name="Moeda 5 2" xfId="42" xr:uid="{00000000-0005-0000-0000-000007000000}"/>
    <cellStyle name="Moeda 5 3" xfId="61" xr:uid="{00000000-0005-0000-0000-000007000000}"/>
    <cellStyle name="Moeda 5 4" xfId="80" xr:uid="{00000000-0005-0000-0000-000007000000}"/>
    <cellStyle name="Moeda 5 5" xfId="98" xr:uid="{00000000-0005-0000-0000-000007000000}"/>
    <cellStyle name="Moeda 5 6" xfId="117" xr:uid="{00000000-0005-0000-0000-000007000000}"/>
    <cellStyle name="Moeda 5 7" xfId="136" xr:uid="{00000000-0005-0000-0000-000007000000}"/>
    <cellStyle name="Moeda 5 8" xfId="155" xr:uid="{00000000-0005-0000-0000-000007000000}"/>
    <cellStyle name="Moeda 5 9" xfId="174" xr:uid="{00000000-0005-0000-0000-000007000000}"/>
    <cellStyle name="Moeda 6" xfId="33" xr:uid="{00000000-0005-0000-0000-000047000000}"/>
    <cellStyle name="Moeda 7" xfId="52" xr:uid="{00000000-0005-0000-0000-00005A000000}"/>
    <cellStyle name="Moeda 8" xfId="71" xr:uid="{00000000-0005-0000-0000-00006D000000}"/>
    <cellStyle name="Moeda 9" xfId="89" xr:uid="{00000000-0005-0000-0000-00007F000000}"/>
    <cellStyle name="Normal" xfId="0" builtinId="0"/>
    <cellStyle name="Normal 2" xfId="1" xr:uid="{00000000-0005-0000-0000-000009000000}"/>
    <cellStyle name="Porcentagem" xfId="17" builtinId="5"/>
    <cellStyle name="Porcentagem 2" xfId="12" xr:uid="{00000000-0005-0000-0000-00000B000000}"/>
    <cellStyle name="Separador de milhares 2" xfId="2" xr:uid="{00000000-0005-0000-0000-00000C000000}"/>
    <cellStyle name="Separador de milhares 2 2" xfId="7" xr:uid="{00000000-0005-0000-0000-00000D000000}"/>
    <cellStyle name="Separador de milhares 2 2 10" xfId="123" xr:uid="{00000000-0005-0000-0000-00000D000000}"/>
    <cellStyle name="Separador de milhares 2 2 11" xfId="142" xr:uid="{00000000-0005-0000-0000-00000D000000}"/>
    <cellStyle name="Separador de milhares 2 2 12" xfId="161" xr:uid="{00000000-0005-0000-0000-00000D000000}"/>
    <cellStyle name="Separador de milhares 2 2 13" xfId="180" xr:uid="{00000000-0005-0000-0000-00000D000000}"/>
    <cellStyle name="Separador de milhares 2 2 2" xfId="11" xr:uid="{00000000-0005-0000-0000-00000E000000}"/>
    <cellStyle name="Separador de milhares 2 2 2 10" xfId="164" xr:uid="{00000000-0005-0000-0000-00000E000000}"/>
    <cellStyle name="Separador de milhares 2 2 2 11" xfId="183" xr:uid="{00000000-0005-0000-0000-00000E000000}"/>
    <cellStyle name="Separador de milhares 2 2 2 2" xfId="22" xr:uid="{00000000-0005-0000-0000-00000F000000}"/>
    <cellStyle name="Separador de milhares 2 2 2 2 10" xfId="192" xr:uid="{00000000-0005-0000-0000-00000F000000}"/>
    <cellStyle name="Separador de milhares 2 2 2 2 2" xfId="41" xr:uid="{00000000-0005-0000-0000-00000E000000}"/>
    <cellStyle name="Separador de milhares 2 2 2 2 3" xfId="60" xr:uid="{00000000-0005-0000-0000-00000F000000}"/>
    <cellStyle name="Separador de milhares 2 2 2 2 4" xfId="79" xr:uid="{00000000-0005-0000-0000-00000F000000}"/>
    <cellStyle name="Separador de milhares 2 2 2 2 5" xfId="97" xr:uid="{00000000-0005-0000-0000-00000F000000}"/>
    <cellStyle name="Separador de milhares 2 2 2 2 6" xfId="116" xr:uid="{00000000-0005-0000-0000-00000F000000}"/>
    <cellStyle name="Separador de milhares 2 2 2 2 7" xfId="135" xr:uid="{00000000-0005-0000-0000-00000F000000}"/>
    <cellStyle name="Separador de milhares 2 2 2 2 8" xfId="154" xr:uid="{00000000-0005-0000-0000-00000F000000}"/>
    <cellStyle name="Separador de milhares 2 2 2 2 9" xfId="173" xr:uid="{00000000-0005-0000-0000-00000F000000}"/>
    <cellStyle name="Separador de milhares 2 2 2 3" xfId="32" xr:uid="{00000000-0005-0000-0000-00000D000000}"/>
    <cellStyle name="Separador de milhares 2 2 2 4" xfId="51" xr:uid="{00000000-0005-0000-0000-00000E000000}"/>
    <cellStyle name="Separador de milhares 2 2 2 5" xfId="70" xr:uid="{00000000-0005-0000-0000-00000E000000}"/>
    <cellStyle name="Separador de milhares 2 2 2 6" xfId="88" xr:uid="{00000000-0005-0000-0000-00000E000000}"/>
    <cellStyle name="Separador de milhares 2 2 2 7" xfId="107" xr:uid="{00000000-0005-0000-0000-00000E000000}"/>
    <cellStyle name="Separador de milhares 2 2 2 8" xfId="126" xr:uid="{00000000-0005-0000-0000-00000E000000}"/>
    <cellStyle name="Separador de milhares 2 2 2 9" xfId="145" xr:uid="{00000000-0005-0000-0000-00000E000000}"/>
    <cellStyle name="Separador de milhares 2 2 3" xfId="16" xr:uid="{00000000-0005-0000-0000-000010000000}"/>
    <cellStyle name="Separador de milhares 2 2 3 10" xfId="168" xr:uid="{00000000-0005-0000-0000-000010000000}"/>
    <cellStyle name="Separador de milhares 2 2 3 11" xfId="187" xr:uid="{00000000-0005-0000-0000-000010000000}"/>
    <cellStyle name="Separador de milhares 2 2 3 2" xfId="26" xr:uid="{00000000-0005-0000-0000-000011000000}"/>
    <cellStyle name="Separador de milhares 2 2 3 2 10" xfId="196" xr:uid="{00000000-0005-0000-0000-000011000000}"/>
    <cellStyle name="Separador de milhares 2 2 3 2 2" xfId="45" xr:uid="{00000000-0005-0000-0000-000010000000}"/>
    <cellStyle name="Separador de milhares 2 2 3 2 3" xfId="64" xr:uid="{00000000-0005-0000-0000-000011000000}"/>
    <cellStyle name="Separador de milhares 2 2 3 2 4" xfId="83" xr:uid="{00000000-0005-0000-0000-000011000000}"/>
    <cellStyle name="Separador de milhares 2 2 3 2 5" xfId="101" xr:uid="{00000000-0005-0000-0000-000011000000}"/>
    <cellStyle name="Separador de milhares 2 2 3 2 6" xfId="120" xr:uid="{00000000-0005-0000-0000-000011000000}"/>
    <cellStyle name="Separador de milhares 2 2 3 2 7" xfId="139" xr:uid="{00000000-0005-0000-0000-000011000000}"/>
    <cellStyle name="Separador de milhares 2 2 3 2 8" xfId="158" xr:uid="{00000000-0005-0000-0000-000011000000}"/>
    <cellStyle name="Separador de milhares 2 2 3 2 9" xfId="177" xr:uid="{00000000-0005-0000-0000-000011000000}"/>
    <cellStyle name="Separador de milhares 2 2 3 3" xfId="36" xr:uid="{00000000-0005-0000-0000-00000F000000}"/>
    <cellStyle name="Separador de milhares 2 2 3 4" xfId="55" xr:uid="{00000000-0005-0000-0000-000010000000}"/>
    <cellStyle name="Separador de milhares 2 2 3 5" xfId="74" xr:uid="{00000000-0005-0000-0000-000010000000}"/>
    <cellStyle name="Separador de milhares 2 2 3 6" xfId="92" xr:uid="{00000000-0005-0000-0000-000010000000}"/>
    <cellStyle name="Separador de milhares 2 2 3 7" xfId="111" xr:uid="{00000000-0005-0000-0000-000010000000}"/>
    <cellStyle name="Separador de milhares 2 2 3 8" xfId="130" xr:uid="{00000000-0005-0000-0000-000010000000}"/>
    <cellStyle name="Separador de milhares 2 2 3 9" xfId="149" xr:uid="{00000000-0005-0000-0000-000010000000}"/>
    <cellStyle name="Separador de milhares 2 2 4" xfId="19" xr:uid="{00000000-0005-0000-0000-000012000000}"/>
    <cellStyle name="Separador de milhares 2 2 4 10" xfId="189" xr:uid="{00000000-0005-0000-0000-000012000000}"/>
    <cellStyle name="Separador de milhares 2 2 4 2" xfId="38" xr:uid="{00000000-0005-0000-0000-000011000000}"/>
    <cellStyle name="Separador de milhares 2 2 4 3" xfId="57" xr:uid="{00000000-0005-0000-0000-000012000000}"/>
    <cellStyle name="Separador de milhares 2 2 4 4" xfId="76" xr:uid="{00000000-0005-0000-0000-000012000000}"/>
    <cellStyle name="Separador de milhares 2 2 4 5" xfId="94" xr:uid="{00000000-0005-0000-0000-000012000000}"/>
    <cellStyle name="Separador de milhares 2 2 4 6" xfId="113" xr:uid="{00000000-0005-0000-0000-000012000000}"/>
    <cellStyle name="Separador de milhares 2 2 4 7" xfId="132" xr:uid="{00000000-0005-0000-0000-000012000000}"/>
    <cellStyle name="Separador de milhares 2 2 4 8" xfId="151" xr:uid="{00000000-0005-0000-0000-000012000000}"/>
    <cellStyle name="Separador de milhares 2 2 4 9" xfId="170" xr:uid="{00000000-0005-0000-0000-000012000000}"/>
    <cellStyle name="Separador de milhares 2 2 5" xfId="29" xr:uid="{00000000-0005-0000-0000-00000C000000}"/>
    <cellStyle name="Separador de milhares 2 2 6" xfId="48" xr:uid="{00000000-0005-0000-0000-00000D000000}"/>
    <cellStyle name="Separador de milhares 2 2 7" xfId="67" xr:uid="{00000000-0005-0000-0000-00000D000000}"/>
    <cellStyle name="Separador de milhares 2 2 8" xfId="85" xr:uid="{00000000-0005-0000-0000-00000D000000}"/>
    <cellStyle name="Separador de milhares 2 2 9" xfId="104" xr:uid="{00000000-0005-0000-0000-00000D000000}"/>
    <cellStyle name="Separador de milhares 2 3" xfId="6" xr:uid="{00000000-0005-0000-0000-000013000000}"/>
    <cellStyle name="Separador de milhares 2 3 10" xfId="122" xr:uid="{00000000-0005-0000-0000-000013000000}"/>
    <cellStyle name="Separador de milhares 2 3 11" xfId="141" xr:uid="{00000000-0005-0000-0000-000013000000}"/>
    <cellStyle name="Separador de milhares 2 3 12" xfId="160" xr:uid="{00000000-0005-0000-0000-000013000000}"/>
    <cellStyle name="Separador de milhares 2 3 13" xfId="179" xr:uid="{00000000-0005-0000-0000-000013000000}"/>
    <cellStyle name="Separador de milhares 2 3 2" xfId="10" xr:uid="{00000000-0005-0000-0000-000014000000}"/>
    <cellStyle name="Separador de milhares 2 3 2 10" xfId="163" xr:uid="{00000000-0005-0000-0000-000014000000}"/>
    <cellStyle name="Separador de milhares 2 3 2 11" xfId="182" xr:uid="{00000000-0005-0000-0000-000014000000}"/>
    <cellStyle name="Separador de milhares 2 3 2 2" xfId="21" xr:uid="{00000000-0005-0000-0000-000015000000}"/>
    <cellStyle name="Separador de milhares 2 3 2 2 10" xfId="191" xr:uid="{00000000-0005-0000-0000-000015000000}"/>
    <cellStyle name="Separador de milhares 2 3 2 2 2" xfId="40" xr:uid="{00000000-0005-0000-0000-000014000000}"/>
    <cellStyle name="Separador de milhares 2 3 2 2 3" xfId="59" xr:uid="{00000000-0005-0000-0000-000015000000}"/>
    <cellStyle name="Separador de milhares 2 3 2 2 4" xfId="78" xr:uid="{00000000-0005-0000-0000-000015000000}"/>
    <cellStyle name="Separador de milhares 2 3 2 2 5" xfId="96" xr:uid="{00000000-0005-0000-0000-000015000000}"/>
    <cellStyle name="Separador de milhares 2 3 2 2 6" xfId="115" xr:uid="{00000000-0005-0000-0000-000015000000}"/>
    <cellStyle name="Separador de milhares 2 3 2 2 7" xfId="134" xr:uid="{00000000-0005-0000-0000-000015000000}"/>
    <cellStyle name="Separador de milhares 2 3 2 2 8" xfId="153" xr:uid="{00000000-0005-0000-0000-000015000000}"/>
    <cellStyle name="Separador de milhares 2 3 2 2 9" xfId="172" xr:uid="{00000000-0005-0000-0000-000015000000}"/>
    <cellStyle name="Separador de milhares 2 3 2 3" xfId="31" xr:uid="{00000000-0005-0000-0000-000013000000}"/>
    <cellStyle name="Separador de milhares 2 3 2 4" xfId="50" xr:uid="{00000000-0005-0000-0000-000014000000}"/>
    <cellStyle name="Separador de milhares 2 3 2 5" xfId="69" xr:uid="{00000000-0005-0000-0000-000014000000}"/>
    <cellStyle name="Separador de milhares 2 3 2 6" xfId="87" xr:uid="{00000000-0005-0000-0000-000014000000}"/>
    <cellStyle name="Separador de milhares 2 3 2 7" xfId="106" xr:uid="{00000000-0005-0000-0000-000014000000}"/>
    <cellStyle name="Separador de milhares 2 3 2 8" xfId="125" xr:uid="{00000000-0005-0000-0000-000014000000}"/>
    <cellStyle name="Separador de milhares 2 3 2 9" xfId="144" xr:uid="{00000000-0005-0000-0000-000014000000}"/>
    <cellStyle name="Separador de milhares 2 3 3" xfId="15" xr:uid="{00000000-0005-0000-0000-000016000000}"/>
    <cellStyle name="Separador de milhares 2 3 3 10" xfId="167" xr:uid="{00000000-0005-0000-0000-000016000000}"/>
    <cellStyle name="Separador de milhares 2 3 3 11" xfId="186" xr:uid="{00000000-0005-0000-0000-000016000000}"/>
    <cellStyle name="Separador de milhares 2 3 3 2" xfId="25" xr:uid="{00000000-0005-0000-0000-000017000000}"/>
    <cellStyle name="Separador de milhares 2 3 3 2 10" xfId="195" xr:uid="{00000000-0005-0000-0000-000017000000}"/>
    <cellStyle name="Separador de milhares 2 3 3 2 2" xfId="44" xr:uid="{00000000-0005-0000-0000-000016000000}"/>
    <cellStyle name="Separador de milhares 2 3 3 2 3" xfId="63" xr:uid="{00000000-0005-0000-0000-000017000000}"/>
    <cellStyle name="Separador de milhares 2 3 3 2 4" xfId="82" xr:uid="{00000000-0005-0000-0000-000017000000}"/>
    <cellStyle name="Separador de milhares 2 3 3 2 5" xfId="100" xr:uid="{00000000-0005-0000-0000-000017000000}"/>
    <cellStyle name="Separador de milhares 2 3 3 2 6" xfId="119" xr:uid="{00000000-0005-0000-0000-000017000000}"/>
    <cellStyle name="Separador de milhares 2 3 3 2 7" xfId="138" xr:uid="{00000000-0005-0000-0000-000017000000}"/>
    <cellStyle name="Separador de milhares 2 3 3 2 8" xfId="157" xr:uid="{00000000-0005-0000-0000-000017000000}"/>
    <cellStyle name="Separador de milhares 2 3 3 2 9" xfId="176" xr:uid="{00000000-0005-0000-0000-000017000000}"/>
    <cellStyle name="Separador de milhares 2 3 3 3" xfId="35" xr:uid="{00000000-0005-0000-0000-000015000000}"/>
    <cellStyle name="Separador de milhares 2 3 3 4" xfId="54" xr:uid="{00000000-0005-0000-0000-000016000000}"/>
    <cellStyle name="Separador de milhares 2 3 3 5" xfId="73" xr:uid="{00000000-0005-0000-0000-000016000000}"/>
    <cellStyle name="Separador de milhares 2 3 3 6" xfId="91" xr:uid="{00000000-0005-0000-0000-000016000000}"/>
    <cellStyle name="Separador de milhares 2 3 3 7" xfId="110" xr:uid="{00000000-0005-0000-0000-000016000000}"/>
    <cellStyle name="Separador de milhares 2 3 3 8" xfId="129" xr:uid="{00000000-0005-0000-0000-000016000000}"/>
    <cellStyle name="Separador de milhares 2 3 3 9" xfId="148" xr:uid="{00000000-0005-0000-0000-000016000000}"/>
    <cellStyle name="Separador de milhares 2 3 4" xfId="18" xr:uid="{00000000-0005-0000-0000-000018000000}"/>
    <cellStyle name="Separador de milhares 2 3 4 10" xfId="188" xr:uid="{00000000-0005-0000-0000-000018000000}"/>
    <cellStyle name="Separador de milhares 2 3 4 2" xfId="37" xr:uid="{00000000-0005-0000-0000-000017000000}"/>
    <cellStyle name="Separador de milhares 2 3 4 3" xfId="56" xr:uid="{00000000-0005-0000-0000-000018000000}"/>
    <cellStyle name="Separador de milhares 2 3 4 4" xfId="75" xr:uid="{00000000-0005-0000-0000-000018000000}"/>
    <cellStyle name="Separador de milhares 2 3 4 5" xfId="93" xr:uid="{00000000-0005-0000-0000-000018000000}"/>
    <cellStyle name="Separador de milhares 2 3 4 6" xfId="112" xr:uid="{00000000-0005-0000-0000-000018000000}"/>
    <cellStyle name="Separador de milhares 2 3 4 7" xfId="131" xr:uid="{00000000-0005-0000-0000-000018000000}"/>
    <cellStyle name="Separador de milhares 2 3 4 8" xfId="150" xr:uid="{00000000-0005-0000-0000-000018000000}"/>
    <cellStyle name="Separador de milhares 2 3 4 9" xfId="169" xr:uid="{00000000-0005-0000-0000-000018000000}"/>
    <cellStyle name="Separador de milhares 2 3 5" xfId="28" xr:uid="{00000000-0005-0000-0000-000012000000}"/>
    <cellStyle name="Separador de milhares 2 3 6" xfId="47" xr:uid="{00000000-0005-0000-0000-000013000000}"/>
    <cellStyle name="Separador de milhares 2 3 7" xfId="66" xr:uid="{00000000-0005-0000-0000-000013000000}"/>
    <cellStyle name="Separador de milhares 2 3 8" xfId="84" xr:uid="{00000000-0005-0000-0000-000013000000}"/>
    <cellStyle name="Separador de milhares 2 3 9" xfId="103" xr:uid="{00000000-0005-0000-0000-000013000000}"/>
    <cellStyle name="Separador de milhares 3" xfId="3" xr:uid="{00000000-0005-0000-0000-000019000000}"/>
    <cellStyle name="Título 5" xfId="4" xr:uid="{00000000-0005-0000-0000-00001A000000}"/>
    <cellStyle name="Vírgula" xfId="27" builtinId="3"/>
    <cellStyle name="Vírgula 2" xfId="46" xr:uid="{00000000-0005-0000-0000-000059000000}"/>
    <cellStyle name="Vírgula 3" xfId="65" xr:uid="{00000000-0005-0000-0000-00006C000000}"/>
    <cellStyle name="Vírgula 4" xfId="102" xr:uid="{00000000-0005-0000-0000-000091000000}"/>
    <cellStyle name="Vírgula 5" xfId="121" xr:uid="{00000000-0005-0000-0000-0000A4000000}"/>
    <cellStyle name="Vírgula 6" xfId="140" xr:uid="{00000000-0005-0000-0000-0000B7000000}"/>
    <cellStyle name="Vírgula 7" xfId="159" xr:uid="{00000000-0005-0000-0000-0000CA000000}"/>
    <cellStyle name="Vírgula 8" xfId="178" xr:uid="{00000000-0005-0000-0000-0000DD000000}"/>
  </cellStyles>
  <dxfs count="2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</dxfs>
  <tableStyles count="1" defaultTableStyle="TableStyleMedium9" defaultPivotStyle="PivotStyleLight16">
    <tableStyle name="Invisible" pivot="0" table="0" count="0" xr9:uid="{7C158098-7BBB-44A6-8142-2465498BD957}"/>
  </tableStyles>
  <colors>
    <mruColors>
      <color rgb="FF0000FF"/>
      <color rgb="FF0066FF"/>
      <color rgb="FFFF7D7D"/>
      <color rgb="FFCCFFFF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9E5B8-F48D-4196-96BE-E5CDC6AF9376}">
  <dimension ref="A1:AI34"/>
  <sheetViews>
    <sheetView topLeftCell="A19" workbookViewId="0">
      <pane xSplit="20" topLeftCell="U1" activePane="topRight" state="frozen"/>
      <selection pane="topRight" activeCell="N25" sqref="N25"/>
    </sheetView>
  </sheetViews>
  <sheetFormatPr defaultColWidth="9.7109375" defaultRowHeight="12.75" x14ac:dyDescent="0.2"/>
  <cols>
    <col min="1" max="1" width="4.28515625" style="53" customWidth="1"/>
    <col min="2" max="2" width="13.7109375" style="53" customWidth="1"/>
    <col min="3" max="3" width="5.5703125" style="53" bestFit="1" customWidth="1"/>
    <col min="4" max="4" width="21.5703125" style="54" customWidth="1"/>
    <col min="5" max="5" width="10.85546875" style="53" bestFit="1" customWidth="1"/>
    <col min="6" max="7" width="10.42578125" style="53" hidden="1" customWidth="1"/>
    <col min="8" max="8" width="11.28515625" style="53" customWidth="1"/>
    <col min="9" max="9" width="9.42578125" style="53" customWidth="1"/>
    <col min="10" max="10" width="12.28515625" style="55" customWidth="1"/>
    <col min="11" max="13" width="14" style="56" bestFit="1" customWidth="1"/>
    <col min="14" max="14" width="14.7109375" style="56" bestFit="1" customWidth="1"/>
    <col min="15" max="15" width="14" style="56" bestFit="1" customWidth="1"/>
    <col min="16" max="18" width="10.140625" style="56" customWidth="1"/>
    <col min="19" max="19" width="10.28515625" style="57" customWidth="1"/>
    <col min="20" max="20" width="10.42578125" style="58" customWidth="1"/>
    <col min="21" max="22" width="13.7109375" style="60" customWidth="1"/>
    <col min="23" max="23" width="13.7109375" style="18" customWidth="1"/>
    <col min="24" max="24" width="13.7109375" style="86" customWidth="1"/>
    <col min="25" max="35" width="13.7109375" style="18" customWidth="1"/>
    <col min="36" max="16384" width="9.7109375" style="18"/>
  </cols>
  <sheetData>
    <row r="1" spans="1:35" ht="44.25" customHeight="1" x14ac:dyDescent="0.2">
      <c r="A1" s="219" t="s">
        <v>69</v>
      </c>
      <c r="B1" s="220"/>
      <c r="C1" s="221"/>
      <c r="D1" s="220" t="s">
        <v>32</v>
      </c>
      <c r="E1" s="220"/>
      <c r="F1" s="220"/>
      <c r="G1" s="220"/>
      <c r="H1" s="220"/>
      <c r="I1" s="220"/>
      <c r="J1" s="221"/>
      <c r="K1" s="222" t="s">
        <v>33</v>
      </c>
      <c r="L1" s="223"/>
      <c r="M1" s="223"/>
      <c r="N1" s="223"/>
      <c r="O1" s="223"/>
      <c r="P1" s="223"/>
      <c r="Q1" s="223"/>
      <c r="R1" s="223"/>
      <c r="S1" s="223"/>
      <c r="T1" s="224"/>
      <c r="U1" s="218" t="s">
        <v>95</v>
      </c>
      <c r="V1" s="218" t="s">
        <v>96</v>
      </c>
      <c r="W1" s="218" t="s">
        <v>98</v>
      </c>
      <c r="X1" s="218" t="s">
        <v>177</v>
      </c>
      <c r="Y1" s="218" t="s">
        <v>30</v>
      </c>
      <c r="Z1" s="218" t="s">
        <v>30</v>
      </c>
      <c r="AA1" s="218" t="s">
        <v>30</v>
      </c>
      <c r="AB1" s="218" t="s">
        <v>30</v>
      </c>
      <c r="AC1" s="218" t="s">
        <v>30</v>
      </c>
      <c r="AD1" s="218" t="s">
        <v>30</v>
      </c>
      <c r="AE1" s="218" t="s">
        <v>30</v>
      </c>
      <c r="AF1" s="218" t="s">
        <v>30</v>
      </c>
      <c r="AG1" s="218" t="s">
        <v>30</v>
      </c>
      <c r="AH1" s="218" t="s">
        <v>30</v>
      </c>
      <c r="AI1" s="218" t="s">
        <v>30</v>
      </c>
    </row>
    <row r="2" spans="1:35" ht="30.75" customHeight="1" x14ac:dyDescent="0.2">
      <c r="A2" s="219" t="s">
        <v>72</v>
      </c>
      <c r="B2" s="220"/>
      <c r="C2" s="220"/>
      <c r="D2" s="220"/>
      <c r="E2" s="220"/>
      <c r="F2" s="220"/>
      <c r="G2" s="220"/>
      <c r="H2" s="220"/>
      <c r="I2" s="220"/>
      <c r="J2" s="221"/>
      <c r="K2" s="225" t="s">
        <v>91</v>
      </c>
      <c r="L2" s="226"/>
      <c r="M2" s="226"/>
      <c r="N2" s="226"/>
      <c r="O2" s="226"/>
      <c r="P2" s="226"/>
      <c r="Q2" s="226"/>
      <c r="R2" s="226"/>
      <c r="S2" s="226"/>
      <c r="T2" s="227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</row>
    <row r="3" spans="1:35" s="25" customFormat="1" ht="38.25" x14ac:dyDescent="0.2">
      <c r="A3" s="19" t="s">
        <v>5</v>
      </c>
      <c r="B3" s="19" t="s">
        <v>18</v>
      </c>
      <c r="C3" s="69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43</v>
      </c>
      <c r="I3" s="20" t="s">
        <v>4</v>
      </c>
      <c r="J3" s="21" t="s">
        <v>28</v>
      </c>
      <c r="K3" s="144" t="s">
        <v>6</v>
      </c>
      <c r="L3" s="145" t="s">
        <v>185</v>
      </c>
      <c r="M3" s="145" t="s">
        <v>186</v>
      </c>
      <c r="N3" s="145" t="s">
        <v>187</v>
      </c>
      <c r="O3" s="145" t="s">
        <v>188</v>
      </c>
      <c r="P3" s="145" t="s">
        <v>189</v>
      </c>
      <c r="Q3" s="145" t="s">
        <v>190</v>
      </c>
      <c r="R3" s="145" t="s">
        <v>191</v>
      </c>
      <c r="S3" s="146" t="s">
        <v>0</v>
      </c>
      <c r="T3" s="147" t="s">
        <v>2</v>
      </c>
      <c r="U3" s="74">
        <v>45491</v>
      </c>
      <c r="V3" s="74">
        <v>45491</v>
      </c>
      <c r="W3" s="74">
        <v>45497</v>
      </c>
      <c r="X3" s="74">
        <v>45582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  <c r="AG3" s="24" t="s">
        <v>1</v>
      </c>
      <c r="AH3" s="24" t="s">
        <v>1</v>
      </c>
      <c r="AI3" s="24" t="s">
        <v>1</v>
      </c>
    </row>
    <row r="4" spans="1:35" ht="23.25" customHeight="1" x14ac:dyDescent="0.2">
      <c r="A4" s="203">
        <v>1</v>
      </c>
      <c r="B4" s="196" t="s">
        <v>31</v>
      </c>
      <c r="C4" s="68">
        <v>1</v>
      </c>
      <c r="D4" s="213" t="s">
        <v>34</v>
      </c>
      <c r="E4" s="134" t="s">
        <v>35</v>
      </c>
      <c r="F4" s="135" t="s">
        <v>16</v>
      </c>
      <c r="G4" s="135" t="s">
        <v>17</v>
      </c>
      <c r="H4" s="135" t="s">
        <v>44</v>
      </c>
      <c r="I4" s="134" t="s">
        <v>24</v>
      </c>
      <c r="J4" s="136">
        <v>12.15</v>
      </c>
      <c r="K4" s="31">
        <v>5</v>
      </c>
      <c r="L4" s="140">
        <f t="shared" ref="L4" si="0">IF(SUM(U4:AL4)&gt;K4+N4,K4+N4,SUM(U4:AL4))</f>
        <v>3</v>
      </c>
      <c r="M4" s="140">
        <f t="shared" ref="M4" si="1">(SUM(U4:AL4))</f>
        <v>3</v>
      </c>
      <c r="N4" s="141"/>
      <c r="O4" s="142">
        <f t="shared" ref="O4" si="2">ROUND(IF(K4*0.25-0.5&lt;0,0,K4*0.25-0.5),0)-R4-P4</f>
        <v>1</v>
      </c>
      <c r="P4" s="141"/>
      <c r="Q4" s="141"/>
      <c r="R4" s="141"/>
      <c r="S4" s="143">
        <f t="shared" ref="S4" si="3">K4+N4+P4+Q4-M4</f>
        <v>2</v>
      </c>
      <c r="T4" s="32" t="str">
        <f t="shared" ref="T4:T32" si="4">IF(S4&lt;0,"ATENÇÃO","OK")</f>
        <v>OK</v>
      </c>
      <c r="U4" s="33"/>
      <c r="V4" s="33"/>
      <c r="W4" s="34"/>
      <c r="X4" s="103">
        <v>3</v>
      </c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</row>
    <row r="5" spans="1:35" ht="26.45" customHeight="1" x14ac:dyDescent="0.2">
      <c r="A5" s="204"/>
      <c r="B5" s="206"/>
      <c r="C5" s="68">
        <v>2</v>
      </c>
      <c r="D5" s="214"/>
      <c r="E5" s="134" t="s">
        <v>36</v>
      </c>
      <c r="F5" s="135" t="s">
        <v>16</v>
      </c>
      <c r="G5" s="135" t="s">
        <v>17</v>
      </c>
      <c r="H5" s="135" t="s">
        <v>44</v>
      </c>
      <c r="I5" s="134" t="s">
        <v>24</v>
      </c>
      <c r="J5" s="136">
        <v>40.5</v>
      </c>
      <c r="K5" s="31">
        <v>50</v>
      </c>
      <c r="L5" s="140">
        <f t="shared" ref="L5:L32" si="5">IF(SUM(U5:AL5)&gt;K5+N5,K5+N5,SUM(U5:AL5))</f>
        <v>2</v>
      </c>
      <c r="M5" s="140">
        <f t="shared" ref="M5:M32" si="6">(SUM(U5:AL5))</f>
        <v>2</v>
      </c>
      <c r="N5" s="141"/>
      <c r="O5" s="142">
        <f t="shared" ref="O5:O32" si="7">ROUND(IF(K5*0.25-0.5&lt;0,0,K5*0.25-0.5),0)-R5-P5</f>
        <v>12</v>
      </c>
      <c r="P5" s="141"/>
      <c r="Q5" s="141"/>
      <c r="R5" s="141"/>
      <c r="S5" s="143">
        <f t="shared" ref="S5:S32" si="8">K5+N5+P5+Q5-M5</f>
        <v>48</v>
      </c>
      <c r="T5" s="32" t="str">
        <f t="shared" si="4"/>
        <v>OK</v>
      </c>
      <c r="U5" s="33"/>
      <c r="V5" s="33"/>
      <c r="W5" s="34"/>
      <c r="X5" s="103">
        <v>2</v>
      </c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</row>
    <row r="6" spans="1:35" ht="24" customHeight="1" x14ac:dyDescent="0.2">
      <c r="A6" s="204"/>
      <c r="B6" s="206"/>
      <c r="C6" s="68">
        <v>3</v>
      </c>
      <c r="D6" s="214"/>
      <c r="E6" s="134" t="s">
        <v>37</v>
      </c>
      <c r="F6" s="135" t="s">
        <v>16</v>
      </c>
      <c r="G6" s="135" t="s">
        <v>17</v>
      </c>
      <c r="H6" s="135" t="s">
        <v>44</v>
      </c>
      <c r="I6" s="134" t="s">
        <v>24</v>
      </c>
      <c r="J6" s="136">
        <v>49.5</v>
      </c>
      <c r="K6" s="31">
        <v>10</v>
      </c>
      <c r="L6" s="140">
        <f t="shared" si="5"/>
        <v>1</v>
      </c>
      <c r="M6" s="140">
        <f t="shared" si="6"/>
        <v>1</v>
      </c>
      <c r="N6" s="141"/>
      <c r="O6" s="142">
        <f t="shared" si="7"/>
        <v>2</v>
      </c>
      <c r="P6" s="141"/>
      <c r="Q6" s="141"/>
      <c r="R6" s="141"/>
      <c r="S6" s="143">
        <f t="shared" si="8"/>
        <v>9</v>
      </c>
      <c r="T6" s="32" t="str">
        <f t="shared" si="4"/>
        <v>OK</v>
      </c>
      <c r="U6" s="33"/>
      <c r="V6" s="35"/>
      <c r="W6" s="36"/>
      <c r="X6" s="103">
        <v>1</v>
      </c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</row>
    <row r="7" spans="1:35" ht="24" customHeight="1" x14ac:dyDescent="0.2">
      <c r="A7" s="204"/>
      <c r="B7" s="206"/>
      <c r="C7" s="68">
        <v>4</v>
      </c>
      <c r="D7" s="214"/>
      <c r="E7" s="134" t="s">
        <v>38</v>
      </c>
      <c r="F7" s="135" t="s">
        <v>16</v>
      </c>
      <c r="G7" s="135" t="s">
        <v>17</v>
      </c>
      <c r="H7" s="135" t="s">
        <v>44</v>
      </c>
      <c r="I7" s="134" t="s">
        <v>24</v>
      </c>
      <c r="J7" s="136">
        <v>53</v>
      </c>
      <c r="K7" s="31">
        <v>35</v>
      </c>
      <c r="L7" s="140">
        <f t="shared" si="5"/>
        <v>35</v>
      </c>
      <c r="M7" s="140">
        <f t="shared" si="6"/>
        <v>35</v>
      </c>
      <c r="N7" s="141"/>
      <c r="O7" s="142">
        <f t="shared" si="7"/>
        <v>8</v>
      </c>
      <c r="P7" s="141"/>
      <c r="Q7" s="141"/>
      <c r="R7" s="141"/>
      <c r="S7" s="143">
        <f t="shared" si="8"/>
        <v>0</v>
      </c>
      <c r="T7" s="32" t="str">
        <f t="shared" si="4"/>
        <v>OK</v>
      </c>
      <c r="U7" s="33"/>
      <c r="V7" s="96">
        <v>8</v>
      </c>
      <c r="W7" s="34"/>
      <c r="X7" s="103">
        <v>27</v>
      </c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</row>
    <row r="8" spans="1:35" ht="19.5" customHeight="1" x14ac:dyDescent="0.2">
      <c r="A8" s="205"/>
      <c r="B8" s="197"/>
      <c r="C8" s="68">
        <v>5</v>
      </c>
      <c r="D8" s="215"/>
      <c r="E8" s="134" t="s">
        <v>39</v>
      </c>
      <c r="F8" s="135" t="s">
        <v>16</v>
      </c>
      <c r="G8" s="135" t="s">
        <v>17</v>
      </c>
      <c r="H8" s="135" t="s">
        <v>44</v>
      </c>
      <c r="I8" s="134" t="s">
        <v>24</v>
      </c>
      <c r="J8" s="136">
        <v>30.4</v>
      </c>
      <c r="K8" s="31">
        <f>1000</f>
        <v>1000</v>
      </c>
      <c r="L8" s="140">
        <f t="shared" si="5"/>
        <v>49</v>
      </c>
      <c r="M8" s="140">
        <f t="shared" si="6"/>
        <v>49</v>
      </c>
      <c r="N8" s="141">
        <v>-40</v>
      </c>
      <c r="O8" s="142">
        <f t="shared" si="7"/>
        <v>250</v>
      </c>
      <c r="P8" s="141"/>
      <c r="Q8" s="141"/>
      <c r="R8" s="141"/>
      <c r="S8" s="143">
        <f t="shared" si="8"/>
        <v>911</v>
      </c>
      <c r="T8" s="32" t="str">
        <f t="shared" si="4"/>
        <v>OK</v>
      </c>
      <c r="U8" s="33"/>
      <c r="V8" s="96">
        <v>20</v>
      </c>
      <c r="W8" s="34"/>
      <c r="X8" s="103">
        <v>29</v>
      </c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</row>
    <row r="9" spans="1:35" ht="21.75" customHeight="1" x14ac:dyDescent="0.2">
      <c r="A9" s="216">
        <v>2</v>
      </c>
      <c r="B9" s="190" t="s">
        <v>31</v>
      </c>
      <c r="C9" s="40">
        <v>6</v>
      </c>
      <c r="D9" s="199" t="s">
        <v>40</v>
      </c>
      <c r="E9" s="39" t="s">
        <v>35</v>
      </c>
      <c r="F9" s="41" t="s">
        <v>16</v>
      </c>
      <c r="G9" s="41" t="s">
        <v>17</v>
      </c>
      <c r="H9" s="41" t="s">
        <v>44</v>
      </c>
      <c r="I9" s="39" t="s">
        <v>24</v>
      </c>
      <c r="J9" s="42">
        <v>14.21</v>
      </c>
      <c r="K9" s="31">
        <v>20</v>
      </c>
      <c r="L9" s="140">
        <f t="shared" si="5"/>
        <v>0</v>
      </c>
      <c r="M9" s="140">
        <f t="shared" si="6"/>
        <v>0</v>
      </c>
      <c r="N9" s="141"/>
      <c r="O9" s="142">
        <f t="shared" si="7"/>
        <v>5</v>
      </c>
      <c r="P9" s="141"/>
      <c r="Q9" s="141"/>
      <c r="R9" s="141"/>
      <c r="S9" s="143">
        <f t="shared" si="8"/>
        <v>20</v>
      </c>
      <c r="T9" s="32" t="str">
        <f t="shared" si="4"/>
        <v>OK</v>
      </c>
      <c r="U9" s="33"/>
      <c r="V9" s="33"/>
      <c r="W9" s="34"/>
      <c r="X9" s="36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</row>
    <row r="10" spans="1:35" ht="20.25" customHeight="1" x14ac:dyDescent="0.2">
      <c r="A10" s="217"/>
      <c r="B10" s="191"/>
      <c r="C10" s="40">
        <v>7</v>
      </c>
      <c r="D10" s="200"/>
      <c r="E10" s="39" t="s">
        <v>41</v>
      </c>
      <c r="F10" s="41" t="s">
        <v>16</v>
      </c>
      <c r="G10" s="41" t="s">
        <v>17</v>
      </c>
      <c r="H10" s="41" t="s">
        <v>44</v>
      </c>
      <c r="I10" s="39" t="s">
        <v>24</v>
      </c>
      <c r="J10" s="42">
        <v>20.9</v>
      </c>
      <c r="K10" s="31">
        <v>20</v>
      </c>
      <c r="L10" s="140">
        <f t="shared" si="5"/>
        <v>0</v>
      </c>
      <c r="M10" s="140">
        <f t="shared" si="6"/>
        <v>0</v>
      </c>
      <c r="N10" s="141"/>
      <c r="O10" s="142">
        <f t="shared" si="7"/>
        <v>5</v>
      </c>
      <c r="P10" s="141"/>
      <c r="Q10" s="141"/>
      <c r="R10" s="141"/>
      <c r="S10" s="143">
        <f t="shared" si="8"/>
        <v>20</v>
      </c>
      <c r="T10" s="32" t="str">
        <f t="shared" si="4"/>
        <v>OK</v>
      </c>
      <c r="U10" s="35"/>
      <c r="V10" s="33"/>
      <c r="W10" s="34"/>
      <c r="X10" s="36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</row>
    <row r="11" spans="1:35" ht="36.950000000000003" customHeight="1" x14ac:dyDescent="0.2">
      <c r="A11" s="203">
        <v>3</v>
      </c>
      <c r="B11" s="196" t="s">
        <v>42</v>
      </c>
      <c r="C11" s="26">
        <v>8</v>
      </c>
      <c r="D11" s="201" t="s">
        <v>45</v>
      </c>
      <c r="E11" s="28" t="s">
        <v>46</v>
      </c>
      <c r="F11" s="29" t="s">
        <v>16</v>
      </c>
      <c r="G11" s="29" t="s">
        <v>17</v>
      </c>
      <c r="H11" s="29" t="s">
        <v>44</v>
      </c>
      <c r="I11" s="28" t="s">
        <v>24</v>
      </c>
      <c r="J11" s="30">
        <v>423</v>
      </c>
      <c r="K11" s="31">
        <v>5</v>
      </c>
      <c r="L11" s="140">
        <f t="shared" si="5"/>
        <v>1</v>
      </c>
      <c r="M11" s="140">
        <f t="shared" si="6"/>
        <v>1</v>
      </c>
      <c r="N11" s="141"/>
      <c r="O11" s="142">
        <f t="shared" si="7"/>
        <v>1</v>
      </c>
      <c r="P11" s="141"/>
      <c r="Q11" s="141"/>
      <c r="R11" s="141"/>
      <c r="S11" s="143">
        <f t="shared" si="8"/>
        <v>4</v>
      </c>
      <c r="T11" s="32" t="str">
        <f t="shared" si="4"/>
        <v>OK</v>
      </c>
      <c r="U11" s="90">
        <v>1</v>
      </c>
      <c r="V11" s="33"/>
      <c r="W11" s="34"/>
      <c r="X11" s="36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</row>
    <row r="12" spans="1:35" ht="21.2" customHeight="1" x14ac:dyDescent="0.2">
      <c r="A12" s="204"/>
      <c r="B12" s="206"/>
      <c r="C12" s="26">
        <v>9</v>
      </c>
      <c r="D12" s="207"/>
      <c r="E12" s="28" t="s">
        <v>47</v>
      </c>
      <c r="F12" s="29" t="s">
        <v>16</v>
      </c>
      <c r="G12" s="29" t="s">
        <v>17</v>
      </c>
      <c r="H12" s="29" t="s">
        <v>44</v>
      </c>
      <c r="I12" s="28" t="s">
        <v>24</v>
      </c>
      <c r="J12" s="30">
        <v>1613</v>
      </c>
      <c r="K12" s="31">
        <v>5</v>
      </c>
      <c r="L12" s="140">
        <f t="shared" si="5"/>
        <v>0</v>
      </c>
      <c r="M12" s="140">
        <f t="shared" si="6"/>
        <v>0</v>
      </c>
      <c r="N12" s="141"/>
      <c r="O12" s="142">
        <f t="shared" si="7"/>
        <v>1</v>
      </c>
      <c r="P12" s="141"/>
      <c r="Q12" s="141"/>
      <c r="R12" s="141"/>
      <c r="S12" s="143">
        <f t="shared" si="8"/>
        <v>5</v>
      </c>
      <c r="T12" s="32" t="str">
        <f t="shared" si="4"/>
        <v>OK</v>
      </c>
      <c r="U12" s="33"/>
      <c r="V12" s="33"/>
      <c r="W12" s="34"/>
      <c r="X12" s="36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</row>
    <row r="13" spans="1:35" ht="19.5" customHeight="1" x14ac:dyDescent="0.2">
      <c r="A13" s="205"/>
      <c r="B13" s="197"/>
      <c r="C13" s="26">
        <v>10</v>
      </c>
      <c r="D13" s="202"/>
      <c r="E13" s="28" t="s">
        <v>48</v>
      </c>
      <c r="F13" s="29" t="s">
        <v>16</v>
      </c>
      <c r="G13" s="29" t="s">
        <v>17</v>
      </c>
      <c r="H13" s="29" t="s">
        <v>44</v>
      </c>
      <c r="I13" s="28" t="s">
        <v>24</v>
      </c>
      <c r="J13" s="30">
        <v>1749</v>
      </c>
      <c r="K13" s="31">
        <f>5</f>
        <v>5</v>
      </c>
      <c r="L13" s="140">
        <f t="shared" si="5"/>
        <v>0</v>
      </c>
      <c r="M13" s="140">
        <f t="shared" si="6"/>
        <v>0</v>
      </c>
      <c r="N13" s="141">
        <v>-5</v>
      </c>
      <c r="O13" s="142">
        <f t="shared" si="7"/>
        <v>1</v>
      </c>
      <c r="P13" s="141"/>
      <c r="Q13" s="141"/>
      <c r="R13" s="141"/>
      <c r="S13" s="143">
        <f t="shared" si="8"/>
        <v>0</v>
      </c>
      <c r="T13" s="32" t="str">
        <f t="shared" si="4"/>
        <v>OK</v>
      </c>
      <c r="U13" s="33"/>
      <c r="V13" s="33"/>
      <c r="W13" s="34"/>
      <c r="X13" s="36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</row>
    <row r="14" spans="1:35" ht="25.15" customHeight="1" x14ac:dyDescent="0.2">
      <c r="A14" s="208">
        <v>4</v>
      </c>
      <c r="B14" s="209" t="s">
        <v>49</v>
      </c>
      <c r="C14" s="40">
        <v>11</v>
      </c>
      <c r="D14" s="211" t="s">
        <v>50</v>
      </c>
      <c r="E14" s="39" t="s">
        <v>51</v>
      </c>
      <c r="F14" s="41" t="s">
        <v>16</v>
      </c>
      <c r="G14" s="41" t="s">
        <v>17</v>
      </c>
      <c r="H14" s="41" t="s">
        <v>44</v>
      </c>
      <c r="I14" s="39" t="s">
        <v>53</v>
      </c>
      <c r="J14" s="42">
        <v>19.63</v>
      </c>
      <c r="K14" s="31">
        <v>25</v>
      </c>
      <c r="L14" s="140">
        <f t="shared" si="5"/>
        <v>0</v>
      </c>
      <c r="M14" s="140">
        <f t="shared" si="6"/>
        <v>0</v>
      </c>
      <c r="N14" s="141"/>
      <c r="O14" s="142">
        <f t="shared" si="7"/>
        <v>6</v>
      </c>
      <c r="P14" s="141"/>
      <c r="Q14" s="141"/>
      <c r="R14" s="141"/>
      <c r="S14" s="143">
        <f t="shared" si="8"/>
        <v>25</v>
      </c>
      <c r="T14" s="32" t="str">
        <f t="shared" si="4"/>
        <v>OK</v>
      </c>
      <c r="U14" s="33"/>
      <c r="V14" s="33"/>
      <c r="W14" s="34"/>
      <c r="X14" s="36"/>
      <c r="Y14" s="36"/>
      <c r="Z14" s="36"/>
      <c r="AA14" s="34"/>
      <c r="AB14" s="34"/>
      <c r="AC14" s="34"/>
      <c r="AD14" s="34"/>
      <c r="AE14" s="34"/>
      <c r="AF14" s="34"/>
      <c r="AG14" s="34"/>
      <c r="AH14" s="34"/>
      <c r="AI14" s="34"/>
    </row>
    <row r="15" spans="1:35" ht="22.7" customHeight="1" x14ac:dyDescent="0.2">
      <c r="A15" s="208"/>
      <c r="B15" s="210"/>
      <c r="C15" s="40">
        <v>12</v>
      </c>
      <c r="D15" s="212"/>
      <c r="E15" s="39" t="s">
        <v>52</v>
      </c>
      <c r="F15" s="41" t="s">
        <v>16</v>
      </c>
      <c r="G15" s="41" t="s">
        <v>17</v>
      </c>
      <c r="H15" s="41" t="s">
        <v>44</v>
      </c>
      <c r="I15" s="39" t="s">
        <v>24</v>
      </c>
      <c r="J15" s="42">
        <v>20.27</v>
      </c>
      <c r="K15" s="31">
        <v>15</v>
      </c>
      <c r="L15" s="140">
        <f t="shared" si="5"/>
        <v>0</v>
      </c>
      <c r="M15" s="140">
        <f t="shared" si="6"/>
        <v>0</v>
      </c>
      <c r="N15" s="141"/>
      <c r="O15" s="142">
        <f t="shared" si="7"/>
        <v>3</v>
      </c>
      <c r="P15" s="141"/>
      <c r="Q15" s="141"/>
      <c r="R15" s="141"/>
      <c r="S15" s="143">
        <f t="shared" si="8"/>
        <v>15</v>
      </c>
      <c r="T15" s="32" t="str">
        <f t="shared" si="4"/>
        <v>OK</v>
      </c>
      <c r="U15" s="33"/>
      <c r="V15" s="33"/>
      <c r="W15" s="34"/>
      <c r="X15" s="36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</row>
    <row r="16" spans="1:35" ht="45" customHeight="1" x14ac:dyDescent="0.2">
      <c r="A16" s="48">
        <v>5</v>
      </c>
      <c r="B16" s="28" t="s">
        <v>49</v>
      </c>
      <c r="C16" s="26">
        <v>13</v>
      </c>
      <c r="D16" s="49" t="s">
        <v>54</v>
      </c>
      <c r="E16" s="63" t="s">
        <v>55</v>
      </c>
      <c r="F16" s="50" t="s">
        <v>16</v>
      </c>
      <c r="G16" s="50" t="s">
        <v>17</v>
      </c>
      <c r="H16" s="29" t="s">
        <v>44</v>
      </c>
      <c r="I16" s="28" t="s">
        <v>53</v>
      </c>
      <c r="J16" s="30">
        <v>28.9</v>
      </c>
      <c r="K16" s="31">
        <v>20</v>
      </c>
      <c r="L16" s="140">
        <f t="shared" si="5"/>
        <v>0</v>
      </c>
      <c r="M16" s="140">
        <f t="shared" si="6"/>
        <v>0</v>
      </c>
      <c r="N16" s="141"/>
      <c r="O16" s="142">
        <f t="shared" si="7"/>
        <v>5</v>
      </c>
      <c r="P16" s="141"/>
      <c r="Q16" s="141"/>
      <c r="R16" s="141"/>
      <c r="S16" s="143">
        <f t="shared" si="8"/>
        <v>20</v>
      </c>
      <c r="T16" s="32" t="str">
        <f t="shared" si="4"/>
        <v>OK</v>
      </c>
      <c r="U16" s="33"/>
      <c r="V16" s="33"/>
      <c r="W16" s="34"/>
      <c r="X16" s="36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</row>
    <row r="17" spans="1:35" ht="55.5" customHeight="1" x14ac:dyDescent="0.2">
      <c r="A17" s="38">
        <v>6</v>
      </c>
      <c r="B17" s="47" t="s">
        <v>49</v>
      </c>
      <c r="C17" s="40">
        <v>14</v>
      </c>
      <c r="D17" s="47" t="s">
        <v>57</v>
      </c>
      <c r="E17" s="39" t="s">
        <v>56</v>
      </c>
      <c r="F17" s="41" t="s">
        <v>16</v>
      </c>
      <c r="G17" s="41" t="s">
        <v>17</v>
      </c>
      <c r="H17" s="41" t="s">
        <v>44</v>
      </c>
      <c r="I17" s="39" t="s">
        <v>24</v>
      </c>
      <c r="J17" s="42">
        <v>9.5</v>
      </c>
      <c r="K17" s="31">
        <v>2000</v>
      </c>
      <c r="L17" s="140">
        <f t="shared" si="5"/>
        <v>0</v>
      </c>
      <c r="M17" s="140">
        <f t="shared" si="6"/>
        <v>0</v>
      </c>
      <c r="N17" s="141"/>
      <c r="O17" s="142">
        <f t="shared" si="7"/>
        <v>500</v>
      </c>
      <c r="P17" s="141"/>
      <c r="Q17" s="141"/>
      <c r="R17" s="141"/>
      <c r="S17" s="143">
        <f t="shared" si="8"/>
        <v>2000</v>
      </c>
      <c r="T17" s="32" t="str">
        <f t="shared" si="4"/>
        <v>OK</v>
      </c>
      <c r="U17" s="33"/>
      <c r="V17" s="35"/>
      <c r="W17" s="45"/>
      <c r="X17" s="36"/>
      <c r="Y17" s="34"/>
      <c r="Z17" s="36"/>
      <c r="AA17" s="34"/>
      <c r="AB17" s="34"/>
      <c r="AC17" s="34"/>
      <c r="AD17" s="34"/>
      <c r="AE17" s="34"/>
      <c r="AF17" s="34"/>
      <c r="AG17" s="34"/>
      <c r="AH17" s="34"/>
      <c r="AI17" s="34"/>
    </row>
    <row r="18" spans="1:35" ht="66.75" customHeight="1" x14ac:dyDescent="0.2">
      <c r="A18" s="65">
        <v>7</v>
      </c>
      <c r="B18" s="28" t="s">
        <v>49</v>
      </c>
      <c r="C18" s="64">
        <v>15</v>
      </c>
      <c r="D18" s="37" t="s">
        <v>58</v>
      </c>
      <c r="E18" s="61" t="s">
        <v>59</v>
      </c>
      <c r="F18" s="29" t="s">
        <v>16</v>
      </c>
      <c r="G18" s="29" t="s">
        <v>17</v>
      </c>
      <c r="H18" s="29" t="s">
        <v>44</v>
      </c>
      <c r="I18" s="28" t="s">
        <v>24</v>
      </c>
      <c r="J18" s="30">
        <v>197.76</v>
      </c>
      <c r="K18" s="31">
        <v>10</v>
      </c>
      <c r="L18" s="140">
        <f t="shared" si="5"/>
        <v>0</v>
      </c>
      <c r="M18" s="140">
        <f t="shared" si="6"/>
        <v>0</v>
      </c>
      <c r="N18" s="141"/>
      <c r="O18" s="142">
        <f t="shared" si="7"/>
        <v>2</v>
      </c>
      <c r="P18" s="141"/>
      <c r="Q18" s="141"/>
      <c r="R18" s="141"/>
      <c r="S18" s="143">
        <f t="shared" si="8"/>
        <v>10</v>
      </c>
      <c r="T18" s="32" t="str">
        <f t="shared" si="4"/>
        <v>OK</v>
      </c>
      <c r="U18" s="33"/>
      <c r="V18" s="35"/>
      <c r="W18" s="45"/>
      <c r="X18" s="133"/>
      <c r="Y18" s="34"/>
      <c r="Z18" s="36"/>
      <c r="AA18" s="34"/>
      <c r="AB18" s="34"/>
      <c r="AC18" s="34"/>
      <c r="AD18" s="34"/>
      <c r="AE18" s="34"/>
      <c r="AF18" s="34"/>
      <c r="AG18" s="34"/>
      <c r="AH18" s="34"/>
      <c r="AI18" s="34"/>
    </row>
    <row r="19" spans="1:35" ht="38.25" customHeight="1" x14ac:dyDescent="0.2">
      <c r="A19" s="188">
        <v>8</v>
      </c>
      <c r="B19" s="190" t="s">
        <v>49</v>
      </c>
      <c r="C19" s="40">
        <v>16</v>
      </c>
      <c r="D19" s="199" t="s">
        <v>12</v>
      </c>
      <c r="E19" s="39" t="s">
        <v>60</v>
      </c>
      <c r="F19" s="41" t="s">
        <v>16</v>
      </c>
      <c r="G19" s="41" t="s">
        <v>17</v>
      </c>
      <c r="H19" s="41" t="s">
        <v>44</v>
      </c>
      <c r="I19" s="39" t="s">
        <v>24</v>
      </c>
      <c r="J19" s="42">
        <v>22.35</v>
      </c>
      <c r="K19" s="31">
        <v>60</v>
      </c>
      <c r="L19" s="140">
        <f t="shared" si="5"/>
        <v>0</v>
      </c>
      <c r="M19" s="140">
        <f t="shared" si="6"/>
        <v>0</v>
      </c>
      <c r="N19" s="141"/>
      <c r="O19" s="142">
        <f t="shared" si="7"/>
        <v>15</v>
      </c>
      <c r="P19" s="141"/>
      <c r="Q19" s="141"/>
      <c r="R19" s="141"/>
      <c r="S19" s="143">
        <f t="shared" si="8"/>
        <v>60</v>
      </c>
      <c r="T19" s="32" t="str">
        <f t="shared" si="4"/>
        <v>OK</v>
      </c>
      <c r="U19" s="33"/>
      <c r="V19" s="35"/>
      <c r="W19" s="45"/>
      <c r="X19" s="36"/>
      <c r="Y19" s="34"/>
      <c r="Z19" s="36"/>
      <c r="AA19" s="34"/>
      <c r="AB19" s="34"/>
      <c r="AC19" s="34"/>
      <c r="AD19" s="34"/>
      <c r="AE19" s="34"/>
      <c r="AF19" s="34"/>
      <c r="AG19" s="34"/>
      <c r="AH19" s="34"/>
      <c r="AI19" s="34"/>
    </row>
    <row r="20" spans="1:35" ht="45" customHeight="1" x14ac:dyDescent="0.2">
      <c r="A20" s="189"/>
      <c r="B20" s="191"/>
      <c r="C20" s="40">
        <v>17</v>
      </c>
      <c r="D20" s="200"/>
      <c r="E20" s="39" t="s">
        <v>61</v>
      </c>
      <c r="F20" s="44" t="s">
        <v>16</v>
      </c>
      <c r="G20" s="44" t="s">
        <v>17</v>
      </c>
      <c r="H20" s="41" t="s">
        <v>44</v>
      </c>
      <c r="I20" s="39" t="s">
        <v>24</v>
      </c>
      <c r="J20" s="42">
        <v>4.5999999999999996</v>
      </c>
      <c r="K20" s="31">
        <v>0</v>
      </c>
      <c r="L20" s="140">
        <f t="shared" si="5"/>
        <v>0</v>
      </c>
      <c r="M20" s="140">
        <f t="shared" si="6"/>
        <v>0</v>
      </c>
      <c r="N20" s="141"/>
      <c r="O20" s="142">
        <f t="shared" si="7"/>
        <v>0</v>
      </c>
      <c r="P20" s="141"/>
      <c r="Q20" s="141"/>
      <c r="R20" s="141"/>
      <c r="S20" s="143">
        <f t="shared" si="8"/>
        <v>0</v>
      </c>
      <c r="T20" s="32" t="str">
        <f t="shared" si="4"/>
        <v>OK</v>
      </c>
      <c r="U20" s="33"/>
      <c r="V20" s="35"/>
      <c r="W20" s="45"/>
      <c r="X20" s="36"/>
      <c r="Y20" s="34"/>
      <c r="Z20" s="45"/>
      <c r="AA20" s="34"/>
      <c r="AB20" s="34"/>
      <c r="AC20" s="34"/>
      <c r="AD20" s="34"/>
      <c r="AE20" s="34"/>
      <c r="AF20" s="34"/>
      <c r="AG20" s="34"/>
      <c r="AH20" s="34"/>
      <c r="AI20" s="34"/>
    </row>
    <row r="21" spans="1:35" ht="58.7" customHeight="1" x14ac:dyDescent="0.2">
      <c r="A21" s="48">
        <v>9</v>
      </c>
      <c r="B21" s="28" t="s">
        <v>62</v>
      </c>
      <c r="C21" s="26">
        <v>18</v>
      </c>
      <c r="D21" s="27" t="s">
        <v>63</v>
      </c>
      <c r="E21" s="28" t="s">
        <v>64</v>
      </c>
      <c r="F21" s="50" t="s">
        <v>16</v>
      </c>
      <c r="G21" s="50" t="s">
        <v>17</v>
      </c>
      <c r="H21" s="29" t="s">
        <v>44</v>
      </c>
      <c r="I21" s="28" t="s">
        <v>24</v>
      </c>
      <c r="J21" s="30">
        <v>3.46</v>
      </c>
      <c r="K21" s="31">
        <v>0</v>
      </c>
      <c r="L21" s="140">
        <f t="shared" si="5"/>
        <v>0</v>
      </c>
      <c r="M21" s="140">
        <f t="shared" si="6"/>
        <v>0</v>
      </c>
      <c r="N21" s="141"/>
      <c r="O21" s="142">
        <f t="shared" si="7"/>
        <v>0</v>
      </c>
      <c r="P21" s="141"/>
      <c r="Q21" s="141"/>
      <c r="R21" s="141"/>
      <c r="S21" s="143">
        <f t="shared" si="8"/>
        <v>0</v>
      </c>
      <c r="T21" s="32" t="str">
        <f t="shared" si="4"/>
        <v>OK</v>
      </c>
      <c r="U21" s="35"/>
      <c r="V21" s="33"/>
      <c r="W21" s="45"/>
      <c r="X21" s="36"/>
      <c r="Y21" s="34"/>
      <c r="Z21" s="45"/>
      <c r="AA21" s="34"/>
      <c r="AB21" s="34"/>
      <c r="AC21" s="34"/>
      <c r="AD21" s="34"/>
      <c r="AE21" s="34"/>
      <c r="AF21" s="34"/>
      <c r="AG21" s="34"/>
      <c r="AH21" s="34"/>
      <c r="AI21" s="34"/>
    </row>
    <row r="22" spans="1:35" ht="45" customHeight="1" x14ac:dyDescent="0.2">
      <c r="A22" s="38">
        <v>10</v>
      </c>
      <c r="B22" s="47" t="s">
        <v>31</v>
      </c>
      <c r="C22" s="40">
        <v>19</v>
      </c>
      <c r="D22" s="47" t="s">
        <v>27</v>
      </c>
      <c r="E22" s="39" t="s">
        <v>23</v>
      </c>
      <c r="F22" s="44" t="s">
        <v>16</v>
      </c>
      <c r="G22" s="44" t="s">
        <v>17</v>
      </c>
      <c r="H22" s="41" t="s">
        <v>44</v>
      </c>
      <c r="I22" s="39" t="s">
        <v>24</v>
      </c>
      <c r="J22" s="42">
        <v>0.4</v>
      </c>
      <c r="K22" s="31">
        <v>400</v>
      </c>
      <c r="L22" s="140">
        <f t="shared" si="5"/>
        <v>0</v>
      </c>
      <c r="M22" s="140">
        <f t="shared" si="6"/>
        <v>0</v>
      </c>
      <c r="N22" s="141"/>
      <c r="O22" s="142">
        <f t="shared" si="7"/>
        <v>100</v>
      </c>
      <c r="P22" s="141"/>
      <c r="Q22" s="141"/>
      <c r="R22" s="141"/>
      <c r="S22" s="143">
        <f t="shared" si="8"/>
        <v>400</v>
      </c>
      <c r="T22" s="32" t="str">
        <f t="shared" si="4"/>
        <v>OK</v>
      </c>
      <c r="U22" s="35"/>
      <c r="V22" s="33"/>
      <c r="W22" s="45"/>
      <c r="X22" s="36"/>
      <c r="Y22" s="34"/>
      <c r="Z22" s="45"/>
      <c r="AA22" s="36"/>
      <c r="AB22" s="34"/>
      <c r="AC22" s="34"/>
      <c r="AD22" s="34"/>
      <c r="AE22" s="34"/>
      <c r="AF22" s="34"/>
      <c r="AG22" s="34"/>
      <c r="AH22" s="34"/>
      <c r="AI22" s="34"/>
    </row>
    <row r="23" spans="1:35" ht="42" customHeight="1" x14ac:dyDescent="0.2">
      <c r="A23" s="194">
        <v>11</v>
      </c>
      <c r="B23" s="196" t="s">
        <v>65</v>
      </c>
      <c r="C23" s="26">
        <v>20</v>
      </c>
      <c r="D23" s="201" t="s">
        <v>25</v>
      </c>
      <c r="E23" s="28" t="s">
        <v>19</v>
      </c>
      <c r="F23" s="50" t="s">
        <v>16</v>
      </c>
      <c r="G23" s="50" t="s">
        <v>17</v>
      </c>
      <c r="H23" s="29" t="s">
        <v>44</v>
      </c>
      <c r="I23" s="28" t="s">
        <v>24</v>
      </c>
      <c r="J23" s="30">
        <v>3.95</v>
      </c>
      <c r="K23" s="31">
        <f>500</f>
        <v>500</v>
      </c>
      <c r="L23" s="140">
        <f t="shared" si="5"/>
        <v>0</v>
      </c>
      <c r="M23" s="140">
        <f t="shared" si="6"/>
        <v>0</v>
      </c>
      <c r="N23" s="141">
        <v>-500</v>
      </c>
      <c r="O23" s="142">
        <f t="shared" si="7"/>
        <v>125</v>
      </c>
      <c r="P23" s="141"/>
      <c r="Q23" s="141"/>
      <c r="R23" s="141"/>
      <c r="S23" s="143">
        <f t="shared" si="8"/>
        <v>0</v>
      </c>
      <c r="T23" s="32" t="str">
        <f t="shared" si="4"/>
        <v>OK</v>
      </c>
      <c r="U23" s="35"/>
      <c r="V23" s="33"/>
      <c r="W23" s="45"/>
      <c r="X23" s="36"/>
      <c r="Y23" s="34"/>
      <c r="Z23" s="45"/>
      <c r="AA23" s="36"/>
      <c r="AB23" s="34"/>
      <c r="AC23" s="34"/>
      <c r="AD23" s="34"/>
      <c r="AE23" s="34"/>
      <c r="AF23" s="34"/>
      <c r="AG23" s="34"/>
      <c r="AH23" s="34"/>
      <c r="AI23" s="34"/>
    </row>
    <row r="24" spans="1:35" ht="25.15" customHeight="1" x14ac:dyDescent="0.2">
      <c r="A24" s="195"/>
      <c r="B24" s="197"/>
      <c r="C24" s="26">
        <v>21</v>
      </c>
      <c r="D24" s="202"/>
      <c r="E24" s="28" t="s">
        <v>20</v>
      </c>
      <c r="F24" s="50" t="s">
        <v>16</v>
      </c>
      <c r="G24" s="50" t="s">
        <v>17</v>
      </c>
      <c r="H24" s="29" t="s">
        <v>44</v>
      </c>
      <c r="I24" s="28" t="s">
        <v>24</v>
      </c>
      <c r="J24" s="30">
        <v>2.41</v>
      </c>
      <c r="K24" s="31">
        <v>0</v>
      </c>
      <c r="L24" s="140">
        <f t="shared" si="5"/>
        <v>0</v>
      </c>
      <c r="M24" s="140">
        <f t="shared" si="6"/>
        <v>0</v>
      </c>
      <c r="N24" s="141"/>
      <c r="O24" s="142">
        <f t="shared" si="7"/>
        <v>0</v>
      </c>
      <c r="P24" s="141"/>
      <c r="Q24" s="141"/>
      <c r="R24" s="141"/>
      <c r="S24" s="143">
        <f t="shared" si="8"/>
        <v>0</v>
      </c>
      <c r="T24" s="32" t="str">
        <f t="shared" si="4"/>
        <v>OK</v>
      </c>
      <c r="U24" s="33"/>
      <c r="V24" s="33"/>
      <c r="W24" s="45"/>
      <c r="X24" s="36"/>
      <c r="Y24" s="34"/>
      <c r="Z24" s="45"/>
      <c r="AA24" s="34"/>
      <c r="AB24" s="34"/>
      <c r="AC24" s="34"/>
      <c r="AD24" s="34"/>
      <c r="AE24" s="34"/>
      <c r="AF24" s="34"/>
      <c r="AG24" s="34"/>
      <c r="AH24" s="34"/>
      <c r="AI24" s="34"/>
    </row>
    <row r="25" spans="1:35" ht="26.45" customHeight="1" x14ac:dyDescent="0.2">
      <c r="A25" s="188">
        <v>12</v>
      </c>
      <c r="B25" s="190" t="s">
        <v>62</v>
      </c>
      <c r="C25" s="40">
        <v>22</v>
      </c>
      <c r="D25" s="199" t="s">
        <v>26</v>
      </c>
      <c r="E25" s="39" t="s">
        <v>19</v>
      </c>
      <c r="F25" s="44" t="s">
        <v>16</v>
      </c>
      <c r="G25" s="44" t="s">
        <v>17</v>
      </c>
      <c r="H25" s="41" t="s">
        <v>44</v>
      </c>
      <c r="I25" s="39" t="s">
        <v>24</v>
      </c>
      <c r="J25" s="42">
        <v>2.48</v>
      </c>
      <c r="K25" s="31">
        <f>500</f>
        <v>500</v>
      </c>
      <c r="L25" s="140">
        <f t="shared" si="5"/>
        <v>0</v>
      </c>
      <c r="M25" s="140">
        <f t="shared" si="6"/>
        <v>0</v>
      </c>
      <c r="N25" s="141">
        <v>-500</v>
      </c>
      <c r="O25" s="142">
        <f t="shared" si="7"/>
        <v>125</v>
      </c>
      <c r="P25" s="141"/>
      <c r="Q25" s="141"/>
      <c r="R25" s="141"/>
      <c r="S25" s="143">
        <f t="shared" si="8"/>
        <v>0</v>
      </c>
      <c r="T25" s="32" t="str">
        <f t="shared" si="4"/>
        <v>OK</v>
      </c>
      <c r="U25" s="33"/>
      <c r="V25" s="33"/>
      <c r="W25" s="45"/>
      <c r="X25" s="36"/>
      <c r="Y25" s="34"/>
      <c r="Z25" s="45"/>
      <c r="AA25" s="34"/>
      <c r="AB25" s="34"/>
      <c r="AC25" s="34"/>
      <c r="AD25" s="34"/>
      <c r="AE25" s="34"/>
      <c r="AF25" s="34"/>
      <c r="AG25" s="34"/>
      <c r="AH25" s="34"/>
      <c r="AI25" s="34"/>
    </row>
    <row r="26" spans="1:35" ht="24.4" customHeight="1" x14ac:dyDescent="0.2">
      <c r="A26" s="189"/>
      <c r="B26" s="191"/>
      <c r="C26" s="40">
        <v>23</v>
      </c>
      <c r="D26" s="200"/>
      <c r="E26" s="43" t="s">
        <v>20</v>
      </c>
      <c r="F26" s="44" t="s">
        <v>16</v>
      </c>
      <c r="G26" s="44" t="s">
        <v>17</v>
      </c>
      <c r="H26" s="41" t="s">
        <v>44</v>
      </c>
      <c r="I26" s="39" t="s">
        <v>24</v>
      </c>
      <c r="J26" s="42">
        <v>1.2</v>
      </c>
      <c r="K26" s="31">
        <v>0</v>
      </c>
      <c r="L26" s="140">
        <f t="shared" si="5"/>
        <v>0</v>
      </c>
      <c r="M26" s="140">
        <f t="shared" si="6"/>
        <v>0</v>
      </c>
      <c r="N26" s="141"/>
      <c r="O26" s="142">
        <f t="shared" si="7"/>
        <v>0</v>
      </c>
      <c r="P26" s="141"/>
      <c r="Q26" s="141"/>
      <c r="R26" s="141"/>
      <c r="S26" s="143">
        <f t="shared" si="8"/>
        <v>0</v>
      </c>
      <c r="T26" s="32" t="str">
        <f t="shared" si="4"/>
        <v>OK</v>
      </c>
      <c r="U26" s="33"/>
      <c r="V26" s="33"/>
      <c r="W26" s="45"/>
      <c r="X26" s="36"/>
      <c r="Y26" s="34"/>
      <c r="Z26" s="45"/>
      <c r="AA26" s="34"/>
      <c r="AB26" s="34"/>
      <c r="AC26" s="34"/>
      <c r="AD26" s="34"/>
      <c r="AE26" s="34"/>
      <c r="AF26" s="34"/>
      <c r="AG26" s="34"/>
      <c r="AH26" s="34"/>
      <c r="AI26" s="34"/>
    </row>
    <row r="27" spans="1:35" ht="24" customHeight="1" x14ac:dyDescent="0.2">
      <c r="A27" s="194">
        <v>13</v>
      </c>
      <c r="B27" s="196" t="s">
        <v>65</v>
      </c>
      <c r="C27" s="26">
        <v>24</v>
      </c>
      <c r="D27" s="201" t="s">
        <v>66</v>
      </c>
      <c r="E27" s="28" t="s">
        <v>21</v>
      </c>
      <c r="F27" s="50" t="s">
        <v>16</v>
      </c>
      <c r="G27" s="29" t="s">
        <v>17</v>
      </c>
      <c r="H27" s="29" t="s">
        <v>44</v>
      </c>
      <c r="I27" s="28" t="s">
        <v>24</v>
      </c>
      <c r="J27" s="30">
        <v>0.33</v>
      </c>
      <c r="K27" s="31">
        <v>0</v>
      </c>
      <c r="L27" s="140">
        <f t="shared" si="5"/>
        <v>0</v>
      </c>
      <c r="M27" s="140">
        <f t="shared" si="6"/>
        <v>0</v>
      </c>
      <c r="N27" s="141"/>
      <c r="O27" s="142">
        <f t="shared" si="7"/>
        <v>0</v>
      </c>
      <c r="P27" s="141"/>
      <c r="Q27" s="141"/>
      <c r="R27" s="141"/>
      <c r="S27" s="143">
        <f t="shared" si="8"/>
        <v>0</v>
      </c>
      <c r="T27" s="32" t="str">
        <f t="shared" si="4"/>
        <v>OK</v>
      </c>
      <c r="U27" s="33"/>
      <c r="V27" s="33"/>
      <c r="W27" s="45"/>
      <c r="X27" s="36"/>
      <c r="Y27" s="34"/>
      <c r="Z27" s="45"/>
      <c r="AA27" s="34"/>
      <c r="AB27" s="34"/>
      <c r="AC27" s="34"/>
      <c r="AD27" s="34"/>
      <c r="AE27" s="34"/>
      <c r="AF27" s="34"/>
      <c r="AG27" s="34"/>
      <c r="AH27" s="34"/>
      <c r="AI27" s="34"/>
    </row>
    <row r="28" spans="1:35" ht="30.2" customHeight="1" x14ac:dyDescent="0.2">
      <c r="A28" s="195"/>
      <c r="B28" s="197"/>
      <c r="C28" s="26">
        <v>25</v>
      </c>
      <c r="D28" s="202"/>
      <c r="E28" s="28" t="s">
        <v>22</v>
      </c>
      <c r="F28" s="50" t="s">
        <v>16</v>
      </c>
      <c r="G28" s="50" t="s">
        <v>17</v>
      </c>
      <c r="H28" s="29" t="s">
        <v>44</v>
      </c>
      <c r="I28" s="28" t="s">
        <v>24</v>
      </c>
      <c r="J28" s="30">
        <v>0.15</v>
      </c>
      <c r="K28" s="31">
        <v>0</v>
      </c>
      <c r="L28" s="140">
        <f t="shared" si="5"/>
        <v>0</v>
      </c>
      <c r="M28" s="140">
        <f t="shared" si="6"/>
        <v>0</v>
      </c>
      <c r="N28" s="141"/>
      <c r="O28" s="142">
        <f t="shared" si="7"/>
        <v>0</v>
      </c>
      <c r="P28" s="141"/>
      <c r="Q28" s="141"/>
      <c r="R28" s="141"/>
      <c r="S28" s="143">
        <f t="shared" si="8"/>
        <v>0</v>
      </c>
      <c r="T28" s="32" t="str">
        <f t="shared" si="4"/>
        <v>OK</v>
      </c>
      <c r="U28" s="33"/>
      <c r="V28" s="33"/>
      <c r="W28" s="45"/>
      <c r="X28" s="36"/>
      <c r="Y28" s="34"/>
      <c r="Z28" s="45"/>
      <c r="AA28" s="34"/>
      <c r="AB28" s="34"/>
      <c r="AC28" s="34"/>
      <c r="AD28" s="34"/>
      <c r="AE28" s="34"/>
      <c r="AF28" s="34"/>
      <c r="AG28" s="34"/>
      <c r="AH28" s="34"/>
      <c r="AI28" s="34"/>
    </row>
    <row r="29" spans="1:35" ht="26.45" customHeight="1" x14ac:dyDescent="0.2">
      <c r="A29" s="188">
        <v>14</v>
      </c>
      <c r="B29" s="190" t="s">
        <v>65</v>
      </c>
      <c r="C29" s="40">
        <v>26</v>
      </c>
      <c r="D29" s="192" t="s">
        <v>67</v>
      </c>
      <c r="E29" s="66" t="s">
        <v>21</v>
      </c>
      <c r="F29" s="44" t="s">
        <v>16</v>
      </c>
      <c r="G29" s="44" t="s">
        <v>17</v>
      </c>
      <c r="H29" s="41" t="s">
        <v>44</v>
      </c>
      <c r="I29" s="39" t="s">
        <v>24</v>
      </c>
      <c r="J29" s="42">
        <v>0.33</v>
      </c>
      <c r="K29" s="31">
        <v>2000</v>
      </c>
      <c r="L29" s="140">
        <f t="shared" si="5"/>
        <v>2000</v>
      </c>
      <c r="M29" s="140">
        <f t="shared" si="6"/>
        <v>2000</v>
      </c>
      <c r="N29" s="141"/>
      <c r="O29" s="142">
        <f t="shared" si="7"/>
        <v>500</v>
      </c>
      <c r="P29" s="141"/>
      <c r="Q29" s="141"/>
      <c r="R29" s="141"/>
      <c r="S29" s="143">
        <f t="shared" si="8"/>
        <v>0</v>
      </c>
      <c r="T29" s="32" t="str">
        <f t="shared" si="4"/>
        <v>OK</v>
      </c>
      <c r="U29" s="33"/>
      <c r="V29" s="33"/>
      <c r="W29" s="97">
        <v>2000</v>
      </c>
      <c r="X29" s="36"/>
      <c r="Y29" s="34"/>
      <c r="Z29" s="45"/>
      <c r="AA29" s="34"/>
      <c r="AB29" s="34"/>
      <c r="AC29" s="34"/>
      <c r="AD29" s="34"/>
      <c r="AE29" s="34"/>
      <c r="AF29" s="34"/>
      <c r="AG29" s="34"/>
      <c r="AH29" s="34"/>
      <c r="AI29" s="34"/>
    </row>
    <row r="30" spans="1:35" ht="33.950000000000003" customHeight="1" x14ac:dyDescent="0.2">
      <c r="A30" s="189"/>
      <c r="B30" s="191"/>
      <c r="C30" s="40">
        <v>27</v>
      </c>
      <c r="D30" s="193"/>
      <c r="E30" s="66" t="s">
        <v>22</v>
      </c>
      <c r="F30" s="44" t="s">
        <v>16</v>
      </c>
      <c r="G30" s="44" t="s">
        <v>17</v>
      </c>
      <c r="H30" s="41" t="s">
        <v>44</v>
      </c>
      <c r="I30" s="39" t="s">
        <v>24</v>
      </c>
      <c r="J30" s="42">
        <v>0.23</v>
      </c>
      <c r="K30" s="31">
        <v>0</v>
      </c>
      <c r="L30" s="140">
        <f t="shared" si="5"/>
        <v>0</v>
      </c>
      <c r="M30" s="140">
        <f t="shared" si="6"/>
        <v>0</v>
      </c>
      <c r="N30" s="141"/>
      <c r="O30" s="142">
        <f t="shared" si="7"/>
        <v>0</v>
      </c>
      <c r="P30" s="141"/>
      <c r="Q30" s="141"/>
      <c r="R30" s="141"/>
      <c r="S30" s="143">
        <f t="shared" si="8"/>
        <v>0</v>
      </c>
      <c r="T30" s="32" t="str">
        <f t="shared" si="4"/>
        <v>OK</v>
      </c>
      <c r="U30" s="33"/>
      <c r="V30" s="33"/>
      <c r="W30" s="45"/>
      <c r="X30" s="36"/>
      <c r="Y30" s="34"/>
      <c r="Z30" s="45"/>
      <c r="AA30" s="34"/>
      <c r="AB30" s="34"/>
      <c r="AC30" s="34"/>
      <c r="AD30" s="34"/>
      <c r="AE30" s="34"/>
      <c r="AF30" s="34"/>
      <c r="AG30" s="34"/>
      <c r="AH30" s="34"/>
      <c r="AI30" s="34"/>
    </row>
    <row r="31" spans="1:35" ht="27" customHeight="1" x14ac:dyDescent="0.2">
      <c r="A31" s="194">
        <v>15</v>
      </c>
      <c r="B31" s="196" t="s">
        <v>31</v>
      </c>
      <c r="C31" s="68">
        <v>28</v>
      </c>
      <c r="D31" s="198" t="s">
        <v>68</v>
      </c>
      <c r="E31" s="28" t="s">
        <v>21</v>
      </c>
      <c r="F31" s="50" t="s">
        <v>16</v>
      </c>
      <c r="G31" s="50" t="s">
        <v>17</v>
      </c>
      <c r="H31" s="29" t="s">
        <v>44</v>
      </c>
      <c r="I31" s="28" t="s">
        <v>24</v>
      </c>
      <c r="J31" s="30">
        <v>0.4</v>
      </c>
      <c r="K31" s="31">
        <v>0</v>
      </c>
      <c r="L31" s="140">
        <f t="shared" si="5"/>
        <v>0</v>
      </c>
      <c r="M31" s="140">
        <f t="shared" si="6"/>
        <v>0</v>
      </c>
      <c r="N31" s="141"/>
      <c r="O31" s="142">
        <f t="shared" si="7"/>
        <v>0</v>
      </c>
      <c r="P31" s="141"/>
      <c r="Q31" s="141"/>
      <c r="R31" s="141"/>
      <c r="S31" s="143">
        <f t="shared" si="8"/>
        <v>0</v>
      </c>
      <c r="T31" s="32" t="str">
        <f t="shared" si="4"/>
        <v>OK</v>
      </c>
      <c r="U31" s="33"/>
      <c r="V31" s="35"/>
      <c r="W31" s="45"/>
      <c r="X31" s="36"/>
      <c r="Y31" s="34"/>
      <c r="Z31" s="45"/>
      <c r="AA31" s="34"/>
      <c r="AB31" s="34"/>
      <c r="AC31" s="34"/>
      <c r="AD31" s="34"/>
      <c r="AE31" s="34"/>
      <c r="AF31" s="34"/>
      <c r="AG31" s="34"/>
      <c r="AH31" s="34"/>
      <c r="AI31" s="34"/>
    </row>
    <row r="32" spans="1:35" ht="29.25" customHeight="1" x14ac:dyDescent="0.2">
      <c r="A32" s="195"/>
      <c r="B32" s="197"/>
      <c r="C32" s="26">
        <v>29</v>
      </c>
      <c r="D32" s="198"/>
      <c r="E32" s="28" t="s">
        <v>22</v>
      </c>
      <c r="F32" s="50" t="s">
        <v>16</v>
      </c>
      <c r="G32" s="50" t="s">
        <v>17</v>
      </c>
      <c r="H32" s="29" t="s">
        <v>44</v>
      </c>
      <c r="I32" s="28" t="s">
        <v>24</v>
      </c>
      <c r="J32" s="30">
        <v>0.44</v>
      </c>
      <c r="K32" s="31">
        <v>0</v>
      </c>
      <c r="L32" s="140">
        <f t="shared" si="5"/>
        <v>0</v>
      </c>
      <c r="M32" s="140">
        <f t="shared" si="6"/>
        <v>0</v>
      </c>
      <c r="N32" s="141"/>
      <c r="O32" s="142">
        <f t="shared" si="7"/>
        <v>0</v>
      </c>
      <c r="P32" s="141"/>
      <c r="Q32" s="141"/>
      <c r="R32" s="141"/>
      <c r="S32" s="143">
        <f t="shared" si="8"/>
        <v>0</v>
      </c>
      <c r="T32" s="32" t="str">
        <f t="shared" si="4"/>
        <v>OK</v>
      </c>
      <c r="U32" s="33"/>
      <c r="V32" s="33"/>
      <c r="W32" s="34"/>
      <c r="X32" s="36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</row>
    <row r="33" spans="11:35" x14ac:dyDescent="0.2">
      <c r="K33" s="56">
        <f>SUM(K4:K32)</f>
        <v>6685</v>
      </c>
      <c r="U33" s="67">
        <f t="shared" ref="U33:AI33" si="9">SUMPRODUCT($J$4:$J$32,U4:U32)</f>
        <v>423</v>
      </c>
      <c r="V33" s="59">
        <f>SUMPRODUCT($J$4:$J$32,V4:V32)</f>
        <v>1032</v>
      </c>
      <c r="W33" s="59">
        <f>SUMPRODUCT($J$4:$J$32,W4:W32)</f>
        <v>660</v>
      </c>
      <c r="X33" s="85">
        <f t="shared" si="9"/>
        <v>2479.5500000000002</v>
      </c>
      <c r="Y33" s="59">
        <f t="shared" si="9"/>
        <v>0</v>
      </c>
      <c r="Z33" s="59">
        <f t="shared" si="9"/>
        <v>0</v>
      </c>
      <c r="AA33" s="59">
        <f t="shared" si="9"/>
        <v>0</v>
      </c>
      <c r="AB33" s="59">
        <f t="shared" si="9"/>
        <v>0</v>
      </c>
      <c r="AC33" s="59">
        <f t="shared" si="9"/>
        <v>0</v>
      </c>
      <c r="AD33" s="59">
        <f t="shared" si="9"/>
        <v>0</v>
      </c>
      <c r="AE33" s="59">
        <f t="shared" si="9"/>
        <v>0</v>
      </c>
      <c r="AF33" s="59">
        <f t="shared" si="9"/>
        <v>0</v>
      </c>
      <c r="AG33" s="59">
        <f t="shared" si="9"/>
        <v>0</v>
      </c>
      <c r="AH33" s="59">
        <f t="shared" si="9"/>
        <v>0</v>
      </c>
      <c r="AI33" s="59">
        <f t="shared" si="9"/>
        <v>0</v>
      </c>
    </row>
    <row r="34" spans="11:35" x14ac:dyDescent="0.2">
      <c r="K34" s="148">
        <f>SUMPRODUCT($J$4:$J$32,K4:K32)</f>
        <v>82189.350000000006</v>
      </c>
      <c r="L34" s="148">
        <f t="shared" ref="L34:M34" si="10">SUMPRODUCT($J$4:$J$32,L4:L32)</f>
        <v>4594.55</v>
      </c>
      <c r="M34" s="148">
        <f t="shared" si="10"/>
        <v>4594.55</v>
      </c>
    </row>
  </sheetData>
  <autoFilter ref="A3:AI33" xr:uid="{ED69E5B8-F48D-4196-96BE-E5CDC6AF9376}"/>
  <mergeCells count="50">
    <mergeCell ref="W1:W2"/>
    <mergeCell ref="A1:C1"/>
    <mergeCell ref="D1:J1"/>
    <mergeCell ref="K1:T1"/>
    <mergeCell ref="U1:U2"/>
    <mergeCell ref="V1:V2"/>
    <mergeCell ref="K2:T2"/>
    <mergeCell ref="A2:J2"/>
    <mergeCell ref="AI1:AI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4:A8"/>
    <mergeCell ref="B4:B8"/>
    <mergeCell ref="D4:D8"/>
    <mergeCell ref="A9:A10"/>
    <mergeCell ref="B9:B10"/>
    <mergeCell ref="D9:D10"/>
    <mergeCell ref="A11:A13"/>
    <mergeCell ref="B11:B13"/>
    <mergeCell ref="D11:D13"/>
    <mergeCell ref="A14:A15"/>
    <mergeCell ref="B14:B15"/>
    <mergeCell ref="D14:D15"/>
    <mergeCell ref="A19:A20"/>
    <mergeCell ref="B19:B20"/>
    <mergeCell ref="D19:D20"/>
    <mergeCell ref="A23:A24"/>
    <mergeCell ref="B23:B24"/>
    <mergeCell ref="D23:D24"/>
    <mergeCell ref="A25:A26"/>
    <mergeCell ref="B25:B26"/>
    <mergeCell ref="D25:D26"/>
    <mergeCell ref="A27:A28"/>
    <mergeCell ref="B27:B28"/>
    <mergeCell ref="D27:D28"/>
    <mergeCell ref="A29:A30"/>
    <mergeCell ref="B29:B30"/>
    <mergeCell ref="D29:D30"/>
    <mergeCell ref="A31:A32"/>
    <mergeCell ref="B31:B32"/>
    <mergeCell ref="D31:D3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572D7-2020-4212-BE52-96F1BAF91830}">
  <dimension ref="A1:AS34"/>
  <sheetViews>
    <sheetView topLeftCell="A22" zoomScale="90" zoomScaleNormal="90" workbookViewId="0">
      <selection activeCell="O44" sqref="O44"/>
    </sheetView>
  </sheetViews>
  <sheetFormatPr defaultColWidth="9.7109375" defaultRowHeight="12.75" x14ac:dyDescent="0.2"/>
  <cols>
    <col min="1" max="1" width="7.7109375" style="53" customWidth="1"/>
    <col min="2" max="2" width="11.140625" style="53" customWidth="1"/>
    <col min="3" max="3" width="5.5703125" style="53" bestFit="1" customWidth="1"/>
    <col min="4" max="4" width="22.5703125" style="54" customWidth="1"/>
    <col min="5" max="5" width="10.85546875" style="53" bestFit="1" customWidth="1"/>
    <col min="6" max="6" width="6.85546875" style="53" customWidth="1"/>
    <col min="7" max="8" width="10.140625" style="53" customWidth="1"/>
    <col min="9" max="9" width="8.42578125" style="53" customWidth="1"/>
    <col min="10" max="10" width="12.7109375" style="55" bestFit="1" customWidth="1"/>
    <col min="11" max="11" width="13.28515625" style="56" customWidth="1"/>
    <col min="12" max="13" width="14" style="56" bestFit="1" customWidth="1"/>
    <col min="14" max="14" width="13.28515625" style="56" customWidth="1"/>
    <col min="15" max="15" width="14" style="56" bestFit="1" customWidth="1"/>
    <col min="16" max="18" width="10.140625" style="56" customWidth="1"/>
    <col min="19" max="19" width="10.28515625" style="57" customWidth="1"/>
    <col min="20" max="20" width="12.5703125" style="58" customWidth="1"/>
    <col min="21" max="21" width="12.42578125" style="60" customWidth="1"/>
    <col min="22" max="22" width="10.42578125" style="60" bestFit="1" customWidth="1"/>
    <col min="23" max="23" width="10.42578125" style="18" bestFit="1" customWidth="1"/>
    <col min="24" max="45" width="13.7109375" style="18" customWidth="1"/>
    <col min="46" max="16384" width="9.7109375" style="18"/>
  </cols>
  <sheetData>
    <row r="1" spans="1:45" ht="34.5" customHeight="1" x14ac:dyDescent="0.2">
      <c r="A1" s="219" t="s">
        <v>69</v>
      </c>
      <c r="B1" s="220"/>
      <c r="C1" s="221"/>
      <c r="D1" s="220" t="s">
        <v>32</v>
      </c>
      <c r="E1" s="220"/>
      <c r="F1" s="220"/>
      <c r="G1" s="220"/>
      <c r="H1" s="220"/>
      <c r="I1" s="220"/>
      <c r="J1" s="221"/>
      <c r="K1" s="222" t="s">
        <v>33</v>
      </c>
      <c r="L1" s="223"/>
      <c r="M1" s="223"/>
      <c r="N1" s="223"/>
      <c r="O1" s="223"/>
      <c r="P1" s="223"/>
      <c r="Q1" s="223"/>
      <c r="R1" s="223"/>
      <c r="S1" s="223"/>
      <c r="T1" s="224"/>
      <c r="U1" s="234" t="s">
        <v>115</v>
      </c>
      <c r="V1" s="234" t="s">
        <v>116</v>
      </c>
      <c r="W1" s="234" t="s">
        <v>117</v>
      </c>
      <c r="X1" s="234" t="s">
        <v>118</v>
      </c>
      <c r="Y1" s="234" t="s">
        <v>119</v>
      </c>
      <c r="Z1" s="218" t="s">
        <v>238</v>
      </c>
      <c r="AA1" s="218" t="s">
        <v>239</v>
      </c>
      <c r="AB1" s="218" t="s">
        <v>240</v>
      </c>
      <c r="AC1" s="218" t="s">
        <v>241</v>
      </c>
      <c r="AD1" s="218" t="s">
        <v>242</v>
      </c>
      <c r="AE1" s="218" t="s">
        <v>243</v>
      </c>
      <c r="AF1" s="218" t="s">
        <v>244</v>
      </c>
      <c r="AG1" s="242" t="s">
        <v>245</v>
      </c>
      <c r="AH1" s="240" t="s">
        <v>246</v>
      </c>
      <c r="AI1" s="218" t="s">
        <v>247</v>
      </c>
      <c r="AJ1" s="240" t="s">
        <v>248</v>
      </c>
      <c r="AK1" s="240" t="s">
        <v>249</v>
      </c>
      <c r="AL1" s="240" t="s">
        <v>250</v>
      </c>
      <c r="AM1" s="240" t="s">
        <v>251</v>
      </c>
      <c r="AN1" s="218" t="s">
        <v>252</v>
      </c>
      <c r="AO1" s="240" t="s">
        <v>253</v>
      </c>
      <c r="AP1" s="242" t="s">
        <v>254</v>
      </c>
      <c r="AQ1" s="240" t="s">
        <v>255</v>
      </c>
      <c r="AR1" s="240" t="s">
        <v>256</v>
      </c>
      <c r="AS1" s="218" t="s">
        <v>30</v>
      </c>
    </row>
    <row r="2" spans="1:45" ht="15" customHeight="1" x14ac:dyDescent="0.2">
      <c r="A2" s="219" t="s">
        <v>77</v>
      </c>
      <c r="B2" s="220"/>
      <c r="C2" s="220"/>
      <c r="D2" s="220"/>
      <c r="E2" s="220"/>
      <c r="F2" s="220"/>
      <c r="G2" s="220"/>
      <c r="H2" s="220"/>
      <c r="I2" s="220"/>
      <c r="J2" s="221"/>
      <c r="K2" s="225" t="s">
        <v>91</v>
      </c>
      <c r="L2" s="226"/>
      <c r="M2" s="226"/>
      <c r="N2" s="226"/>
      <c r="O2" s="226"/>
      <c r="P2" s="226"/>
      <c r="Q2" s="226"/>
      <c r="R2" s="226"/>
      <c r="S2" s="226"/>
      <c r="T2" s="227"/>
      <c r="U2" s="234"/>
      <c r="V2" s="234"/>
      <c r="W2" s="234"/>
      <c r="X2" s="234"/>
      <c r="Y2" s="234"/>
      <c r="Z2" s="218"/>
      <c r="AA2" s="218"/>
      <c r="AB2" s="218"/>
      <c r="AC2" s="218"/>
      <c r="AD2" s="218"/>
      <c r="AE2" s="218"/>
      <c r="AF2" s="218"/>
      <c r="AG2" s="243"/>
      <c r="AH2" s="241"/>
      <c r="AI2" s="218"/>
      <c r="AJ2" s="241"/>
      <c r="AK2" s="241"/>
      <c r="AL2" s="241"/>
      <c r="AM2" s="241"/>
      <c r="AN2" s="218"/>
      <c r="AO2" s="241"/>
      <c r="AP2" s="243"/>
      <c r="AQ2" s="241"/>
      <c r="AR2" s="241"/>
      <c r="AS2" s="218"/>
    </row>
    <row r="3" spans="1:45" s="25" customFormat="1" ht="38.25" x14ac:dyDescent="0.2">
      <c r="A3" s="19" t="s">
        <v>5</v>
      </c>
      <c r="B3" s="19" t="s">
        <v>18</v>
      </c>
      <c r="C3" s="69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43</v>
      </c>
      <c r="I3" s="20" t="s">
        <v>4</v>
      </c>
      <c r="J3" s="21" t="s">
        <v>28</v>
      </c>
      <c r="K3" s="22" t="s">
        <v>6</v>
      </c>
      <c r="L3" s="145" t="s">
        <v>185</v>
      </c>
      <c r="M3" s="145" t="s">
        <v>186</v>
      </c>
      <c r="N3" s="145" t="s">
        <v>187</v>
      </c>
      <c r="O3" s="145" t="s">
        <v>188</v>
      </c>
      <c r="P3" s="145" t="s">
        <v>189</v>
      </c>
      <c r="Q3" s="145" t="s">
        <v>190</v>
      </c>
      <c r="R3" s="145" t="s">
        <v>191</v>
      </c>
      <c r="S3" s="146" t="s">
        <v>0</v>
      </c>
      <c r="T3" s="23" t="s">
        <v>2</v>
      </c>
      <c r="U3" s="101">
        <v>45372</v>
      </c>
      <c r="V3" s="101">
        <v>45425</v>
      </c>
      <c r="W3" s="101">
        <v>45432</v>
      </c>
      <c r="X3" s="101">
        <v>45436</v>
      </c>
      <c r="Y3" s="101">
        <v>45446</v>
      </c>
      <c r="Z3" s="74">
        <v>45518</v>
      </c>
      <c r="AA3" s="74">
        <v>45518</v>
      </c>
      <c r="AB3" s="74">
        <v>45519</v>
      </c>
      <c r="AC3" s="74">
        <v>45525</v>
      </c>
      <c r="AD3" s="74">
        <v>45527</v>
      </c>
      <c r="AE3" s="74">
        <v>45532</v>
      </c>
      <c r="AF3" s="74">
        <v>45534</v>
      </c>
      <c r="AG3" s="74">
        <v>45540</v>
      </c>
      <c r="AH3" s="74">
        <v>45540</v>
      </c>
      <c r="AI3" s="23" t="s">
        <v>257</v>
      </c>
      <c r="AJ3" s="74">
        <v>45559</v>
      </c>
      <c r="AK3" s="74">
        <v>45566</v>
      </c>
      <c r="AL3" s="74">
        <v>45569</v>
      </c>
      <c r="AM3" s="74">
        <v>45580</v>
      </c>
      <c r="AN3" s="74">
        <v>45580</v>
      </c>
      <c r="AO3" s="74">
        <v>45590</v>
      </c>
      <c r="AP3" s="74">
        <v>45590</v>
      </c>
      <c r="AQ3" s="74">
        <v>45608</v>
      </c>
      <c r="AR3" s="24" t="s">
        <v>1</v>
      </c>
      <c r="AS3" s="24" t="s">
        <v>1</v>
      </c>
    </row>
    <row r="4" spans="1:45" ht="23.25" customHeight="1" x14ac:dyDescent="0.2">
      <c r="A4" s="203">
        <v>1</v>
      </c>
      <c r="B4" s="196" t="s">
        <v>31</v>
      </c>
      <c r="C4" s="26">
        <v>1</v>
      </c>
      <c r="D4" s="201" t="s">
        <v>34</v>
      </c>
      <c r="E4" s="28" t="s">
        <v>35</v>
      </c>
      <c r="F4" s="29" t="s">
        <v>16</v>
      </c>
      <c r="G4" s="29" t="s">
        <v>17</v>
      </c>
      <c r="H4" s="29" t="s">
        <v>44</v>
      </c>
      <c r="I4" s="28" t="s">
        <v>24</v>
      </c>
      <c r="J4" s="30">
        <v>12.15</v>
      </c>
      <c r="K4" s="31">
        <v>10</v>
      </c>
      <c r="L4" s="140">
        <f t="shared" ref="L4:L32" si="0">IF(SUM(U4:AV4)&gt;K4+N4,K4+N4,SUM(U4:AV4))</f>
        <v>10</v>
      </c>
      <c r="M4" s="140">
        <f t="shared" ref="M4:M32" si="1">(SUM(U4:AV4))</f>
        <v>10</v>
      </c>
      <c r="N4" s="141"/>
      <c r="O4" s="142">
        <f t="shared" ref="O4:O32" si="2">ROUND(IF(K4*0.25-0.5&lt;0,0,K4*0.25-0.5),0)-R4-P4</f>
        <v>2</v>
      </c>
      <c r="P4" s="141"/>
      <c r="Q4" s="141"/>
      <c r="R4" s="141"/>
      <c r="S4" s="143">
        <f t="shared" ref="S4:S32" si="3">K4+N4+P4+Q4-M4</f>
        <v>0</v>
      </c>
      <c r="T4" s="32" t="str">
        <f t="shared" ref="T4:T32" si="4">IF(S4&lt;0,"ATENÇÃO","OK")</f>
        <v>OK</v>
      </c>
      <c r="U4" s="33"/>
      <c r="V4" s="33"/>
      <c r="W4" s="34"/>
      <c r="X4" s="34"/>
      <c r="Y4" s="34"/>
      <c r="Z4" s="34"/>
      <c r="AA4" s="34"/>
      <c r="AB4" s="34"/>
      <c r="AC4" s="34"/>
      <c r="AD4" s="34"/>
      <c r="AE4" s="34"/>
      <c r="AF4" s="108">
        <v>7</v>
      </c>
      <c r="AG4" s="114"/>
      <c r="AH4" s="114"/>
      <c r="AI4" s="108">
        <v>3</v>
      </c>
      <c r="AJ4" s="114"/>
      <c r="AK4" s="114"/>
      <c r="AL4" s="34"/>
      <c r="AM4" s="34"/>
      <c r="AN4" s="34"/>
      <c r="AO4" s="34"/>
      <c r="AP4" s="34"/>
      <c r="AQ4" s="34"/>
      <c r="AR4" s="34"/>
      <c r="AS4" s="34"/>
    </row>
    <row r="5" spans="1:45" ht="26.45" customHeight="1" x14ac:dyDescent="0.2">
      <c r="A5" s="204"/>
      <c r="B5" s="206"/>
      <c r="C5" s="26">
        <v>2</v>
      </c>
      <c r="D5" s="207"/>
      <c r="E5" s="28" t="s">
        <v>36</v>
      </c>
      <c r="F5" s="29" t="s">
        <v>16</v>
      </c>
      <c r="G5" s="29" t="s">
        <v>17</v>
      </c>
      <c r="H5" s="29" t="s">
        <v>44</v>
      </c>
      <c r="I5" s="28" t="s">
        <v>24</v>
      </c>
      <c r="J5" s="30">
        <v>40.5</v>
      </c>
      <c r="K5" s="31">
        <v>50</v>
      </c>
      <c r="L5" s="140">
        <f t="shared" si="0"/>
        <v>50</v>
      </c>
      <c r="M5" s="140">
        <f t="shared" si="1"/>
        <v>50</v>
      </c>
      <c r="N5" s="141"/>
      <c r="O5" s="142">
        <f t="shared" si="2"/>
        <v>12</v>
      </c>
      <c r="P5" s="141"/>
      <c r="Q5" s="141"/>
      <c r="R5" s="141"/>
      <c r="S5" s="143">
        <f t="shared" si="3"/>
        <v>0</v>
      </c>
      <c r="T5" s="32" t="str">
        <f t="shared" si="4"/>
        <v>OK</v>
      </c>
      <c r="U5" s="33"/>
      <c r="V5" s="33"/>
      <c r="W5" s="34"/>
      <c r="X5" s="108">
        <v>4</v>
      </c>
      <c r="Y5" s="108">
        <v>6</v>
      </c>
      <c r="Z5" s="108">
        <v>11</v>
      </c>
      <c r="AA5" s="108">
        <v>4</v>
      </c>
      <c r="AB5" s="34"/>
      <c r="AC5" s="34"/>
      <c r="AD5" s="34"/>
      <c r="AE5" s="34"/>
      <c r="AF5" s="108">
        <v>4</v>
      </c>
      <c r="AG5" s="114"/>
      <c r="AH5" s="114"/>
      <c r="AI5" s="108">
        <v>7</v>
      </c>
      <c r="AJ5" s="108">
        <v>7</v>
      </c>
      <c r="AK5" s="108">
        <v>7</v>
      </c>
      <c r="AL5" s="34"/>
      <c r="AM5" s="34"/>
      <c r="AN5" s="34"/>
      <c r="AO5" s="34"/>
      <c r="AP5" s="34"/>
      <c r="AQ5" s="34"/>
      <c r="AR5" s="34"/>
      <c r="AS5" s="34"/>
    </row>
    <row r="6" spans="1:45" ht="24" customHeight="1" x14ac:dyDescent="0.2">
      <c r="A6" s="204"/>
      <c r="B6" s="206"/>
      <c r="C6" s="26">
        <v>3</v>
      </c>
      <c r="D6" s="207"/>
      <c r="E6" s="28" t="s">
        <v>37</v>
      </c>
      <c r="F6" s="29" t="s">
        <v>16</v>
      </c>
      <c r="G6" s="29" t="s">
        <v>17</v>
      </c>
      <c r="H6" s="29" t="s">
        <v>44</v>
      </c>
      <c r="I6" s="28" t="s">
        <v>24</v>
      </c>
      <c r="J6" s="30">
        <v>49.5</v>
      </c>
      <c r="K6" s="31">
        <v>0</v>
      </c>
      <c r="L6" s="140">
        <f t="shared" si="0"/>
        <v>0</v>
      </c>
      <c r="M6" s="140">
        <f t="shared" si="1"/>
        <v>0</v>
      </c>
      <c r="N6" s="141"/>
      <c r="O6" s="142">
        <f t="shared" si="2"/>
        <v>0</v>
      </c>
      <c r="P6" s="141"/>
      <c r="Q6" s="141"/>
      <c r="R6" s="141"/>
      <c r="S6" s="143">
        <f t="shared" si="3"/>
        <v>0</v>
      </c>
      <c r="T6" s="32" t="str">
        <f t="shared" si="4"/>
        <v>OK</v>
      </c>
      <c r="U6" s="33"/>
      <c r="V6" s="35"/>
      <c r="W6" s="36"/>
      <c r="X6" s="34"/>
      <c r="Y6" s="34"/>
      <c r="Z6" s="34"/>
      <c r="AA6" s="34"/>
      <c r="AB6" s="34"/>
      <c r="AC6" s="34"/>
      <c r="AD6" s="34"/>
      <c r="AE6" s="34"/>
      <c r="AF6" s="34"/>
      <c r="AG6" s="114"/>
      <c r="AH6" s="11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</row>
    <row r="7" spans="1:45" ht="24" customHeight="1" x14ac:dyDescent="0.2">
      <c r="A7" s="204"/>
      <c r="B7" s="206"/>
      <c r="C7" s="26">
        <v>4</v>
      </c>
      <c r="D7" s="207"/>
      <c r="E7" s="28" t="s">
        <v>38</v>
      </c>
      <c r="F7" s="29" t="s">
        <v>16</v>
      </c>
      <c r="G7" s="29" t="s">
        <v>17</v>
      </c>
      <c r="H7" s="29" t="s">
        <v>44</v>
      </c>
      <c r="I7" s="28" t="s">
        <v>24</v>
      </c>
      <c r="J7" s="30">
        <v>53</v>
      </c>
      <c r="K7" s="31">
        <v>0</v>
      </c>
      <c r="L7" s="140">
        <f t="shared" si="0"/>
        <v>0</v>
      </c>
      <c r="M7" s="140">
        <f t="shared" si="1"/>
        <v>0</v>
      </c>
      <c r="N7" s="141"/>
      <c r="O7" s="142">
        <f t="shared" si="2"/>
        <v>0</v>
      </c>
      <c r="P7" s="141"/>
      <c r="Q7" s="141"/>
      <c r="R7" s="141"/>
      <c r="S7" s="143">
        <f t="shared" si="3"/>
        <v>0</v>
      </c>
      <c r="T7" s="32" t="str">
        <f t="shared" si="4"/>
        <v>OK</v>
      </c>
      <c r="U7" s="33"/>
      <c r="V7" s="33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114"/>
      <c r="AH7" s="11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</row>
    <row r="8" spans="1:45" ht="19.5" customHeight="1" x14ac:dyDescent="0.2">
      <c r="A8" s="205"/>
      <c r="B8" s="197"/>
      <c r="C8" s="26">
        <v>5</v>
      </c>
      <c r="D8" s="202"/>
      <c r="E8" s="28" t="s">
        <v>39</v>
      </c>
      <c r="F8" s="29" t="s">
        <v>16</v>
      </c>
      <c r="G8" s="29" t="s">
        <v>17</v>
      </c>
      <c r="H8" s="29" t="s">
        <v>44</v>
      </c>
      <c r="I8" s="28" t="s">
        <v>24</v>
      </c>
      <c r="J8" s="30">
        <v>30.4</v>
      </c>
      <c r="K8" s="31">
        <v>50</v>
      </c>
      <c r="L8" s="140">
        <f t="shared" si="0"/>
        <v>47</v>
      </c>
      <c r="M8" s="140">
        <f t="shared" si="1"/>
        <v>47</v>
      </c>
      <c r="N8" s="141"/>
      <c r="O8" s="142">
        <f t="shared" si="2"/>
        <v>12</v>
      </c>
      <c r="P8" s="141"/>
      <c r="Q8" s="141"/>
      <c r="R8" s="141"/>
      <c r="S8" s="143">
        <f t="shared" si="3"/>
        <v>3</v>
      </c>
      <c r="T8" s="32" t="str">
        <f t="shared" si="4"/>
        <v>OK</v>
      </c>
      <c r="U8" s="89">
        <v>10</v>
      </c>
      <c r="V8" s="33"/>
      <c r="W8" s="34"/>
      <c r="X8" s="34"/>
      <c r="Y8" s="34"/>
      <c r="Z8" s="34"/>
      <c r="AA8" s="108">
        <v>5</v>
      </c>
      <c r="AB8" s="34"/>
      <c r="AC8" s="34"/>
      <c r="AD8" s="108">
        <v>1</v>
      </c>
      <c r="AE8" s="34"/>
      <c r="AF8" s="108">
        <v>2</v>
      </c>
      <c r="AG8" s="108">
        <v>10</v>
      </c>
      <c r="AH8" s="114"/>
      <c r="AI8" s="34"/>
      <c r="AJ8" s="34"/>
      <c r="AK8" s="34"/>
      <c r="AL8" s="108">
        <v>18</v>
      </c>
      <c r="AM8" s="34"/>
      <c r="AN8" s="34"/>
      <c r="AO8" s="108">
        <v>1</v>
      </c>
      <c r="AP8" s="114"/>
      <c r="AQ8" s="34"/>
      <c r="AR8" s="34"/>
      <c r="AS8" s="34"/>
    </row>
    <row r="9" spans="1:45" ht="21.75" customHeight="1" x14ac:dyDescent="0.2">
      <c r="A9" s="216">
        <v>2</v>
      </c>
      <c r="B9" s="190" t="s">
        <v>31</v>
      </c>
      <c r="C9" s="40">
        <v>6</v>
      </c>
      <c r="D9" s="199" t="s">
        <v>40</v>
      </c>
      <c r="E9" s="39" t="s">
        <v>35</v>
      </c>
      <c r="F9" s="41" t="s">
        <v>16</v>
      </c>
      <c r="G9" s="41" t="s">
        <v>17</v>
      </c>
      <c r="H9" s="41" t="s">
        <v>44</v>
      </c>
      <c r="I9" s="39" t="s">
        <v>24</v>
      </c>
      <c r="J9" s="42">
        <v>14.21</v>
      </c>
      <c r="K9" s="31">
        <v>25</v>
      </c>
      <c r="L9" s="140">
        <f t="shared" si="0"/>
        <v>12</v>
      </c>
      <c r="M9" s="140">
        <f t="shared" si="1"/>
        <v>12</v>
      </c>
      <c r="N9" s="141"/>
      <c r="O9" s="142">
        <f t="shared" si="2"/>
        <v>6</v>
      </c>
      <c r="P9" s="141"/>
      <c r="Q9" s="141"/>
      <c r="R9" s="141"/>
      <c r="S9" s="143">
        <f t="shared" si="3"/>
        <v>13</v>
      </c>
      <c r="T9" s="32" t="str">
        <f t="shared" si="4"/>
        <v>OK</v>
      </c>
      <c r="U9" s="33"/>
      <c r="V9" s="33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114"/>
      <c r="AH9" s="114"/>
      <c r="AI9" s="34"/>
      <c r="AJ9" s="108">
        <v>10</v>
      </c>
      <c r="AK9" s="108">
        <v>2</v>
      </c>
      <c r="AL9" s="34"/>
      <c r="AM9" s="34"/>
      <c r="AN9" s="34"/>
      <c r="AO9" s="34"/>
      <c r="AP9" s="34"/>
      <c r="AQ9" s="34"/>
      <c r="AR9" s="34"/>
      <c r="AS9" s="34"/>
    </row>
    <row r="10" spans="1:45" ht="20.25" customHeight="1" x14ac:dyDescent="0.2">
      <c r="A10" s="217"/>
      <c r="B10" s="191"/>
      <c r="C10" s="40">
        <v>7</v>
      </c>
      <c r="D10" s="200"/>
      <c r="E10" s="39" t="s">
        <v>41</v>
      </c>
      <c r="F10" s="41" t="s">
        <v>16</v>
      </c>
      <c r="G10" s="41" t="s">
        <v>17</v>
      </c>
      <c r="H10" s="41" t="s">
        <v>44</v>
      </c>
      <c r="I10" s="39" t="s">
        <v>24</v>
      </c>
      <c r="J10" s="42">
        <v>20.9</v>
      </c>
      <c r="K10" s="31">
        <v>125</v>
      </c>
      <c r="L10" s="140">
        <f t="shared" si="0"/>
        <v>99</v>
      </c>
      <c r="M10" s="140">
        <f t="shared" si="1"/>
        <v>99</v>
      </c>
      <c r="N10" s="141"/>
      <c r="O10" s="142">
        <f t="shared" si="2"/>
        <v>31</v>
      </c>
      <c r="P10" s="141"/>
      <c r="Q10" s="141"/>
      <c r="R10" s="141"/>
      <c r="S10" s="143">
        <f t="shared" si="3"/>
        <v>26</v>
      </c>
      <c r="T10" s="32" t="str">
        <f t="shared" si="4"/>
        <v>OK</v>
      </c>
      <c r="U10" s="35"/>
      <c r="V10" s="89">
        <v>17</v>
      </c>
      <c r="W10" s="108">
        <v>17</v>
      </c>
      <c r="X10" s="34"/>
      <c r="Y10" s="34"/>
      <c r="Z10" s="34"/>
      <c r="AA10" s="34"/>
      <c r="AB10" s="108">
        <v>56</v>
      </c>
      <c r="AC10" s="34"/>
      <c r="AD10" s="34"/>
      <c r="AE10" s="34"/>
      <c r="AF10" s="34"/>
      <c r="AG10" s="34"/>
      <c r="AH10" s="34"/>
      <c r="AI10" s="108">
        <v>1</v>
      </c>
      <c r="AJ10" s="114"/>
      <c r="AK10" s="114"/>
      <c r="AL10" s="108">
        <v>8</v>
      </c>
      <c r="AM10" s="34"/>
      <c r="AN10" s="34"/>
      <c r="AO10" s="34"/>
      <c r="AP10" s="34"/>
      <c r="AQ10" s="34"/>
      <c r="AR10" s="34"/>
      <c r="AS10" s="34"/>
    </row>
    <row r="11" spans="1:45" ht="25.5" x14ac:dyDescent="0.2">
      <c r="A11" s="203">
        <v>3</v>
      </c>
      <c r="B11" s="196" t="s">
        <v>42</v>
      </c>
      <c r="C11" s="26">
        <v>8</v>
      </c>
      <c r="D11" s="201" t="s">
        <v>45</v>
      </c>
      <c r="E11" s="28" t="s">
        <v>46</v>
      </c>
      <c r="F11" s="29" t="s">
        <v>16</v>
      </c>
      <c r="G11" s="29" t="s">
        <v>17</v>
      </c>
      <c r="H11" s="29" t="s">
        <v>44</v>
      </c>
      <c r="I11" s="28" t="s">
        <v>24</v>
      </c>
      <c r="J11" s="30">
        <v>423</v>
      </c>
      <c r="K11" s="31">
        <f>0</f>
        <v>0</v>
      </c>
      <c r="L11" s="140">
        <f t="shared" si="0"/>
        <v>1</v>
      </c>
      <c r="M11" s="140">
        <f t="shared" si="1"/>
        <v>1</v>
      </c>
      <c r="N11" s="141">
        <v>1</v>
      </c>
      <c r="O11" s="142">
        <f t="shared" si="2"/>
        <v>0</v>
      </c>
      <c r="P11" s="141"/>
      <c r="Q11" s="141"/>
      <c r="R11" s="141"/>
      <c r="S11" s="143">
        <f t="shared" si="3"/>
        <v>0</v>
      </c>
      <c r="T11" s="32" t="str">
        <f t="shared" si="4"/>
        <v>OK</v>
      </c>
      <c r="U11" s="33"/>
      <c r="V11" s="33"/>
      <c r="W11" s="34"/>
      <c r="X11" s="34"/>
      <c r="Y11" s="34"/>
      <c r="Z11" s="34"/>
      <c r="AA11" s="34"/>
      <c r="AB11" s="34"/>
      <c r="AC11" s="108">
        <v>1</v>
      </c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</row>
    <row r="12" spans="1:45" ht="21.2" customHeight="1" x14ac:dyDescent="0.2">
      <c r="A12" s="204"/>
      <c r="B12" s="206"/>
      <c r="C12" s="26">
        <v>9</v>
      </c>
      <c r="D12" s="207"/>
      <c r="E12" s="28" t="s">
        <v>47</v>
      </c>
      <c r="F12" s="29" t="s">
        <v>16</v>
      </c>
      <c r="G12" s="29" t="s">
        <v>17</v>
      </c>
      <c r="H12" s="29" t="s">
        <v>44</v>
      </c>
      <c r="I12" s="28" t="s">
        <v>24</v>
      </c>
      <c r="J12" s="30">
        <v>1613</v>
      </c>
      <c r="K12" s="31">
        <v>0</v>
      </c>
      <c r="L12" s="140">
        <f t="shared" si="0"/>
        <v>0</v>
      </c>
      <c r="M12" s="140">
        <f t="shared" si="1"/>
        <v>0</v>
      </c>
      <c r="N12" s="141"/>
      <c r="O12" s="142">
        <f t="shared" si="2"/>
        <v>0</v>
      </c>
      <c r="P12" s="141"/>
      <c r="Q12" s="141"/>
      <c r="R12" s="141"/>
      <c r="S12" s="143">
        <f t="shared" si="3"/>
        <v>0</v>
      </c>
      <c r="T12" s="32" t="str">
        <f t="shared" si="4"/>
        <v>OK</v>
      </c>
      <c r="U12" s="33"/>
      <c r="V12" s="33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</row>
    <row r="13" spans="1:45" ht="19.5" customHeight="1" x14ac:dyDescent="0.2">
      <c r="A13" s="205"/>
      <c r="B13" s="197"/>
      <c r="C13" s="26">
        <v>10</v>
      </c>
      <c r="D13" s="202"/>
      <c r="E13" s="28" t="s">
        <v>48</v>
      </c>
      <c r="F13" s="29" t="s">
        <v>16</v>
      </c>
      <c r="G13" s="29" t="s">
        <v>17</v>
      </c>
      <c r="H13" s="29" t="s">
        <v>44</v>
      </c>
      <c r="I13" s="28" t="s">
        <v>24</v>
      </c>
      <c r="J13" s="30">
        <v>1749</v>
      </c>
      <c r="K13" s="31">
        <v>0</v>
      </c>
      <c r="L13" s="140">
        <f t="shared" si="0"/>
        <v>0</v>
      </c>
      <c r="M13" s="140">
        <f t="shared" si="1"/>
        <v>0</v>
      </c>
      <c r="N13" s="141"/>
      <c r="O13" s="142">
        <f t="shared" si="2"/>
        <v>0</v>
      </c>
      <c r="P13" s="141"/>
      <c r="Q13" s="141"/>
      <c r="R13" s="141"/>
      <c r="S13" s="143">
        <f t="shared" si="3"/>
        <v>0</v>
      </c>
      <c r="T13" s="32" t="str">
        <f t="shared" si="4"/>
        <v>OK</v>
      </c>
      <c r="U13" s="33"/>
      <c r="V13" s="33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</row>
    <row r="14" spans="1:45" ht="25.15" customHeight="1" x14ac:dyDescent="0.2">
      <c r="A14" s="208">
        <v>4</v>
      </c>
      <c r="B14" s="209" t="s">
        <v>49</v>
      </c>
      <c r="C14" s="40">
        <v>11</v>
      </c>
      <c r="D14" s="211" t="s">
        <v>50</v>
      </c>
      <c r="E14" s="39" t="s">
        <v>51</v>
      </c>
      <c r="F14" s="41" t="s">
        <v>16</v>
      </c>
      <c r="G14" s="41" t="s">
        <v>17</v>
      </c>
      <c r="H14" s="41" t="s">
        <v>44</v>
      </c>
      <c r="I14" s="39" t="s">
        <v>53</v>
      </c>
      <c r="J14" s="42">
        <v>19.63</v>
      </c>
      <c r="K14" s="31">
        <f>20</f>
        <v>20</v>
      </c>
      <c r="L14" s="140">
        <f t="shared" si="0"/>
        <v>0</v>
      </c>
      <c r="M14" s="140">
        <f t="shared" si="1"/>
        <v>0</v>
      </c>
      <c r="N14" s="141">
        <f>-10-6</f>
        <v>-16</v>
      </c>
      <c r="O14" s="142">
        <f t="shared" si="2"/>
        <v>5</v>
      </c>
      <c r="P14" s="141"/>
      <c r="Q14" s="141"/>
      <c r="R14" s="141"/>
      <c r="S14" s="143">
        <f t="shared" si="3"/>
        <v>4</v>
      </c>
      <c r="T14" s="32" t="str">
        <f t="shared" si="4"/>
        <v>OK</v>
      </c>
      <c r="U14" s="33"/>
      <c r="V14" s="33"/>
      <c r="W14" s="34"/>
      <c r="X14" s="34"/>
      <c r="Y14" s="36"/>
      <c r="Z14" s="36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</row>
    <row r="15" spans="1:45" ht="22.7" customHeight="1" x14ac:dyDescent="0.2">
      <c r="A15" s="208"/>
      <c r="B15" s="210"/>
      <c r="C15" s="40">
        <v>12</v>
      </c>
      <c r="D15" s="212"/>
      <c r="E15" s="39" t="s">
        <v>52</v>
      </c>
      <c r="F15" s="41" t="s">
        <v>16</v>
      </c>
      <c r="G15" s="41" t="s">
        <v>17</v>
      </c>
      <c r="H15" s="41" t="s">
        <v>44</v>
      </c>
      <c r="I15" s="39" t="s">
        <v>24</v>
      </c>
      <c r="J15" s="42">
        <v>20.27</v>
      </c>
      <c r="K15" s="31">
        <v>0</v>
      </c>
      <c r="L15" s="140">
        <f t="shared" si="0"/>
        <v>0</v>
      </c>
      <c r="M15" s="140">
        <f t="shared" si="1"/>
        <v>0</v>
      </c>
      <c r="N15" s="141"/>
      <c r="O15" s="142">
        <f t="shared" si="2"/>
        <v>0</v>
      </c>
      <c r="P15" s="141"/>
      <c r="Q15" s="141"/>
      <c r="R15" s="141"/>
      <c r="S15" s="143">
        <f t="shared" si="3"/>
        <v>0</v>
      </c>
      <c r="T15" s="32" t="str">
        <f t="shared" si="4"/>
        <v>OK</v>
      </c>
      <c r="U15" s="33"/>
      <c r="V15" s="33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</row>
    <row r="16" spans="1:45" ht="45" customHeight="1" x14ac:dyDescent="0.2">
      <c r="A16" s="48">
        <v>5</v>
      </c>
      <c r="B16" s="28" t="s">
        <v>49</v>
      </c>
      <c r="C16" s="26">
        <v>13</v>
      </c>
      <c r="D16" s="49" t="s">
        <v>54</v>
      </c>
      <c r="E16" s="63" t="s">
        <v>55</v>
      </c>
      <c r="F16" s="50" t="s">
        <v>16</v>
      </c>
      <c r="G16" s="50" t="s">
        <v>17</v>
      </c>
      <c r="H16" s="29" t="s">
        <v>44</v>
      </c>
      <c r="I16" s="28" t="s">
        <v>53</v>
      </c>
      <c r="J16" s="30">
        <v>28.9</v>
      </c>
      <c r="K16" s="31">
        <v>0</v>
      </c>
      <c r="L16" s="140">
        <f t="shared" si="0"/>
        <v>0</v>
      </c>
      <c r="M16" s="140">
        <f t="shared" si="1"/>
        <v>0</v>
      </c>
      <c r="N16" s="141"/>
      <c r="O16" s="142">
        <f t="shared" si="2"/>
        <v>0</v>
      </c>
      <c r="P16" s="141"/>
      <c r="Q16" s="141"/>
      <c r="R16" s="141"/>
      <c r="S16" s="143">
        <f t="shared" si="3"/>
        <v>0</v>
      </c>
      <c r="T16" s="32" t="str">
        <f t="shared" si="4"/>
        <v>OK</v>
      </c>
      <c r="U16" s="33"/>
      <c r="V16" s="33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</row>
    <row r="17" spans="1:45" ht="121.7" customHeight="1" x14ac:dyDescent="0.2">
      <c r="A17" s="38">
        <v>6</v>
      </c>
      <c r="B17" s="47" t="s">
        <v>49</v>
      </c>
      <c r="C17" s="40">
        <v>14</v>
      </c>
      <c r="D17" s="47" t="s">
        <v>57</v>
      </c>
      <c r="E17" s="39" t="s">
        <v>56</v>
      </c>
      <c r="F17" s="41" t="s">
        <v>16</v>
      </c>
      <c r="G17" s="41" t="s">
        <v>17</v>
      </c>
      <c r="H17" s="41" t="s">
        <v>44</v>
      </c>
      <c r="I17" s="39" t="s">
        <v>24</v>
      </c>
      <c r="J17" s="42">
        <v>9.5</v>
      </c>
      <c r="K17" s="31">
        <v>120</v>
      </c>
      <c r="L17" s="140">
        <f t="shared" si="0"/>
        <v>0</v>
      </c>
      <c r="M17" s="140">
        <f t="shared" si="1"/>
        <v>0</v>
      </c>
      <c r="N17" s="141"/>
      <c r="O17" s="142">
        <f t="shared" si="2"/>
        <v>30</v>
      </c>
      <c r="P17" s="141"/>
      <c r="Q17" s="141"/>
      <c r="R17" s="141"/>
      <c r="S17" s="143">
        <f t="shared" si="3"/>
        <v>120</v>
      </c>
      <c r="T17" s="32" t="str">
        <f t="shared" si="4"/>
        <v>OK</v>
      </c>
      <c r="U17" s="33"/>
      <c r="V17" s="35"/>
      <c r="W17" s="45"/>
      <c r="X17" s="34"/>
      <c r="Y17" s="34"/>
      <c r="Z17" s="36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</row>
    <row r="18" spans="1:45" ht="86.25" customHeight="1" x14ac:dyDescent="0.2">
      <c r="A18" s="65">
        <v>7</v>
      </c>
      <c r="B18" s="28" t="s">
        <v>49</v>
      </c>
      <c r="C18" s="64">
        <v>15</v>
      </c>
      <c r="D18" s="37" t="s">
        <v>58</v>
      </c>
      <c r="E18" s="61" t="s">
        <v>59</v>
      </c>
      <c r="F18" s="29" t="s">
        <v>16</v>
      </c>
      <c r="G18" s="29" t="s">
        <v>17</v>
      </c>
      <c r="H18" s="29" t="s">
        <v>44</v>
      </c>
      <c r="I18" s="28" t="s">
        <v>24</v>
      </c>
      <c r="J18" s="30">
        <v>197.76</v>
      </c>
      <c r="K18" s="31">
        <v>250</v>
      </c>
      <c r="L18" s="140">
        <f t="shared" si="0"/>
        <v>0</v>
      </c>
      <c r="M18" s="140">
        <f t="shared" si="1"/>
        <v>0</v>
      </c>
      <c r="N18" s="141">
        <f>-69-76</f>
        <v>-145</v>
      </c>
      <c r="O18" s="142">
        <f t="shared" si="2"/>
        <v>62</v>
      </c>
      <c r="P18" s="141"/>
      <c r="Q18" s="141"/>
      <c r="R18" s="141"/>
      <c r="S18" s="143">
        <f t="shared" si="3"/>
        <v>105</v>
      </c>
      <c r="T18" s="32" t="str">
        <f t="shared" si="4"/>
        <v>OK</v>
      </c>
      <c r="U18" s="33"/>
      <c r="V18" s="35"/>
      <c r="W18" s="45"/>
      <c r="X18" s="34"/>
      <c r="Y18" s="34"/>
      <c r="Z18" s="36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</row>
    <row r="19" spans="1:45" ht="38.25" customHeight="1" x14ac:dyDescent="0.2">
      <c r="A19" s="188">
        <v>8</v>
      </c>
      <c r="B19" s="190" t="s">
        <v>49</v>
      </c>
      <c r="C19" s="40">
        <v>16</v>
      </c>
      <c r="D19" s="199" t="s">
        <v>12</v>
      </c>
      <c r="E19" s="39" t="s">
        <v>60</v>
      </c>
      <c r="F19" s="41" t="s">
        <v>16</v>
      </c>
      <c r="G19" s="41" t="s">
        <v>17</v>
      </c>
      <c r="H19" s="41" t="s">
        <v>44</v>
      </c>
      <c r="I19" s="39" t="s">
        <v>24</v>
      </c>
      <c r="J19" s="42">
        <v>22.35</v>
      </c>
      <c r="K19" s="31">
        <v>10</v>
      </c>
      <c r="L19" s="140">
        <f t="shared" si="0"/>
        <v>0</v>
      </c>
      <c r="M19" s="140">
        <f t="shared" si="1"/>
        <v>0</v>
      </c>
      <c r="N19" s="141"/>
      <c r="O19" s="142">
        <f t="shared" si="2"/>
        <v>2</v>
      </c>
      <c r="P19" s="141"/>
      <c r="Q19" s="141"/>
      <c r="R19" s="141"/>
      <c r="S19" s="143">
        <f t="shared" si="3"/>
        <v>10</v>
      </c>
      <c r="T19" s="32" t="str">
        <f t="shared" si="4"/>
        <v>OK</v>
      </c>
      <c r="U19" s="33"/>
      <c r="V19" s="35"/>
      <c r="W19" s="45"/>
      <c r="X19" s="34"/>
      <c r="Y19" s="34"/>
      <c r="Z19" s="36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</row>
    <row r="20" spans="1:45" ht="45" customHeight="1" x14ac:dyDescent="0.2">
      <c r="A20" s="189"/>
      <c r="B20" s="191"/>
      <c r="C20" s="40">
        <v>17</v>
      </c>
      <c r="D20" s="200"/>
      <c r="E20" s="39" t="s">
        <v>61</v>
      </c>
      <c r="F20" s="44" t="s">
        <v>16</v>
      </c>
      <c r="G20" s="44" t="s">
        <v>17</v>
      </c>
      <c r="H20" s="41" t="s">
        <v>44</v>
      </c>
      <c r="I20" s="39" t="s">
        <v>24</v>
      </c>
      <c r="J20" s="42">
        <v>4.5999999999999996</v>
      </c>
      <c r="K20" s="31">
        <v>5</v>
      </c>
      <c r="L20" s="140">
        <f t="shared" si="0"/>
        <v>0</v>
      </c>
      <c r="M20" s="140">
        <f t="shared" si="1"/>
        <v>0</v>
      </c>
      <c r="N20" s="141"/>
      <c r="O20" s="142">
        <f t="shared" si="2"/>
        <v>1</v>
      </c>
      <c r="P20" s="141"/>
      <c r="Q20" s="141"/>
      <c r="R20" s="141"/>
      <c r="S20" s="143">
        <f t="shared" si="3"/>
        <v>5</v>
      </c>
      <c r="T20" s="32" t="str">
        <f t="shared" si="4"/>
        <v>OK</v>
      </c>
      <c r="U20" s="33"/>
      <c r="V20" s="35"/>
      <c r="W20" s="45"/>
      <c r="X20" s="36"/>
      <c r="Y20" s="34"/>
      <c r="Z20" s="45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</row>
    <row r="21" spans="1:45" ht="58.7" customHeight="1" x14ac:dyDescent="0.2">
      <c r="A21" s="48">
        <v>9</v>
      </c>
      <c r="B21" s="28" t="s">
        <v>62</v>
      </c>
      <c r="C21" s="26">
        <v>18</v>
      </c>
      <c r="D21" s="27" t="s">
        <v>63</v>
      </c>
      <c r="E21" s="28" t="s">
        <v>64</v>
      </c>
      <c r="F21" s="50" t="s">
        <v>16</v>
      </c>
      <c r="G21" s="50" t="s">
        <v>17</v>
      </c>
      <c r="H21" s="29" t="s">
        <v>44</v>
      </c>
      <c r="I21" s="28" t="s">
        <v>24</v>
      </c>
      <c r="J21" s="30">
        <v>3.46</v>
      </c>
      <c r="K21" s="31">
        <v>0</v>
      </c>
      <c r="L21" s="140">
        <f t="shared" si="0"/>
        <v>0</v>
      </c>
      <c r="M21" s="140">
        <f t="shared" si="1"/>
        <v>0</v>
      </c>
      <c r="N21" s="141"/>
      <c r="O21" s="142">
        <f t="shared" si="2"/>
        <v>0</v>
      </c>
      <c r="P21" s="141"/>
      <c r="Q21" s="141"/>
      <c r="R21" s="141"/>
      <c r="S21" s="143">
        <f t="shared" si="3"/>
        <v>0</v>
      </c>
      <c r="T21" s="32" t="str">
        <f t="shared" si="4"/>
        <v>OK</v>
      </c>
      <c r="U21" s="35"/>
      <c r="V21" s="33"/>
      <c r="W21" s="45"/>
      <c r="X21" s="36"/>
      <c r="Y21" s="34"/>
      <c r="Z21" s="45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</row>
    <row r="22" spans="1:45" ht="45" customHeight="1" x14ac:dyDescent="0.2">
      <c r="A22" s="38">
        <v>10</v>
      </c>
      <c r="B22" s="47" t="s">
        <v>31</v>
      </c>
      <c r="C22" s="40">
        <v>19</v>
      </c>
      <c r="D22" s="47" t="s">
        <v>27</v>
      </c>
      <c r="E22" s="39" t="s">
        <v>23</v>
      </c>
      <c r="F22" s="44" t="s">
        <v>16</v>
      </c>
      <c r="G22" s="44" t="s">
        <v>17</v>
      </c>
      <c r="H22" s="41" t="s">
        <v>44</v>
      </c>
      <c r="I22" s="39" t="s">
        <v>24</v>
      </c>
      <c r="J22" s="42">
        <v>0.4</v>
      </c>
      <c r="K22" s="31">
        <v>600</v>
      </c>
      <c r="L22" s="140">
        <f t="shared" si="0"/>
        <v>0</v>
      </c>
      <c r="M22" s="140">
        <f t="shared" si="1"/>
        <v>0</v>
      </c>
      <c r="N22" s="141"/>
      <c r="O22" s="142">
        <f t="shared" si="2"/>
        <v>150</v>
      </c>
      <c r="P22" s="141"/>
      <c r="Q22" s="141"/>
      <c r="R22" s="141"/>
      <c r="S22" s="143">
        <f t="shared" si="3"/>
        <v>600</v>
      </c>
      <c r="T22" s="32" t="str">
        <f t="shared" si="4"/>
        <v>OK</v>
      </c>
      <c r="U22" s="35"/>
      <c r="V22" s="33"/>
      <c r="W22" s="45"/>
      <c r="X22" s="36"/>
      <c r="Y22" s="34"/>
      <c r="Z22" s="45"/>
      <c r="AA22" s="36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</row>
    <row r="23" spans="1:45" ht="28.15" customHeight="1" x14ac:dyDescent="0.2">
      <c r="A23" s="194">
        <v>11</v>
      </c>
      <c r="B23" s="196" t="s">
        <v>65</v>
      </c>
      <c r="C23" s="26">
        <v>20</v>
      </c>
      <c r="D23" s="201" t="s">
        <v>25</v>
      </c>
      <c r="E23" s="28" t="s">
        <v>19</v>
      </c>
      <c r="F23" s="50" t="s">
        <v>16</v>
      </c>
      <c r="G23" s="50" t="s">
        <v>17</v>
      </c>
      <c r="H23" s="29" t="s">
        <v>44</v>
      </c>
      <c r="I23" s="28" t="s">
        <v>24</v>
      </c>
      <c r="J23" s="30">
        <v>3.95</v>
      </c>
      <c r="K23" s="31">
        <f>150</f>
        <v>150</v>
      </c>
      <c r="L23" s="140">
        <f t="shared" si="0"/>
        <v>0</v>
      </c>
      <c r="M23" s="140">
        <f t="shared" si="1"/>
        <v>0</v>
      </c>
      <c r="N23" s="141">
        <v>-150</v>
      </c>
      <c r="O23" s="142">
        <f t="shared" si="2"/>
        <v>37</v>
      </c>
      <c r="P23" s="141"/>
      <c r="Q23" s="141"/>
      <c r="R23" s="141"/>
      <c r="S23" s="143">
        <f t="shared" si="3"/>
        <v>0</v>
      </c>
      <c r="T23" s="32" t="str">
        <f t="shared" si="4"/>
        <v>OK</v>
      </c>
      <c r="U23" s="35"/>
      <c r="V23" s="33"/>
      <c r="W23" s="45"/>
      <c r="X23" s="34"/>
      <c r="Y23" s="34"/>
      <c r="Z23" s="45"/>
      <c r="AA23" s="36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</row>
    <row r="24" spans="1:45" ht="25.15" customHeight="1" x14ac:dyDescent="0.2">
      <c r="A24" s="195"/>
      <c r="B24" s="197"/>
      <c r="C24" s="26">
        <v>21</v>
      </c>
      <c r="D24" s="202"/>
      <c r="E24" s="28" t="s">
        <v>20</v>
      </c>
      <c r="F24" s="50" t="s">
        <v>16</v>
      </c>
      <c r="G24" s="50" t="s">
        <v>17</v>
      </c>
      <c r="H24" s="29" t="s">
        <v>44</v>
      </c>
      <c r="I24" s="28" t="s">
        <v>24</v>
      </c>
      <c r="J24" s="30">
        <v>2.41</v>
      </c>
      <c r="K24" s="31">
        <v>0</v>
      </c>
      <c r="L24" s="140">
        <f t="shared" si="0"/>
        <v>0</v>
      </c>
      <c r="M24" s="140">
        <f t="shared" si="1"/>
        <v>0</v>
      </c>
      <c r="N24" s="141"/>
      <c r="O24" s="142">
        <f t="shared" si="2"/>
        <v>0</v>
      </c>
      <c r="P24" s="141"/>
      <c r="Q24" s="141"/>
      <c r="R24" s="141"/>
      <c r="S24" s="143">
        <f t="shared" si="3"/>
        <v>0</v>
      </c>
      <c r="T24" s="32" t="str">
        <f t="shared" si="4"/>
        <v>OK</v>
      </c>
      <c r="U24" s="33"/>
      <c r="V24" s="33"/>
      <c r="W24" s="45"/>
      <c r="X24" s="34"/>
      <c r="Y24" s="34"/>
      <c r="Z24" s="45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</row>
    <row r="25" spans="1:45" ht="26.45" customHeight="1" x14ac:dyDescent="0.2">
      <c r="A25" s="188">
        <v>12</v>
      </c>
      <c r="B25" s="190" t="s">
        <v>62</v>
      </c>
      <c r="C25" s="40">
        <v>22</v>
      </c>
      <c r="D25" s="199" t="s">
        <v>26</v>
      </c>
      <c r="E25" s="39" t="s">
        <v>19</v>
      </c>
      <c r="F25" s="44" t="s">
        <v>16</v>
      </c>
      <c r="G25" s="44" t="s">
        <v>17</v>
      </c>
      <c r="H25" s="41" t="s">
        <v>44</v>
      </c>
      <c r="I25" s="39" t="s">
        <v>24</v>
      </c>
      <c r="J25" s="42">
        <v>2.48</v>
      </c>
      <c r="K25" s="31">
        <v>200</v>
      </c>
      <c r="L25" s="140">
        <f t="shared" si="0"/>
        <v>0</v>
      </c>
      <c r="M25" s="140">
        <f t="shared" si="1"/>
        <v>0</v>
      </c>
      <c r="N25" s="141"/>
      <c r="O25" s="142">
        <f t="shared" si="2"/>
        <v>50</v>
      </c>
      <c r="P25" s="141"/>
      <c r="Q25" s="141"/>
      <c r="R25" s="141"/>
      <c r="S25" s="143">
        <f t="shared" si="3"/>
        <v>200</v>
      </c>
      <c r="T25" s="32" t="str">
        <f t="shared" si="4"/>
        <v>OK</v>
      </c>
      <c r="U25" s="33"/>
      <c r="V25" s="33"/>
      <c r="W25" s="45"/>
      <c r="X25" s="36"/>
      <c r="Y25" s="34"/>
      <c r="Z25" s="45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</row>
    <row r="26" spans="1:45" ht="24.4" customHeight="1" x14ac:dyDescent="0.2">
      <c r="A26" s="189"/>
      <c r="B26" s="191"/>
      <c r="C26" s="40">
        <v>23</v>
      </c>
      <c r="D26" s="200"/>
      <c r="E26" s="43" t="s">
        <v>20</v>
      </c>
      <c r="F26" s="44" t="s">
        <v>16</v>
      </c>
      <c r="G26" s="44" t="s">
        <v>17</v>
      </c>
      <c r="H26" s="41" t="s">
        <v>44</v>
      </c>
      <c r="I26" s="39" t="s">
        <v>24</v>
      </c>
      <c r="J26" s="42">
        <v>1.2</v>
      </c>
      <c r="K26" s="31">
        <v>0</v>
      </c>
      <c r="L26" s="140">
        <f t="shared" si="0"/>
        <v>0</v>
      </c>
      <c r="M26" s="140">
        <f t="shared" si="1"/>
        <v>0</v>
      </c>
      <c r="N26" s="141"/>
      <c r="O26" s="142">
        <f t="shared" si="2"/>
        <v>0</v>
      </c>
      <c r="P26" s="141"/>
      <c r="Q26" s="141"/>
      <c r="R26" s="141"/>
      <c r="S26" s="143">
        <f t="shared" si="3"/>
        <v>0</v>
      </c>
      <c r="T26" s="32" t="str">
        <f t="shared" si="4"/>
        <v>OK</v>
      </c>
      <c r="U26" s="33"/>
      <c r="V26" s="33"/>
      <c r="W26" s="45"/>
      <c r="X26" s="34"/>
      <c r="Y26" s="34"/>
      <c r="Z26" s="45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</row>
    <row r="27" spans="1:45" ht="24" customHeight="1" x14ac:dyDescent="0.2">
      <c r="A27" s="194">
        <v>13</v>
      </c>
      <c r="B27" s="196" t="s">
        <v>65</v>
      </c>
      <c r="C27" s="26">
        <v>24</v>
      </c>
      <c r="D27" s="201" t="s">
        <v>66</v>
      </c>
      <c r="E27" s="28" t="s">
        <v>21</v>
      </c>
      <c r="F27" s="50" t="s">
        <v>16</v>
      </c>
      <c r="G27" s="29" t="s">
        <v>17</v>
      </c>
      <c r="H27" s="29" t="s">
        <v>44</v>
      </c>
      <c r="I27" s="28" t="s">
        <v>24</v>
      </c>
      <c r="J27" s="30">
        <v>0.33</v>
      </c>
      <c r="K27" s="31">
        <f>3500</f>
        <v>3500</v>
      </c>
      <c r="L27" s="140">
        <f t="shared" si="0"/>
        <v>2000</v>
      </c>
      <c r="M27" s="140">
        <f t="shared" si="1"/>
        <v>2000</v>
      </c>
      <c r="N27" s="141">
        <f>-150-1350</f>
        <v>-1500</v>
      </c>
      <c r="O27" s="142">
        <f t="shared" si="2"/>
        <v>875</v>
      </c>
      <c r="P27" s="141"/>
      <c r="Q27" s="141"/>
      <c r="R27" s="141"/>
      <c r="S27" s="143">
        <f t="shared" si="3"/>
        <v>0</v>
      </c>
      <c r="T27" s="32" t="str">
        <f t="shared" si="4"/>
        <v>OK</v>
      </c>
      <c r="U27" s="33"/>
      <c r="V27" s="33"/>
      <c r="W27" s="45"/>
      <c r="X27" s="34"/>
      <c r="Y27" s="34"/>
      <c r="Z27" s="45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108">
        <v>1000</v>
      </c>
      <c r="AO27" s="34"/>
      <c r="AP27" s="114"/>
      <c r="AQ27" s="34"/>
      <c r="AR27" s="108">
        <v>1000</v>
      </c>
      <c r="AS27" s="34"/>
    </row>
    <row r="28" spans="1:45" ht="30.2" customHeight="1" x14ac:dyDescent="0.2">
      <c r="A28" s="195"/>
      <c r="B28" s="197"/>
      <c r="C28" s="26">
        <v>25</v>
      </c>
      <c r="D28" s="202"/>
      <c r="E28" s="28" t="s">
        <v>22</v>
      </c>
      <c r="F28" s="50" t="s">
        <v>16</v>
      </c>
      <c r="G28" s="50" t="s">
        <v>17</v>
      </c>
      <c r="H28" s="29" t="s">
        <v>44</v>
      </c>
      <c r="I28" s="28" t="s">
        <v>24</v>
      </c>
      <c r="J28" s="30">
        <v>0.15</v>
      </c>
      <c r="K28" s="31">
        <f>4004</f>
        <v>4004</v>
      </c>
      <c r="L28" s="140">
        <f t="shared" si="0"/>
        <v>0</v>
      </c>
      <c r="M28" s="140">
        <f t="shared" si="1"/>
        <v>0</v>
      </c>
      <c r="N28" s="141">
        <v>-4004</v>
      </c>
      <c r="O28" s="142">
        <f t="shared" si="2"/>
        <v>1001</v>
      </c>
      <c r="P28" s="141"/>
      <c r="Q28" s="141"/>
      <c r="R28" s="141"/>
      <c r="S28" s="143">
        <f t="shared" si="3"/>
        <v>0</v>
      </c>
      <c r="T28" s="32" t="str">
        <f t="shared" si="4"/>
        <v>OK</v>
      </c>
      <c r="U28" s="33"/>
      <c r="V28" s="33"/>
      <c r="W28" s="45"/>
      <c r="X28" s="34"/>
      <c r="Y28" s="34"/>
      <c r="Z28" s="45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</row>
    <row r="29" spans="1:45" ht="26.45" customHeight="1" x14ac:dyDescent="0.2">
      <c r="A29" s="188">
        <v>14</v>
      </c>
      <c r="B29" s="190" t="s">
        <v>65</v>
      </c>
      <c r="C29" s="40">
        <v>26</v>
      </c>
      <c r="D29" s="192" t="s">
        <v>67</v>
      </c>
      <c r="E29" s="66" t="s">
        <v>21</v>
      </c>
      <c r="F29" s="44" t="s">
        <v>16</v>
      </c>
      <c r="G29" s="44" t="s">
        <v>17</v>
      </c>
      <c r="H29" s="41" t="s">
        <v>44</v>
      </c>
      <c r="I29" s="39" t="s">
        <v>24</v>
      </c>
      <c r="J29" s="42">
        <v>0.33</v>
      </c>
      <c r="K29" s="31">
        <f>3500</f>
        <v>3500</v>
      </c>
      <c r="L29" s="140">
        <f t="shared" si="0"/>
        <v>2000</v>
      </c>
      <c r="M29" s="140">
        <f t="shared" si="1"/>
        <v>2000</v>
      </c>
      <c r="N29" s="141">
        <v>-150</v>
      </c>
      <c r="O29" s="142">
        <f t="shared" si="2"/>
        <v>875</v>
      </c>
      <c r="P29" s="141"/>
      <c r="Q29" s="141"/>
      <c r="R29" s="141"/>
      <c r="S29" s="143">
        <f t="shared" si="3"/>
        <v>1350</v>
      </c>
      <c r="T29" s="32" t="str">
        <f t="shared" si="4"/>
        <v>OK</v>
      </c>
      <c r="U29" s="33"/>
      <c r="V29" s="33"/>
      <c r="W29" s="45"/>
      <c r="X29" s="114"/>
      <c r="Y29" s="34"/>
      <c r="Z29" s="45"/>
      <c r="AA29" s="34"/>
      <c r="AB29" s="34"/>
      <c r="AC29" s="34"/>
      <c r="AD29" s="34"/>
      <c r="AE29" s="34"/>
      <c r="AF29" s="34"/>
      <c r="AG29" s="34"/>
      <c r="AH29" s="34"/>
      <c r="AI29" s="114"/>
      <c r="AJ29" s="34"/>
      <c r="AK29" s="34"/>
      <c r="AL29" s="34"/>
      <c r="AM29" s="114"/>
      <c r="AN29" s="114"/>
      <c r="AO29" s="114"/>
      <c r="AP29" s="108">
        <v>1000</v>
      </c>
      <c r="AQ29" s="108">
        <v>1000</v>
      </c>
      <c r="AR29" s="114"/>
      <c r="AS29" s="34"/>
    </row>
    <row r="30" spans="1:45" ht="33.950000000000003" customHeight="1" x14ac:dyDescent="0.2">
      <c r="A30" s="189"/>
      <c r="B30" s="191"/>
      <c r="C30" s="40">
        <v>27</v>
      </c>
      <c r="D30" s="193"/>
      <c r="E30" s="66" t="s">
        <v>22</v>
      </c>
      <c r="F30" s="44" t="s">
        <v>16</v>
      </c>
      <c r="G30" s="44" t="s">
        <v>17</v>
      </c>
      <c r="H30" s="41" t="s">
        <v>44</v>
      </c>
      <c r="I30" s="39" t="s">
        <v>24</v>
      </c>
      <c r="J30" s="42">
        <v>0.23</v>
      </c>
      <c r="K30" s="31">
        <v>4004</v>
      </c>
      <c r="L30" s="140">
        <f t="shared" si="0"/>
        <v>0</v>
      </c>
      <c r="M30" s="140">
        <f t="shared" si="1"/>
        <v>0</v>
      </c>
      <c r="N30" s="141"/>
      <c r="O30" s="142">
        <f t="shared" si="2"/>
        <v>1001</v>
      </c>
      <c r="P30" s="141"/>
      <c r="Q30" s="141"/>
      <c r="R30" s="141"/>
      <c r="S30" s="143">
        <f t="shared" si="3"/>
        <v>4004</v>
      </c>
      <c r="T30" s="32" t="str">
        <f t="shared" si="4"/>
        <v>OK</v>
      </c>
      <c r="U30" s="33"/>
      <c r="V30" s="33"/>
      <c r="W30" s="45"/>
      <c r="X30" s="34"/>
      <c r="Y30" s="34"/>
      <c r="Z30" s="45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114"/>
      <c r="AN30" s="34"/>
      <c r="AO30" s="34"/>
      <c r="AP30" s="34"/>
      <c r="AQ30" s="34"/>
      <c r="AR30" s="34"/>
      <c r="AS30" s="34"/>
    </row>
    <row r="31" spans="1:45" ht="27" customHeight="1" x14ac:dyDescent="0.2">
      <c r="A31" s="194">
        <v>15</v>
      </c>
      <c r="B31" s="196" t="s">
        <v>31</v>
      </c>
      <c r="C31" s="68">
        <v>28</v>
      </c>
      <c r="D31" s="198" t="s">
        <v>68</v>
      </c>
      <c r="E31" s="28" t="s">
        <v>21</v>
      </c>
      <c r="F31" s="50" t="s">
        <v>16</v>
      </c>
      <c r="G31" s="50" t="s">
        <v>17</v>
      </c>
      <c r="H31" s="29" t="s">
        <v>44</v>
      </c>
      <c r="I31" s="28" t="s">
        <v>24</v>
      </c>
      <c r="J31" s="30">
        <v>0.4</v>
      </c>
      <c r="K31" s="31">
        <f>5000</f>
        <v>5000</v>
      </c>
      <c r="L31" s="140">
        <f t="shared" si="0"/>
        <v>3900</v>
      </c>
      <c r="M31" s="140">
        <f t="shared" si="1"/>
        <v>3900</v>
      </c>
      <c r="N31" s="141">
        <v>-1000</v>
      </c>
      <c r="O31" s="142">
        <f t="shared" si="2"/>
        <v>1250</v>
      </c>
      <c r="P31" s="141"/>
      <c r="Q31" s="141"/>
      <c r="R31" s="141"/>
      <c r="S31" s="143">
        <f t="shared" si="3"/>
        <v>100</v>
      </c>
      <c r="T31" s="32" t="str">
        <f t="shared" si="4"/>
        <v>OK</v>
      </c>
      <c r="U31" s="33"/>
      <c r="V31" s="35"/>
      <c r="W31" s="45"/>
      <c r="X31" s="103">
        <v>500</v>
      </c>
      <c r="Y31" s="108">
        <v>500</v>
      </c>
      <c r="Z31" s="45"/>
      <c r="AA31" s="34"/>
      <c r="AB31" s="34"/>
      <c r="AC31" s="34"/>
      <c r="AD31" s="108">
        <v>750</v>
      </c>
      <c r="AE31" s="108">
        <v>1000</v>
      </c>
      <c r="AF31" s="34"/>
      <c r="AG31" s="34"/>
      <c r="AH31" s="108">
        <v>150</v>
      </c>
      <c r="AI31" s="34"/>
      <c r="AJ31" s="34"/>
      <c r="AK31" s="34"/>
      <c r="AL31" s="34"/>
      <c r="AM31" s="108">
        <v>1000</v>
      </c>
      <c r="AN31" s="34"/>
      <c r="AO31" s="34"/>
      <c r="AP31" s="34"/>
      <c r="AQ31" s="34"/>
      <c r="AR31" s="34"/>
      <c r="AS31" s="34"/>
    </row>
    <row r="32" spans="1:45" ht="29.25" customHeight="1" x14ac:dyDescent="0.2">
      <c r="A32" s="195"/>
      <c r="B32" s="197"/>
      <c r="C32" s="26">
        <v>29</v>
      </c>
      <c r="D32" s="198"/>
      <c r="E32" s="28" t="s">
        <v>22</v>
      </c>
      <c r="F32" s="50" t="s">
        <v>16</v>
      </c>
      <c r="G32" s="50" t="s">
        <v>17</v>
      </c>
      <c r="H32" s="29" t="s">
        <v>44</v>
      </c>
      <c r="I32" s="28" t="s">
        <v>24</v>
      </c>
      <c r="J32" s="30">
        <v>0.44</v>
      </c>
      <c r="K32" s="31">
        <f>5000</f>
        <v>5000</v>
      </c>
      <c r="L32" s="140">
        <f t="shared" si="0"/>
        <v>1002</v>
      </c>
      <c r="M32" s="140">
        <f t="shared" si="1"/>
        <v>1002</v>
      </c>
      <c r="N32" s="141">
        <f>-2000-1001</f>
        <v>-3001</v>
      </c>
      <c r="O32" s="142">
        <f t="shared" si="2"/>
        <v>1250</v>
      </c>
      <c r="P32" s="141"/>
      <c r="Q32" s="141"/>
      <c r="R32" s="141"/>
      <c r="S32" s="143">
        <f t="shared" si="3"/>
        <v>997</v>
      </c>
      <c r="T32" s="32" t="str">
        <f t="shared" si="4"/>
        <v>OK</v>
      </c>
      <c r="U32" s="33"/>
      <c r="V32" s="33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108">
        <v>1002</v>
      </c>
      <c r="AP32" s="114"/>
      <c r="AQ32" s="34"/>
      <c r="AR32" s="34"/>
      <c r="AS32" s="34"/>
    </row>
    <row r="33" spans="11:45" x14ac:dyDescent="0.2">
      <c r="K33" s="56">
        <f>SUM(K4:K32)</f>
        <v>26623</v>
      </c>
      <c r="S33" s="56">
        <f t="shared" ref="S33" si="5">SUM(S4:S32)</f>
        <v>7537</v>
      </c>
      <c r="U33" s="110">
        <f>SUMPRODUCT($J$4:$J$32,U4:U32)</f>
        <v>304</v>
      </c>
      <c r="V33" s="110">
        <f t="shared" ref="V33:AS33" si="6">SUMPRODUCT($J$4:$J$32,V4:V32)</f>
        <v>355.29999999999995</v>
      </c>
      <c r="W33" s="110">
        <f t="shared" si="6"/>
        <v>355.29999999999995</v>
      </c>
      <c r="X33" s="110">
        <f t="shared" si="6"/>
        <v>362</v>
      </c>
      <c r="Y33" s="110">
        <f t="shared" si="6"/>
        <v>443</v>
      </c>
      <c r="Z33" s="110">
        <f t="shared" si="6"/>
        <v>445.5</v>
      </c>
      <c r="AA33" s="110">
        <f t="shared" si="6"/>
        <v>314</v>
      </c>
      <c r="AB33" s="110">
        <f t="shared" si="6"/>
        <v>1170.3999999999999</v>
      </c>
      <c r="AC33" s="110">
        <f t="shared" si="6"/>
        <v>423</v>
      </c>
      <c r="AD33" s="110">
        <f t="shared" si="6"/>
        <v>330.4</v>
      </c>
      <c r="AE33" s="110">
        <f t="shared" si="6"/>
        <v>400</v>
      </c>
      <c r="AF33" s="110">
        <f t="shared" si="6"/>
        <v>307.85000000000002</v>
      </c>
      <c r="AG33" s="110">
        <f t="shared" si="6"/>
        <v>304</v>
      </c>
      <c r="AH33" s="110">
        <f t="shared" si="6"/>
        <v>60</v>
      </c>
      <c r="AI33" s="110">
        <f t="shared" si="6"/>
        <v>340.84999999999997</v>
      </c>
      <c r="AJ33" s="110">
        <f t="shared" si="6"/>
        <v>425.6</v>
      </c>
      <c r="AK33" s="110">
        <f t="shared" si="6"/>
        <v>311.92</v>
      </c>
      <c r="AL33" s="110">
        <f t="shared" si="6"/>
        <v>714.39999999999986</v>
      </c>
      <c r="AM33" s="110">
        <f t="shared" si="6"/>
        <v>400</v>
      </c>
      <c r="AN33" s="110">
        <f t="shared" si="6"/>
        <v>330</v>
      </c>
      <c r="AO33" s="110">
        <f t="shared" si="6"/>
        <v>471.28</v>
      </c>
      <c r="AP33" s="110">
        <f t="shared" si="6"/>
        <v>330</v>
      </c>
      <c r="AQ33" s="110">
        <f t="shared" si="6"/>
        <v>330</v>
      </c>
      <c r="AR33" s="110">
        <f t="shared" si="6"/>
        <v>330</v>
      </c>
      <c r="AS33" s="110">
        <f t="shared" si="6"/>
        <v>0</v>
      </c>
    </row>
    <row r="34" spans="11:45" x14ac:dyDescent="0.2">
      <c r="K34" s="148">
        <f>SUMPRODUCT($J$4:$J$32,K4:K32)</f>
        <v>67213.37</v>
      </c>
      <c r="L34" s="148">
        <f t="shared" ref="L34:M34" si="7">SUMPRODUCT($J$4:$J$32,L4:L32)</f>
        <v>9558.7999999999993</v>
      </c>
      <c r="M34" s="148">
        <f t="shared" si="7"/>
        <v>9558.7999999999993</v>
      </c>
    </row>
  </sheetData>
  <mergeCells count="60">
    <mergeCell ref="W1:W2"/>
    <mergeCell ref="A1:C1"/>
    <mergeCell ref="D1:J1"/>
    <mergeCell ref="K1:T1"/>
    <mergeCell ref="U1:U2"/>
    <mergeCell ref="V1:V2"/>
    <mergeCell ref="K2:T2"/>
    <mergeCell ref="A2:J2"/>
    <mergeCell ref="AS1:AS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4:A8"/>
    <mergeCell ref="B4:B8"/>
    <mergeCell ref="D4:D8"/>
    <mergeCell ref="A9:A10"/>
    <mergeCell ref="B9:B10"/>
    <mergeCell ref="D9:D10"/>
    <mergeCell ref="A11:A13"/>
    <mergeCell ref="B11:B13"/>
    <mergeCell ref="D11:D13"/>
    <mergeCell ref="A14:A15"/>
    <mergeCell ref="B14:B15"/>
    <mergeCell ref="D14:D15"/>
    <mergeCell ref="A19:A20"/>
    <mergeCell ref="B19:B20"/>
    <mergeCell ref="D19:D20"/>
    <mergeCell ref="A23:A24"/>
    <mergeCell ref="B23:B24"/>
    <mergeCell ref="D23:D24"/>
    <mergeCell ref="A25:A26"/>
    <mergeCell ref="B25:B26"/>
    <mergeCell ref="D25:D26"/>
    <mergeCell ref="A27:A28"/>
    <mergeCell ref="B27:B28"/>
    <mergeCell ref="D27:D28"/>
    <mergeCell ref="A29:A30"/>
    <mergeCell ref="B29:B30"/>
    <mergeCell ref="D29:D30"/>
    <mergeCell ref="A31:A32"/>
    <mergeCell ref="B31:B32"/>
    <mergeCell ref="D31:D32"/>
    <mergeCell ref="AR1:AR2"/>
    <mergeCell ref="AM1:AM2"/>
    <mergeCell ref="AN1:AN2"/>
    <mergeCell ref="AO1:AO2"/>
    <mergeCell ref="AP1:AP2"/>
    <mergeCell ref="AQ1:AQ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AA03C-E723-4BA6-BD0E-65C287509629}">
  <dimension ref="A1:AH36"/>
  <sheetViews>
    <sheetView zoomScale="80" zoomScaleNormal="80" workbookViewId="0">
      <selection activeCell="F15" sqref="F15"/>
    </sheetView>
  </sheetViews>
  <sheetFormatPr defaultColWidth="9.7109375" defaultRowHeight="12.75" x14ac:dyDescent="0.2"/>
  <cols>
    <col min="1" max="1" width="7.7109375" style="53" customWidth="1"/>
    <col min="2" max="2" width="11.42578125" style="53" customWidth="1"/>
    <col min="3" max="3" width="5.5703125" style="53" bestFit="1" customWidth="1"/>
    <col min="4" max="4" width="14.7109375" style="54" customWidth="1"/>
    <col min="5" max="5" width="10.85546875" style="53" bestFit="1" customWidth="1"/>
    <col min="6" max="6" width="8" style="53" customWidth="1"/>
    <col min="7" max="7" width="9.28515625" style="53" customWidth="1"/>
    <col min="8" max="8" width="11" style="53" customWidth="1"/>
    <col min="9" max="9" width="9.42578125" style="53" customWidth="1"/>
    <col min="10" max="10" width="11.140625" style="55" customWidth="1"/>
    <col min="11" max="11" width="13.28515625" style="56" customWidth="1"/>
    <col min="12" max="13" width="14" style="56" bestFit="1" customWidth="1"/>
    <col min="14" max="14" width="10.85546875" style="56" customWidth="1"/>
    <col min="15" max="15" width="14" style="56" bestFit="1" customWidth="1"/>
    <col min="16" max="18" width="10.140625" style="56" customWidth="1"/>
    <col min="19" max="19" width="10.28515625" style="57" customWidth="1"/>
    <col min="20" max="20" width="12.5703125" style="58" customWidth="1"/>
    <col min="21" max="22" width="13.7109375" style="60" customWidth="1"/>
    <col min="23" max="34" width="13.7109375" style="18" customWidth="1"/>
    <col min="35" max="16384" width="9.7109375" style="18"/>
  </cols>
  <sheetData>
    <row r="1" spans="1:34" ht="34.5" customHeight="1" x14ac:dyDescent="0.2">
      <c r="A1" s="219" t="s">
        <v>69</v>
      </c>
      <c r="B1" s="220"/>
      <c r="C1" s="221"/>
      <c r="D1" s="220" t="s">
        <v>32</v>
      </c>
      <c r="E1" s="220"/>
      <c r="F1" s="220"/>
      <c r="G1" s="220"/>
      <c r="H1" s="220"/>
      <c r="I1" s="220"/>
      <c r="J1" s="221"/>
      <c r="K1" s="222" t="s">
        <v>33</v>
      </c>
      <c r="L1" s="223"/>
      <c r="M1" s="223"/>
      <c r="N1" s="223"/>
      <c r="O1" s="223"/>
      <c r="P1" s="223"/>
      <c r="Q1" s="223"/>
      <c r="R1" s="223"/>
      <c r="S1" s="223"/>
      <c r="T1" s="224"/>
      <c r="U1" s="234" t="s">
        <v>164</v>
      </c>
      <c r="V1" s="234" t="s">
        <v>165</v>
      </c>
      <c r="W1" s="234" t="s">
        <v>166</v>
      </c>
      <c r="X1" s="234" t="s">
        <v>167</v>
      </c>
      <c r="Y1" s="234" t="s">
        <v>334</v>
      </c>
      <c r="Z1" s="234" t="s">
        <v>168</v>
      </c>
      <c r="AA1" s="234" t="s">
        <v>169</v>
      </c>
      <c r="AB1" s="234" t="s">
        <v>333</v>
      </c>
      <c r="AC1" s="234" t="s">
        <v>170</v>
      </c>
      <c r="AD1" s="234" t="s">
        <v>331</v>
      </c>
      <c r="AE1" s="244" t="s">
        <v>30</v>
      </c>
      <c r="AF1" s="234" t="s">
        <v>328</v>
      </c>
      <c r="AG1" s="234" t="s">
        <v>329</v>
      </c>
      <c r="AH1" s="218"/>
    </row>
    <row r="2" spans="1:34" ht="18.75" customHeight="1" x14ac:dyDescent="0.2">
      <c r="A2" s="219" t="s">
        <v>78</v>
      </c>
      <c r="B2" s="220"/>
      <c r="C2" s="220"/>
      <c r="D2" s="220"/>
      <c r="E2" s="220"/>
      <c r="F2" s="220"/>
      <c r="G2" s="220"/>
      <c r="H2" s="220"/>
      <c r="I2" s="220"/>
      <c r="J2" s="221"/>
      <c r="K2" s="225" t="s">
        <v>91</v>
      </c>
      <c r="L2" s="226"/>
      <c r="M2" s="226"/>
      <c r="N2" s="226"/>
      <c r="O2" s="226"/>
      <c r="P2" s="226"/>
      <c r="Q2" s="226"/>
      <c r="R2" s="226"/>
      <c r="S2" s="226"/>
      <c r="T2" s="227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45"/>
      <c r="AF2" s="234"/>
      <c r="AG2" s="234"/>
      <c r="AH2" s="218"/>
    </row>
    <row r="3" spans="1:34" s="25" customFormat="1" ht="38.25" x14ac:dyDescent="0.2">
      <c r="A3" s="19" t="s">
        <v>5</v>
      </c>
      <c r="B3" s="19" t="s">
        <v>18</v>
      </c>
      <c r="C3" s="69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43</v>
      </c>
      <c r="I3" s="20" t="s">
        <v>4</v>
      </c>
      <c r="J3" s="21" t="s">
        <v>28</v>
      </c>
      <c r="K3" s="22" t="s">
        <v>6</v>
      </c>
      <c r="L3" s="145" t="s">
        <v>185</v>
      </c>
      <c r="M3" s="145" t="s">
        <v>186</v>
      </c>
      <c r="N3" s="145" t="s">
        <v>187</v>
      </c>
      <c r="O3" s="145" t="s">
        <v>188</v>
      </c>
      <c r="P3" s="145" t="s">
        <v>189</v>
      </c>
      <c r="Q3" s="145" t="s">
        <v>190</v>
      </c>
      <c r="R3" s="145" t="s">
        <v>191</v>
      </c>
      <c r="S3" s="146" t="s">
        <v>0</v>
      </c>
      <c r="T3" s="23" t="s">
        <v>2</v>
      </c>
      <c r="U3" s="101">
        <v>45394</v>
      </c>
      <c r="V3" s="101">
        <v>45415</v>
      </c>
      <c r="W3" s="101">
        <v>45453</v>
      </c>
      <c r="X3" s="101">
        <v>45478</v>
      </c>
      <c r="Y3" s="101">
        <v>45524</v>
      </c>
      <c r="Z3" s="101">
        <v>45530</v>
      </c>
      <c r="AA3" s="101">
        <v>45533</v>
      </c>
      <c r="AB3" s="101">
        <v>45534</v>
      </c>
      <c r="AC3" s="101">
        <v>45552</v>
      </c>
      <c r="AD3" s="121" t="s">
        <v>318</v>
      </c>
      <c r="AE3" s="187" t="s">
        <v>330</v>
      </c>
      <c r="AF3" s="101">
        <v>45699</v>
      </c>
      <c r="AG3" s="101">
        <v>45705</v>
      </c>
      <c r="AH3" s="24"/>
    </row>
    <row r="4" spans="1:34" ht="23.25" customHeight="1" x14ac:dyDescent="0.2">
      <c r="A4" s="203">
        <v>1</v>
      </c>
      <c r="B4" s="196" t="s">
        <v>31</v>
      </c>
      <c r="C4" s="68">
        <v>1</v>
      </c>
      <c r="D4" s="213" t="s">
        <v>34</v>
      </c>
      <c r="E4" s="134" t="s">
        <v>35</v>
      </c>
      <c r="F4" s="135" t="s">
        <v>16</v>
      </c>
      <c r="G4" s="135" t="s">
        <v>17</v>
      </c>
      <c r="H4" s="135" t="s">
        <v>44</v>
      </c>
      <c r="I4" s="134" t="s">
        <v>24</v>
      </c>
      <c r="J4" s="139">
        <v>12.15</v>
      </c>
      <c r="K4" s="31">
        <v>0</v>
      </c>
      <c r="L4" s="140">
        <f t="shared" ref="L4:L32" si="0">IF(SUM(U4:AK4)&gt;K4+N4,K4+N4,SUM(U4:AK4))</f>
        <v>0</v>
      </c>
      <c r="M4" s="140">
        <f t="shared" ref="M4:M32" si="1">(SUM(U4:AK4))</f>
        <v>0</v>
      </c>
      <c r="N4" s="141"/>
      <c r="O4" s="142">
        <f t="shared" ref="O4:O32" si="2">ROUND(IF(K4*0.25-0.5&lt;0,0,K4*0.25-0.5),0)-R4-P4</f>
        <v>0</v>
      </c>
      <c r="P4" s="141"/>
      <c r="Q4" s="141"/>
      <c r="R4" s="141"/>
      <c r="S4" s="143">
        <f t="shared" ref="S4:S32" si="3">K4+N4+P4+Q4-M4</f>
        <v>0</v>
      </c>
      <c r="T4" s="32" t="str">
        <f t="shared" ref="T4:T32" si="4">IF(S4&lt;0,"ATENÇÃO","OK")</f>
        <v>OK</v>
      </c>
      <c r="U4" s="33"/>
      <c r="V4" s="33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</row>
    <row r="5" spans="1:34" ht="26.45" customHeight="1" x14ac:dyDescent="0.2">
      <c r="A5" s="204"/>
      <c r="B5" s="206"/>
      <c r="C5" s="68">
        <v>2</v>
      </c>
      <c r="D5" s="214"/>
      <c r="E5" s="134" t="s">
        <v>36</v>
      </c>
      <c r="F5" s="135" t="s">
        <v>16</v>
      </c>
      <c r="G5" s="135" t="s">
        <v>17</v>
      </c>
      <c r="H5" s="135" t="s">
        <v>44</v>
      </c>
      <c r="I5" s="134" t="s">
        <v>24</v>
      </c>
      <c r="J5" s="139">
        <v>40.5</v>
      </c>
      <c r="K5" s="31">
        <v>20</v>
      </c>
      <c r="L5" s="140">
        <f t="shared" si="0"/>
        <v>19</v>
      </c>
      <c r="M5" s="140">
        <f t="shared" si="1"/>
        <v>19</v>
      </c>
      <c r="N5" s="141"/>
      <c r="O5" s="142">
        <f t="shared" si="2"/>
        <v>5</v>
      </c>
      <c r="P5" s="141"/>
      <c r="Q5" s="141"/>
      <c r="R5" s="141"/>
      <c r="S5" s="143">
        <f t="shared" si="3"/>
        <v>1</v>
      </c>
      <c r="T5" s="32" t="str">
        <f t="shared" si="4"/>
        <v>OK</v>
      </c>
      <c r="U5" s="33"/>
      <c r="V5" s="90">
        <v>16</v>
      </c>
      <c r="W5" s="34"/>
      <c r="X5" s="34"/>
      <c r="Y5" s="103">
        <v>3</v>
      </c>
      <c r="Z5" s="34"/>
      <c r="AA5" s="34"/>
      <c r="AB5" s="34"/>
      <c r="AC5" s="34"/>
      <c r="AD5" s="34"/>
      <c r="AE5" s="34"/>
      <c r="AF5" s="34"/>
      <c r="AG5" s="34"/>
      <c r="AH5" s="34"/>
    </row>
    <row r="6" spans="1:34" ht="24" customHeight="1" x14ac:dyDescent="0.2">
      <c r="A6" s="204"/>
      <c r="B6" s="206"/>
      <c r="C6" s="68">
        <v>3</v>
      </c>
      <c r="D6" s="214"/>
      <c r="E6" s="134" t="s">
        <v>37</v>
      </c>
      <c r="F6" s="135" t="s">
        <v>16</v>
      </c>
      <c r="G6" s="135" t="s">
        <v>17</v>
      </c>
      <c r="H6" s="135" t="s">
        <v>44</v>
      </c>
      <c r="I6" s="134" t="s">
        <v>24</v>
      </c>
      <c r="J6" s="139">
        <v>49.5</v>
      </c>
      <c r="K6" s="31">
        <v>15</v>
      </c>
      <c r="L6" s="140">
        <f t="shared" si="0"/>
        <v>13</v>
      </c>
      <c r="M6" s="140">
        <f t="shared" si="1"/>
        <v>13</v>
      </c>
      <c r="N6" s="141"/>
      <c r="O6" s="142">
        <f t="shared" si="2"/>
        <v>3</v>
      </c>
      <c r="P6" s="141"/>
      <c r="Q6" s="141"/>
      <c r="R6" s="141"/>
      <c r="S6" s="143">
        <f t="shared" si="3"/>
        <v>2</v>
      </c>
      <c r="T6" s="32" t="str">
        <f t="shared" si="4"/>
        <v>OK</v>
      </c>
      <c r="U6" s="33"/>
      <c r="V6" s="35"/>
      <c r="W6" s="36"/>
      <c r="X6" s="34"/>
      <c r="Y6" s="34"/>
      <c r="Z6" s="103">
        <v>5</v>
      </c>
      <c r="AA6" s="34"/>
      <c r="AB6" s="34"/>
      <c r="AC6" s="34"/>
      <c r="AD6" s="34"/>
      <c r="AE6" s="34"/>
      <c r="AF6" s="115">
        <v>8</v>
      </c>
      <c r="AG6" s="34"/>
      <c r="AH6" s="34"/>
    </row>
    <row r="7" spans="1:34" ht="24" customHeight="1" x14ac:dyDescent="0.2">
      <c r="A7" s="204"/>
      <c r="B7" s="206"/>
      <c r="C7" s="68">
        <v>4</v>
      </c>
      <c r="D7" s="214"/>
      <c r="E7" s="134" t="s">
        <v>38</v>
      </c>
      <c r="F7" s="135" t="s">
        <v>16</v>
      </c>
      <c r="G7" s="135" t="s">
        <v>17</v>
      </c>
      <c r="H7" s="135" t="s">
        <v>44</v>
      </c>
      <c r="I7" s="134" t="s">
        <v>24</v>
      </c>
      <c r="J7" s="139">
        <v>53</v>
      </c>
      <c r="K7" s="31">
        <v>5</v>
      </c>
      <c r="L7" s="140">
        <f t="shared" si="0"/>
        <v>3</v>
      </c>
      <c r="M7" s="140">
        <f t="shared" si="1"/>
        <v>3</v>
      </c>
      <c r="N7" s="141"/>
      <c r="O7" s="142">
        <f t="shared" si="2"/>
        <v>1</v>
      </c>
      <c r="P7" s="141"/>
      <c r="Q7" s="141"/>
      <c r="R7" s="141"/>
      <c r="S7" s="143">
        <f t="shared" si="3"/>
        <v>2</v>
      </c>
      <c r="T7" s="32" t="str">
        <f t="shared" si="4"/>
        <v>OK</v>
      </c>
      <c r="U7" s="33"/>
      <c r="V7" s="33"/>
      <c r="W7" s="34"/>
      <c r="X7" s="34"/>
      <c r="Y7" s="103">
        <v>1</v>
      </c>
      <c r="Z7" s="103">
        <v>1</v>
      </c>
      <c r="AA7" s="34"/>
      <c r="AB7" s="34"/>
      <c r="AC7" s="34"/>
      <c r="AD7" s="34"/>
      <c r="AE7" s="115">
        <v>1</v>
      </c>
      <c r="AF7" s="34"/>
      <c r="AG7" s="34"/>
      <c r="AH7" s="34"/>
    </row>
    <row r="8" spans="1:34" ht="19.5" customHeight="1" x14ac:dyDescent="0.2">
      <c r="A8" s="205"/>
      <c r="B8" s="197"/>
      <c r="C8" s="68">
        <v>5</v>
      </c>
      <c r="D8" s="215"/>
      <c r="E8" s="134" t="s">
        <v>39</v>
      </c>
      <c r="F8" s="135" t="s">
        <v>16</v>
      </c>
      <c r="G8" s="135" t="s">
        <v>17</v>
      </c>
      <c r="H8" s="135" t="s">
        <v>44</v>
      </c>
      <c r="I8" s="134" t="s">
        <v>24</v>
      </c>
      <c r="J8" s="139">
        <v>30.4</v>
      </c>
      <c r="K8" s="31">
        <v>80</v>
      </c>
      <c r="L8" s="140">
        <f t="shared" si="0"/>
        <v>70</v>
      </c>
      <c r="M8" s="140">
        <f t="shared" si="1"/>
        <v>70</v>
      </c>
      <c r="N8" s="141"/>
      <c r="O8" s="142">
        <f t="shared" si="2"/>
        <v>20</v>
      </c>
      <c r="P8" s="141"/>
      <c r="Q8" s="141"/>
      <c r="R8" s="141"/>
      <c r="S8" s="143">
        <f t="shared" si="3"/>
        <v>10</v>
      </c>
      <c r="T8" s="32" t="str">
        <f t="shared" si="4"/>
        <v>OK</v>
      </c>
      <c r="U8" s="33"/>
      <c r="V8" s="33"/>
      <c r="W8" s="115">
        <v>3</v>
      </c>
      <c r="X8" s="34"/>
      <c r="Y8" s="34"/>
      <c r="Z8" s="34"/>
      <c r="AA8" s="115">
        <v>8</v>
      </c>
      <c r="AB8" s="34"/>
      <c r="AC8" s="115">
        <v>13</v>
      </c>
      <c r="AD8" s="115">
        <v>40</v>
      </c>
      <c r="AE8" s="115">
        <v>6</v>
      </c>
      <c r="AF8" s="34"/>
      <c r="AG8" s="34"/>
      <c r="AH8" s="34"/>
    </row>
    <row r="9" spans="1:34" ht="21.75" customHeight="1" x14ac:dyDescent="0.2">
      <c r="A9" s="216">
        <v>2</v>
      </c>
      <c r="B9" s="190" t="s">
        <v>31</v>
      </c>
      <c r="C9" s="40">
        <v>6</v>
      </c>
      <c r="D9" s="199" t="s">
        <v>40</v>
      </c>
      <c r="E9" s="39" t="s">
        <v>35</v>
      </c>
      <c r="F9" s="41" t="s">
        <v>16</v>
      </c>
      <c r="G9" s="41" t="s">
        <v>17</v>
      </c>
      <c r="H9" s="41" t="s">
        <v>44</v>
      </c>
      <c r="I9" s="39" t="s">
        <v>24</v>
      </c>
      <c r="J9" s="42">
        <v>14.21</v>
      </c>
      <c r="K9" s="31">
        <v>0</v>
      </c>
      <c r="L9" s="140">
        <f t="shared" si="0"/>
        <v>0</v>
      </c>
      <c r="M9" s="140">
        <f t="shared" si="1"/>
        <v>0</v>
      </c>
      <c r="N9" s="141"/>
      <c r="O9" s="142">
        <f t="shared" si="2"/>
        <v>0</v>
      </c>
      <c r="P9" s="141"/>
      <c r="Q9" s="141"/>
      <c r="R9" s="141"/>
      <c r="S9" s="143">
        <f t="shared" si="3"/>
        <v>0</v>
      </c>
      <c r="T9" s="32" t="str">
        <f t="shared" si="4"/>
        <v>OK</v>
      </c>
      <c r="U9" s="33"/>
      <c r="V9" s="33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</row>
    <row r="10" spans="1:34" ht="20.25" customHeight="1" x14ac:dyDescent="0.2">
      <c r="A10" s="217"/>
      <c r="B10" s="191"/>
      <c r="C10" s="40">
        <v>7</v>
      </c>
      <c r="D10" s="200"/>
      <c r="E10" s="39" t="s">
        <v>41</v>
      </c>
      <c r="F10" s="41" t="s">
        <v>16</v>
      </c>
      <c r="G10" s="41" t="s">
        <v>17</v>
      </c>
      <c r="H10" s="41" t="s">
        <v>44</v>
      </c>
      <c r="I10" s="39" t="s">
        <v>24</v>
      </c>
      <c r="J10" s="42">
        <v>20.9</v>
      </c>
      <c r="K10" s="31">
        <v>0</v>
      </c>
      <c r="L10" s="140">
        <f t="shared" si="0"/>
        <v>0</v>
      </c>
      <c r="M10" s="140">
        <f t="shared" si="1"/>
        <v>0</v>
      </c>
      <c r="N10" s="141"/>
      <c r="O10" s="142">
        <f t="shared" si="2"/>
        <v>0</v>
      </c>
      <c r="P10" s="141"/>
      <c r="Q10" s="141"/>
      <c r="R10" s="141"/>
      <c r="S10" s="143">
        <f t="shared" si="3"/>
        <v>0</v>
      </c>
      <c r="T10" s="32" t="str">
        <f t="shared" si="4"/>
        <v>OK</v>
      </c>
      <c r="U10" s="35"/>
      <c r="V10" s="33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</row>
    <row r="11" spans="1:34" ht="25.5" x14ac:dyDescent="0.2">
      <c r="A11" s="203">
        <v>3</v>
      </c>
      <c r="B11" s="196" t="s">
        <v>42</v>
      </c>
      <c r="C11" s="26">
        <v>8</v>
      </c>
      <c r="D11" s="201" t="s">
        <v>45</v>
      </c>
      <c r="E11" s="28" t="s">
        <v>46</v>
      </c>
      <c r="F11" s="29" t="s">
        <v>16</v>
      </c>
      <c r="G11" s="29" t="s">
        <v>17</v>
      </c>
      <c r="H11" s="29" t="s">
        <v>44</v>
      </c>
      <c r="I11" s="28" t="s">
        <v>24</v>
      </c>
      <c r="J11" s="30">
        <v>423</v>
      </c>
      <c r="K11" s="31">
        <v>2</v>
      </c>
      <c r="L11" s="140">
        <f t="shared" si="0"/>
        <v>0</v>
      </c>
      <c r="M11" s="140">
        <f t="shared" si="1"/>
        <v>0</v>
      </c>
      <c r="N11" s="141"/>
      <c r="O11" s="142">
        <f t="shared" si="2"/>
        <v>0</v>
      </c>
      <c r="P11" s="141"/>
      <c r="Q11" s="141"/>
      <c r="R11" s="141"/>
      <c r="S11" s="143">
        <f t="shared" si="3"/>
        <v>2</v>
      </c>
      <c r="T11" s="32" t="str">
        <f t="shared" si="4"/>
        <v>OK</v>
      </c>
      <c r="U11" s="33"/>
      <c r="V11" s="33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</row>
    <row r="12" spans="1:34" ht="21.2" customHeight="1" x14ac:dyDescent="0.2">
      <c r="A12" s="204"/>
      <c r="B12" s="206"/>
      <c r="C12" s="26">
        <v>9</v>
      </c>
      <c r="D12" s="207"/>
      <c r="E12" s="28" t="s">
        <v>47</v>
      </c>
      <c r="F12" s="29" t="s">
        <v>16</v>
      </c>
      <c r="G12" s="29" t="s">
        <v>17</v>
      </c>
      <c r="H12" s="29" t="s">
        <v>44</v>
      </c>
      <c r="I12" s="28" t="s">
        <v>24</v>
      </c>
      <c r="J12" s="30">
        <v>1613</v>
      </c>
      <c r="K12" s="31">
        <v>0</v>
      </c>
      <c r="L12" s="140">
        <f t="shared" si="0"/>
        <v>0</v>
      </c>
      <c r="M12" s="140">
        <f t="shared" si="1"/>
        <v>0</v>
      </c>
      <c r="N12" s="141"/>
      <c r="O12" s="142">
        <f t="shared" si="2"/>
        <v>0</v>
      </c>
      <c r="P12" s="141"/>
      <c r="Q12" s="141"/>
      <c r="R12" s="141"/>
      <c r="S12" s="143">
        <f t="shared" si="3"/>
        <v>0</v>
      </c>
      <c r="T12" s="32" t="str">
        <f t="shared" si="4"/>
        <v>OK</v>
      </c>
      <c r="U12" s="33"/>
      <c r="V12" s="33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</row>
    <row r="13" spans="1:34" ht="19.5" customHeight="1" x14ac:dyDescent="0.2">
      <c r="A13" s="205"/>
      <c r="B13" s="197"/>
      <c r="C13" s="26">
        <v>10</v>
      </c>
      <c r="D13" s="202"/>
      <c r="E13" s="28" t="s">
        <v>48</v>
      </c>
      <c r="F13" s="29" t="s">
        <v>16</v>
      </c>
      <c r="G13" s="29" t="s">
        <v>17</v>
      </c>
      <c r="H13" s="29" t="s">
        <v>44</v>
      </c>
      <c r="I13" s="28" t="s">
        <v>24</v>
      </c>
      <c r="J13" s="30">
        <v>1749</v>
      </c>
      <c r="K13" s="31">
        <v>0</v>
      </c>
      <c r="L13" s="140">
        <f t="shared" si="0"/>
        <v>0</v>
      </c>
      <c r="M13" s="140">
        <f t="shared" si="1"/>
        <v>0</v>
      </c>
      <c r="N13" s="141"/>
      <c r="O13" s="142">
        <f t="shared" si="2"/>
        <v>0</v>
      </c>
      <c r="P13" s="141"/>
      <c r="Q13" s="141"/>
      <c r="R13" s="141"/>
      <c r="S13" s="143">
        <f t="shared" si="3"/>
        <v>0</v>
      </c>
      <c r="T13" s="32" t="str">
        <f t="shared" si="4"/>
        <v>OK</v>
      </c>
      <c r="U13" s="33"/>
      <c r="V13" s="33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</row>
    <row r="14" spans="1:34" ht="25.15" customHeight="1" x14ac:dyDescent="0.2">
      <c r="A14" s="208">
        <v>4</v>
      </c>
      <c r="B14" s="209" t="s">
        <v>49</v>
      </c>
      <c r="C14" s="40">
        <v>11</v>
      </c>
      <c r="D14" s="211" t="s">
        <v>50</v>
      </c>
      <c r="E14" s="39" t="s">
        <v>51</v>
      </c>
      <c r="F14" s="41" t="s">
        <v>16</v>
      </c>
      <c r="G14" s="41" t="s">
        <v>17</v>
      </c>
      <c r="H14" s="41" t="s">
        <v>44</v>
      </c>
      <c r="I14" s="39" t="s">
        <v>53</v>
      </c>
      <c r="J14" s="42">
        <v>19.63</v>
      </c>
      <c r="K14" s="31">
        <v>0</v>
      </c>
      <c r="L14" s="140">
        <f t="shared" si="0"/>
        <v>0</v>
      </c>
      <c r="M14" s="140">
        <f t="shared" si="1"/>
        <v>0</v>
      </c>
      <c r="N14" s="141"/>
      <c r="O14" s="142">
        <f t="shared" si="2"/>
        <v>0</v>
      </c>
      <c r="P14" s="141"/>
      <c r="Q14" s="141"/>
      <c r="R14" s="141"/>
      <c r="S14" s="143">
        <f t="shared" si="3"/>
        <v>0</v>
      </c>
      <c r="T14" s="32" t="str">
        <f t="shared" si="4"/>
        <v>OK</v>
      </c>
      <c r="U14" s="33"/>
      <c r="V14" s="33"/>
      <c r="W14" s="34"/>
      <c r="X14" s="36"/>
      <c r="Y14" s="36"/>
      <c r="Z14" s="34"/>
      <c r="AA14" s="34"/>
      <c r="AB14" s="34"/>
      <c r="AC14" s="34"/>
      <c r="AD14" s="34"/>
      <c r="AE14" s="34"/>
      <c r="AF14" s="34"/>
      <c r="AG14" s="34"/>
      <c r="AH14" s="34"/>
    </row>
    <row r="15" spans="1:34" ht="22.7" customHeight="1" x14ac:dyDescent="0.2">
      <c r="A15" s="208"/>
      <c r="B15" s="210"/>
      <c r="C15" s="40">
        <v>12</v>
      </c>
      <c r="D15" s="212"/>
      <c r="E15" s="39" t="s">
        <v>52</v>
      </c>
      <c r="F15" s="41" t="s">
        <v>16</v>
      </c>
      <c r="G15" s="41" t="s">
        <v>17</v>
      </c>
      <c r="H15" s="41" t="s">
        <v>44</v>
      </c>
      <c r="I15" s="39" t="s">
        <v>24</v>
      </c>
      <c r="J15" s="42">
        <v>20.27</v>
      </c>
      <c r="K15" s="31">
        <v>0</v>
      </c>
      <c r="L15" s="140">
        <f t="shared" si="0"/>
        <v>0</v>
      </c>
      <c r="M15" s="140">
        <f t="shared" si="1"/>
        <v>0</v>
      </c>
      <c r="N15" s="141"/>
      <c r="O15" s="142">
        <f t="shared" si="2"/>
        <v>0</v>
      </c>
      <c r="P15" s="141"/>
      <c r="Q15" s="141"/>
      <c r="R15" s="141"/>
      <c r="S15" s="143">
        <f t="shared" si="3"/>
        <v>0</v>
      </c>
      <c r="T15" s="32" t="str">
        <f t="shared" si="4"/>
        <v>OK</v>
      </c>
      <c r="U15" s="33"/>
      <c r="V15" s="33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</row>
    <row r="16" spans="1:34" ht="45" customHeight="1" x14ac:dyDescent="0.2">
      <c r="A16" s="48">
        <v>5</v>
      </c>
      <c r="B16" s="28" t="s">
        <v>49</v>
      </c>
      <c r="C16" s="26">
        <v>13</v>
      </c>
      <c r="D16" s="49" t="s">
        <v>54</v>
      </c>
      <c r="E16" s="63" t="s">
        <v>55</v>
      </c>
      <c r="F16" s="50" t="s">
        <v>16</v>
      </c>
      <c r="G16" s="50" t="s">
        <v>17</v>
      </c>
      <c r="H16" s="29" t="s">
        <v>44</v>
      </c>
      <c r="I16" s="28" t="s">
        <v>53</v>
      </c>
      <c r="J16" s="30">
        <v>28.9</v>
      </c>
      <c r="K16" s="31">
        <v>25</v>
      </c>
      <c r="L16" s="140">
        <f t="shared" si="0"/>
        <v>25</v>
      </c>
      <c r="M16" s="140">
        <f t="shared" si="1"/>
        <v>25</v>
      </c>
      <c r="N16" s="141"/>
      <c r="O16" s="142">
        <f t="shared" si="2"/>
        <v>6</v>
      </c>
      <c r="P16" s="141"/>
      <c r="Q16" s="141"/>
      <c r="R16" s="141"/>
      <c r="S16" s="143">
        <f t="shared" si="3"/>
        <v>0</v>
      </c>
      <c r="T16" s="32" t="str">
        <f t="shared" si="4"/>
        <v>OK</v>
      </c>
      <c r="U16" s="90">
        <v>11</v>
      </c>
      <c r="V16" s="33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115">
        <v>14</v>
      </c>
      <c r="AH16" s="34"/>
    </row>
    <row r="17" spans="1:34" ht="42.75" customHeight="1" x14ac:dyDescent="0.2">
      <c r="A17" s="38">
        <v>6</v>
      </c>
      <c r="B17" s="47" t="s">
        <v>49</v>
      </c>
      <c r="C17" s="40">
        <v>14</v>
      </c>
      <c r="D17" s="47" t="s">
        <v>57</v>
      </c>
      <c r="E17" s="39" t="s">
        <v>56</v>
      </c>
      <c r="F17" s="41" t="s">
        <v>16</v>
      </c>
      <c r="G17" s="41" t="s">
        <v>17</v>
      </c>
      <c r="H17" s="41" t="s">
        <v>44</v>
      </c>
      <c r="I17" s="39" t="s">
        <v>24</v>
      </c>
      <c r="J17" s="42">
        <v>9.5</v>
      </c>
      <c r="K17" s="31">
        <v>300</v>
      </c>
      <c r="L17" s="140">
        <f t="shared" si="0"/>
        <v>300</v>
      </c>
      <c r="M17" s="140">
        <f t="shared" si="1"/>
        <v>300</v>
      </c>
      <c r="N17" s="141"/>
      <c r="O17" s="142">
        <f t="shared" si="2"/>
        <v>75</v>
      </c>
      <c r="P17" s="141"/>
      <c r="Q17" s="141"/>
      <c r="R17" s="141"/>
      <c r="S17" s="143">
        <f t="shared" si="3"/>
        <v>0</v>
      </c>
      <c r="T17" s="32" t="str">
        <f t="shared" si="4"/>
        <v>OK</v>
      </c>
      <c r="U17" s="33"/>
      <c r="V17" s="35"/>
      <c r="W17" s="45"/>
      <c r="X17" s="34"/>
      <c r="Y17" s="36"/>
      <c r="Z17" s="34"/>
      <c r="AA17" s="34"/>
      <c r="AB17" s="34"/>
      <c r="AC17" s="34"/>
      <c r="AD17" s="34"/>
      <c r="AE17" s="34"/>
      <c r="AF17" s="34"/>
      <c r="AG17" s="115">
        <v>300</v>
      </c>
      <c r="AH17" s="34"/>
    </row>
    <row r="18" spans="1:34" ht="35.25" customHeight="1" x14ac:dyDescent="0.2">
      <c r="A18" s="65">
        <v>7</v>
      </c>
      <c r="B18" s="28" t="s">
        <v>49</v>
      </c>
      <c r="C18" s="64">
        <v>15</v>
      </c>
      <c r="D18" s="37" t="s">
        <v>58</v>
      </c>
      <c r="E18" s="61" t="s">
        <v>59</v>
      </c>
      <c r="F18" s="29" t="s">
        <v>16</v>
      </c>
      <c r="G18" s="29" t="s">
        <v>17</v>
      </c>
      <c r="H18" s="29" t="s">
        <v>44</v>
      </c>
      <c r="I18" s="28" t="s">
        <v>24</v>
      </c>
      <c r="J18" s="30">
        <v>197.76</v>
      </c>
      <c r="K18" s="31">
        <v>0</v>
      </c>
      <c r="L18" s="140">
        <f t="shared" si="0"/>
        <v>0</v>
      </c>
      <c r="M18" s="140">
        <f t="shared" si="1"/>
        <v>0</v>
      </c>
      <c r="N18" s="141"/>
      <c r="O18" s="142">
        <f t="shared" si="2"/>
        <v>0</v>
      </c>
      <c r="P18" s="141"/>
      <c r="Q18" s="141"/>
      <c r="R18" s="141"/>
      <c r="S18" s="143">
        <f t="shared" si="3"/>
        <v>0</v>
      </c>
      <c r="T18" s="32" t="str">
        <f t="shared" si="4"/>
        <v>OK</v>
      </c>
      <c r="U18" s="33"/>
      <c r="V18" s="35"/>
      <c r="W18" s="45"/>
      <c r="X18" s="34"/>
      <c r="Y18" s="36"/>
      <c r="Z18" s="34"/>
      <c r="AA18" s="34"/>
      <c r="AB18" s="34"/>
      <c r="AC18" s="34"/>
      <c r="AD18" s="34"/>
      <c r="AE18" s="34"/>
      <c r="AF18" s="34"/>
      <c r="AG18" s="34"/>
      <c r="AH18" s="34"/>
    </row>
    <row r="19" spans="1:34" ht="30.75" customHeight="1" x14ac:dyDescent="0.2">
      <c r="A19" s="188">
        <v>8</v>
      </c>
      <c r="B19" s="190" t="s">
        <v>49</v>
      </c>
      <c r="C19" s="40">
        <v>16</v>
      </c>
      <c r="D19" s="199" t="s">
        <v>12</v>
      </c>
      <c r="E19" s="39" t="s">
        <v>60</v>
      </c>
      <c r="F19" s="41" t="s">
        <v>16</v>
      </c>
      <c r="G19" s="41" t="s">
        <v>17</v>
      </c>
      <c r="H19" s="41" t="s">
        <v>44</v>
      </c>
      <c r="I19" s="39" t="s">
        <v>24</v>
      </c>
      <c r="J19" s="42">
        <v>22.35</v>
      </c>
      <c r="K19" s="31">
        <v>50</v>
      </c>
      <c r="L19" s="140">
        <f t="shared" si="0"/>
        <v>50</v>
      </c>
      <c r="M19" s="140">
        <f t="shared" si="1"/>
        <v>50</v>
      </c>
      <c r="N19" s="141"/>
      <c r="O19" s="142">
        <f t="shared" si="2"/>
        <v>12</v>
      </c>
      <c r="P19" s="141"/>
      <c r="Q19" s="141"/>
      <c r="R19" s="141"/>
      <c r="S19" s="143">
        <f t="shared" si="3"/>
        <v>0</v>
      </c>
      <c r="T19" s="32" t="str">
        <f t="shared" si="4"/>
        <v>OK</v>
      </c>
      <c r="U19" s="90">
        <v>12</v>
      </c>
      <c r="V19" s="35"/>
      <c r="W19" s="45"/>
      <c r="X19" s="34"/>
      <c r="Y19" s="36"/>
      <c r="Z19" s="34"/>
      <c r="AA19" s="34"/>
      <c r="AB19" s="34"/>
      <c r="AC19" s="34"/>
      <c r="AD19" s="34"/>
      <c r="AE19" s="34"/>
      <c r="AF19" s="34"/>
      <c r="AG19" s="115">
        <v>38</v>
      </c>
      <c r="AH19" s="34"/>
    </row>
    <row r="20" spans="1:34" ht="39" customHeight="1" x14ac:dyDescent="0.2">
      <c r="A20" s="189"/>
      <c r="B20" s="191"/>
      <c r="C20" s="40">
        <v>17</v>
      </c>
      <c r="D20" s="200"/>
      <c r="E20" s="39" t="s">
        <v>61</v>
      </c>
      <c r="F20" s="44" t="s">
        <v>16</v>
      </c>
      <c r="G20" s="44" t="s">
        <v>17</v>
      </c>
      <c r="H20" s="41" t="s">
        <v>44</v>
      </c>
      <c r="I20" s="39" t="s">
        <v>24</v>
      </c>
      <c r="J20" s="42">
        <v>4.5999999999999996</v>
      </c>
      <c r="K20" s="31">
        <v>0</v>
      </c>
      <c r="L20" s="140">
        <f t="shared" si="0"/>
        <v>0</v>
      </c>
      <c r="M20" s="140">
        <f t="shared" si="1"/>
        <v>0</v>
      </c>
      <c r="N20" s="141"/>
      <c r="O20" s="142">
        <f t="shared" si="2"/>
        <v>0</v>
      </c>
      <c r="P20" s="141"/>
      <c r="Q20" s="141"/>
      <c r="R20" s="141"/>
      <c r="S20" s="143">
        <f t="shared" si="3"/>
        <v>0</v>
      </c>
      <c r="T20" s="32" t="str">
        <f t="shared" si="4"/>
        <v>OK</v>
      </c>
      <c r="U20" s="33"/>
      <c r="V20" s="35"/>
      <c r="W20" s="45"/>
      <c r="X20" s="34"/>
      <c r="Y20" s="45"/>
      <c r="Z20" s="34"/>
      <c r="AA20" s="34"/>
      <c r="AB20" s="34"/>
      <c r="AC20" s="34"/>
      <c r="AD20" s="34"/>
      <c r="AE20" s="34"/>
      <c r="AF20" s="34"/>
      <c r="AG20" s="34"/>
      <c r="AH20" s="34"/>
    </row>
    <row r="21" spans="1:34" ht="41.25" customHeight="1" x14ac:dyDescent="0.2">
      <c r="A21" s="48">
        <v>9</v>
      </c>
      <c r="B21" s="28" t="s">
        <v>62</v>
      </c>
      <c r="C21" s="26">
        <v>18</v>
      </c>
      <c r="D21" s="27" t="s">
        <v>63</v>
      </c>
      <c r="E21" s="28" t="s">
        <v>64</v>
      </c>
      <c r="F21" s="50" t="s">
        <v>16</v>
      </c>
      <c r="G21" s="50" t="s">
        <v>17</v>
      </c>
      <c r="H21" s="29" t="s">
        <v>44</v>
      </c>
      <c r="I21" s="28" t="s">
        <v>24</v>
      </c>
      <c r="J21" s="30">
        <v>3.46</v>
      </c>
      <c r="K21" s="31">
        <v>0</v>
      </c>
      <c r="L21" s="140">
        <f t="shared" si="0"/>
        <v>0</v>
      </c>
      <c r="M21" s="140">
        <f t="shared" si="1"/>
        <v>0</v>
      </c>
      <c r="N21" s="141"/>
      <c r="O21" s="142">
        <f t="shared" si="2"/>
        <v>0</v>
      </c>
      <c r="P21" s="141"/>
      <c r="Q21" s="141"/>
      <c r="R21" s="141"/>
      <c r="S21" s="143">
        <f t="shared" si="3"/>
        <v>0</v>
      </c>
      <c r="T21" s="32" t="str">
        <f t="shared" si="4"/>
        <v>OK</v>
      </c>
      <c r="U21" s="35"/>
      <c r="V21" s="33"/>
      <c r="W21" s="45"/>
      <c r="X21" s="34"/>
      <c r="Y21" s="45"/>
      <c r="Z21" s="34"/>
      <c r="AA21" s="34"/>
      <c r="AB21" s="34"/>
      <c r="AC21" s="34"/>
      <c r="AD21" s="34"/>
      <c r="AE21" s="34"/>
      <c r="AF21" s="34"/>
      <c r="AG21" s="34"/>
      <c r="AH21" s="34"/>
    </row>
    <row r="22" spans="1:34" ht="45" customHeight="1" x14ac:dyDescent="0.2">
      <c r="A22" s="38">
        <v>10</v>
      </c>
      <c r="B22" s="47" t="s">
        <v>31</v>
      </c>
      <c r="C22" s="40">
        <v>19</v>
      </c>
      <c r="D22" s="47" t="s">
        <v>27</v>
      </c>
      <c r="E22" s="39" t="s">
        <v>23</v>
      </c>
      <c r="F22" s="44" t="s">
        <v>16</v>
      </c>
      <c r="G22" s="44" t="s">
        <v>17</v>
      </c>
      <c r="H22" s="41" t="s">
        <v>44</v>
      </c>
      <c r="I22" s="39" t="s">
        <v>24</v>
      </c>
      <c r="J22" s="42">
        <v>0.4</v>
      </c>
      <c r="K22" s="31">
        <v>2000</v>
      </c>
      <c r="L22" s="140">
        <f t="shared" si="0"/>
        <v>2000</v>
      </c>
      <c r="M22" s="140">
        <f t="shared" si="1"/>
        <v>2000</v>
      </c>
      <c r="N22" s="141"/>
      <c r="O22" s="142">
        <f t="shared" si="2"/>
        <v>500</v>
      </c>
      <c r="P22" s="141"/>
      <c r="Q22" s="141"/>
      <c r="R22" s="141"/>
      <c r="S22" s="143">
        <f t="shared" si="3"/>
        <v>0</v>
      </c>
      <c r="T22" s="32" t="str">
        <f t="shared" si="4"/>
        <v>OK</v>
      </c>
      <c r="U22" s="35"/>
      <c r="V22" s="33"/>
      <c r="W22" s="126">
        <v>2000</v>
      </c>
      <c r="X22" s="34"/>
      <c r="Y22" s="45"/>
      <c r="Z22" s="36"/>
      <c r="AA22" s="34"/>
      <c r="AB22" s="34"/>
      <c r="AC22" s="34"/>
      <c r="AD22" s="34"/>
      <c r="AE22" s="34"/>
      <c r="AF22" s="34"/>
      <c r="AG22" s="34"/>
      <c r="AH22" s="34"/>
    </row>
    <row r="23" spans="1:34" ht="28.15" customHeight="1" x14ac:dyDescent="0.2">
      <c r="A23" s="194">
        <v>11</v>
      </c>
      <c r="B23" s="196" t="s">
        <v>65</v>
      </c>
      <c r="C23" s="26">
        <v>20</v>
      </c>
      <c r="D23" s="201" t="s">
        <v>25</v>
      </c>
      <c r="E23" s="28" t="s">
        <v>19</v>
      </c>
      <c r="F23" s="50" t="s">
        <v>16</v>
      </c>
      <c r="G23" s="50" t="s">
        <v>17</v>
      </c>
      <c r="H23" s="29" t="s">
        <v>44</v>
      </c>
      <c r="I23" s="28" t="s">
        <v>24</v>
      </c>
      <c r="J23" s="30">
        <v>3.95</v>
      </c>
      <c r="K23" s="31">
        <v>0</v>
      </c>
      <c r="L23" s="140">
        <f t="shared" si="0"/>
        <v>0</v>
      </c>
      <c r="M23" s="140">
        <f t="shared" si="1"/>
        <v>0</v>
      </c>
      <c r="N23" s="141"/>
      <c r="O23" s="142">
        <f t="shared" si="2"/>
        <v>0</v>
      </c>
      <c r="P23" s="141"/>
      <c r="Q23" s="141"/>
      <c r="R23" s="141"/>
      <c r="S23" s="143">
        <f t="shared" si="3"/>
        <v>0</v>
      </c>
      <c r="T23" s="32" t="str">
        <f t="shared" si="4"/>
        <v>OK</v>
      </c>
      <c r="U23" s="35"/>
      <c r="V23" s="33"/>
      <c r="W23" s="45"/>
      <c r="X23" s="34"/>
      <c r="Y23" s="45"/>
      <c r="Z23" s="36"/>
      <c r="AA23" s="34"/>
      <c r="AB23" s="34"/>
      <c r="AC23" s="34"/>
      <c r="AD23" s="34"/>
      <c r="AE23" s="34"/>
      <c r="AF23" s="34"/>
      <c r="AG23" s="34"/>
      <c r="AH23" s="34"/>
    </row>
    <row r="24" spans="1:34" ht="25.15" customHeight="1" x14ac:dyDescent="0.2">
      <c r="A24" s="195"/>
      <c r="B24" s="197"/>
      <c r="C24" s="26">
        <v>21</v>
      </c>
      <c r="D24" s="202"/>
      <c r="E24" s="28" t="s">
        <v>20</v>
      </c>
      <c r="F24" s="50" t="s">
        <v>16</v>
      </c>
      <c r="G24" s="50" t="s">
        <v>17</v>
      </c>
      <c r="H24" s="29" t="s">
        <v>44</v>
      </c>
      <c r="I24" s="28" t="s">
        <v>24</v>
      </c>
      <c r="J24" s="30">
        <v>2.41</v>
      </c>
      <c r="K24" s="31">
        <v>0</v>
      </c>
      <c r="L24" s="140">
        <f t="shared" si="0"/>
        <v>0</v>
      </c>
      <c r="M24" s="140">
        <f t="shared" si="1"/>
        <v>0</v>
      </c>
      <c r="N24" s="141"/>
      <c r="O24" s="142">
        <f t="shared" si="2"/>
        <v>0</v>
      </c>
      <c r="P24" s="141"/>
      <c r="Q24" s="141"/>
      <c r="R24" s="141"/>
      <c r="S24" s="143">
        <f t="shared" si="3"/>
        <v>0</v>
      </c>
      <c r="T24" s="32" t="str">
        <f t="shared" si="4"/>
        <v>OK</v>
      </c>
      <c r="U24" s="33"/>
      <c r="V24" s="33"/>
      <c r="W24" s="45"/>
      <c r="X24" s="34"/>
      <c r="Y24" s="45"/>
      <c r="Z24" s="34"/>
      <c r="AA24" s="34"/>
      <c r="AB24" s="34"/>
      <c r="AC24" s="34"/>
      <c r="AD24" s="34"/>
      <c r="AE24" s="34"/>
      <c r="AF24" s="34"/>
      <c r="AG24" s="34"/>
      <c r="AH24" s="34"/>
    </row>
    <row r="25" spans="1:34" ht="26.45" customHeight="1" x14ac:dyDescent="0.2">
      <c r="A25" s="188">
        <v>12</v>
      </c>
      <c r="B25" s="190" t="s">
        <v>62</v>
      </c>
      <c r="C25" s="40">
        <v>22</v>
      </c>
      <c r="D25" s="199" t="s">
        <v>26</v>
      </c>
      <c r="E25" s="39" t="s">
        <v>19</v>
      </c>
      <c r="F25" s="44" t="s">
        <v>16</v>
      </c>
      <c r="G25" s="44" t="s">
        <v>17</v>
      </c>
      <c r="H25" s="41" t="s">
        <v>44</v>
      </c>
      <c r="I25" s="39" t="s">
        <v>24</v>
      </c>
      <c r="J25" s="42">
        <v>2.48</v>
      </c>
      <c r="K25" s="31">
        <v>0</v>
      </c>
      <c r="L25" s="140">
        <f t="shared" si="0"/>
        <v>0</v>
      </c>
      <c r="M25" s="140">
        <f t="shared" si="1"/>
        <v>0</v>
      </c>
      <c r="N25" s="141"/>
      <c r="O25" s="142">
        <f t="shared" si="2"/>
        <v>0</v>
      </c>
      <c r="P25" s="141"/>
      <c r="Q25" s="141"/>
      <c r="R25" s="141"/>
      <c r="S25" s="143">
        <f t="shared" si="3"/>
        <v>0</v>
      </c>
      <c r="T25" s="32" t="str">
        <f t="shared" si="4"/>
        <v>OK</v>
      </c>
      <c r="U25" s="33"/>
      <c r="V25" s="33"/>
      <c r="W25" s="45"/>
      <c r="X25" s="34"/>
      <c r="Y25" s="45"/>
      <c r="Z25" s="34"/>
      <c r="AA25" s="34"/>
      <c r="AB25" s="34"/>
      <c r="AC25" s="34"/>
      <c r="AD25" s="34"/>
      <c r="AE25" s="34"/>
      <c r="AF25" s="34"/>
      <c r="AG25" s="34"/>
      <c r="AH25" s="34"/>
    </row>
    <row r="26" spans="1:34" ht="24.4" customHeight="1" x14ac:dyDescent="0.2">
      <c r="A26" s="189"/>
      <c r="B26" s="191"/>
      <c r="C26" s="40">
        <v>23</v>
      </c>
      <c r="D26" s="200"/>
      <c r="E26" s="43" t="s">
        <v>20</v>
      </c>
      <c r="F26" s="44" t="s">
        <v>16</v>
      </c>
      <c r="G26" s="44" t="s">
        <v>17</v>
      </c>
      <c r="H26" s="41" t="s">
        <v>44</v>
      </c>
      <c r="I26" s="39" t="s">
        <v>24</v>
      </c>
      <c r="J26" s="42">
        <v>1.2</v>
      </c>
      <c r="K26" s="31">
        <v>0</v>
      </c>
      <c r="L26" s="140">
        <f t="shared" si="0"/>
        <v>0</v>
      </c>
      <c r="M26" s="140">
        <f t="shared" si="1"/>
        <v>0</v>
      </c>
      <c r="N26" s="141"/>
      <c r="O26" s="142">
        <f t="shared" si="2"/>
        <v>0</v>
      </c>
      <c r="P26" s="141"/>
      <c r="Q26" s="141"/>
      <c r="R26" s="141"/>
      <c r="S26" s="143">
        <f t="shared" si="3"/>
        <v>0</v>
      </c>
      <c r="T26" s="32" t="str">
        <f t="shared" si="4"/>
        <v>OK</v>
      </c>
      <c r="U26" s="33"/>
      <c r="V26" s="33"/>
      <c r="W26" s="45"/>
      <c r="X26" s="34"/>
      <c r="Y26" s="45"/>
      <c r="Z26" s="34"/>
      <c r="AA26" s="34"/>
      <c r="AB26" s="34"/>
      <c r="AC26" s="34"/>
      <c r="AD26" s="34"/>
      <c r="AE26" s="34"/>
      <c r="AF26" s="34"/>
      <c r="AG26" s="34"/>
      <c r="AH26" s="34"/>
    </row>
    <row r="27" spans="1:34" ht="24" customHeight="1" x14ac:dyDescent="0.2">
      <c r="A27" s="194">
        <v>13</v>
      </c>
      <c r="B27" s="196" t="s">
        <v>65</v>
      </c>
      <c r="C27" s="26">
        <v>24</v>
      </c>
      <c r="D27" s="201" t="s">
        <v>66</v>
      </c>
      <c r="E27" s="28" t="s">
        <v>21</v>
      </c>
      <c r="F27" s="50" t="s">
        <v>16</v>
      </c>
      <c r="G27" s="29" t="s">
        <v>17</v>
      </c>
      <c r="H27" s="29" t="s">
        <v>44</v>
      </c>
      <c r="I27" s="28" t="s">
        <v>24</v>
      </c>
      <c r="J27" s="30">
        <v>0.33</v>
      </c>
      <c r="K27" s="31">
        <v>0</v>
      </c>
      <c r="L27" s="140">
        <f t="shared" si="0"/>
        <v>0</v>
      </c>
      <c r="M27" s="140">
        <f t="shared" si="1"/>
        <v>0</v>
      </c>
      <c r="N27" s="141"/>
      <c r="O27" s="142">
        <f t="shared" si="2"/>
        <v>0</v>
      </c>
      <c r="P27" s="141"/>
      <c r="Q27" s="141"/>
      <c r="R27" s="141"/>
      <c r="S27" s="143">
        <f t="shared" si="3"/>
        <v>0</v>
      </c>
      <c r="T27" s="32" t="str">
        <f t="shared" si="4"/>
        <v>OK</v>
      </c>
      <c r="U27" s="33"/>
      <c r="V27" s="33"/>
      <c r="W27" s="45"/>
      <c r="X27" s="34"/>
      <c r="Y27" s="45"/>
      <c r="Z27" s="34"/>
      <c r="AA27" s="34"/>
      <c r="AB27" s="34"/>
      <c r="AC27" s="34"/>
      <c r="AD27" s="34"/>
      <c r="AE27" s="34"/>
      <c r="AF27" s="34"/>
      <c r="AG27" s="34"/>
      <c r="AH27" s="34"/>
    </row>
    <row r="28" spans="1:34" ht="30.2" customHeight="1" x14ac:dyDescent="0.2">
      <c r="A28" s="195"/>
      <c r="B28" s="197"/>
      <c r="C28" s="26">
        <v>25</v>
      </c>
      <c r="D28" s="202"/>
      <c r="E28" s="28" t="s">
        <v>22</v>
      </c>
      <c r="F28" s="50" t="s">
        <v>16</v>
      </c>
      <c r="G28" s="50" t="s">
        <v>17</v>
      </c>
      <c r="H28" s="29" t="s">
        <v>44</v>
      </c>
      <c r="I28" s="28" t="s">
        <v>24</v>
      </c>
      <c r="J28" s="30">
        <v>0.15</v>
      </c>
      <c r="K28" s="31">
        <f>7000</f>
        <v>7000</v>
      </c>
      <c r="L28" s="140">
        <f t="shared" si="0"/>
        <v>0</v>
      </c>
      <c r="M28" s="140">
        <f t="shared" si="1"/>
        <v>0</v>
      </c>
      <c r="N28" s="141">
        <v>-7000</v>
      </c>
      <c r="O28" s="142">
        <f t="shared" si="2"/>
        <v>1750</v>
      </c>
      <c r="P28" s="141"/>
      <c r="Q28" s="141"/>
      <c r="R28" s="141"/>
      <c r="S28" s="143">
        <f t="shared" si="3"/>
        <v>0</v>
      </c>
      <c r="T28" s="32" t="str">
        <f t="shared" si="4"/>
        <v>OK</v>
      </c>
      <c r="U28" s="33"/>
      <c r="V28" s="33"/>
      <c r="W28" s="45"/>
      <c r="X28" s="34"/>
      <c r="Y28" s="45"/>
      <c r="Z28" s="34"/>
      <c r="AA28" s="34"/>
      <c r="AB28" s="34"/>
      <c r="AC28" s="34"/>
      <c r="AD28" s="34"/>
      <c r="AE28" s="34"/>
      <c r="AF28" s="34"/>
      <c r="AG28" s="34"/>
      <c r="AH28" s="34"/>
    </row>
    <row r="29" spans="1:34" ht="26.45" customHeight="1" x14ac:dyDescent="0.2">
      <c r="A29" s="188">
        <v>14</v>
      </c>
      <c r="B29" s="190" t="s">
        <v>65</v>
      </c>
      <c r="C29" s="40">
        <v>26</v>
      </c>
      <c r="D29" s="192" t="s">
        <v>67</v>
      </c>
      <c r="E29" s="66" t="s">
        <v>21</v>
      </c>
      <c r="F29" s="44" t="s">
        <v>16</v>
      </c>
      <c r="G29" s="44" t="s">
        <v>17</v>
      </c>
      <c r="H29" s="41" t="s">
        <v>44</v>
      </c>
      <c r="I29" s="39" t="s">
        <v>24</v>
      </c>
      <c r="J29" s="42">
        <v>0.33</v>
      </c>
      <c r="K29" s="31">
        <v>0</v>
      </c>
      <c r="L29" s="140">
        <f t="shared" si="0"/>
        <v>0</v>
      </c>
      <c r="M29" s="140">
        <f t="shared" si="1"/>
        <v>0</v>
      </c>
      <c r="N29" s="141"/>
      <c r="O29" s="142">
        <f t="shared" si="2"/>
        <v>0</v>
      </c>
      <c r="P29" s="141"/>
      <c r="Q29" s="141"/>
      <c r="R29" s="141"/>
      <c r="S29" s="143">
        <f t="shared" si="3"/>
        <v>0</v>
      </c>
      <c r="T29" s="32" t="str">
        <f t="shared" si="4"/>
        <v>OK</v>
      </c>
      <c r="U29" s="33"/>
      <c r="V29" s="33"/>
      <c r="W29" s="45"/>
      <c r="X29" s="34"/>
      <c r="Y29" s="45"/>
      <c r="Z29" s="34"/>
      <c r="AA29" s="34"/>
      <c r="AB29" s="34"/>
      <c r="AC29" s="34"/>
      <c r="AD29" s="34"/>
      <c r="AE29" s="34"/>
      <c r="AF29" s="34"/>
      <c r="AG29" s="34"/>
      <c r="AH29" s="34"/>
    </row>
    <row r="30" spans="1:34" ht="33.950000000000003" customHeight="1" x14ac:dyDescent="0.2">
      <c r="A30" s="189"/>
      <c r="B30" s="191"/>
      <c r="C30" s="40">
        <v>27</v>
      </c>
      <c r="D30" s="193"/>
      <c r="E30" s="66" t="s">
        <v>22</v>
      </c>
      <c r="F30" s="44" t="s">
        <v>16</v>
      </c>
      <c r="G30" s="44" t="s">
        <v>17</v>
      </c>
      <c r="H30" s="41" t="s">
        <v>44</v>
      </c>
      <c r="I30" s="39" t="s">
        <v>24</v>
      </c>
      <c r="J30" s="42">
        <v>0.23</v>
      </c>
      <c r="K30" s="31">
        <f>7000</f>
        <v>7000</v>
      </c>
      <c r="L30" s="140">
        <f t="shared" si="0"/>
        <v>9008</v>
      </c>
      <c r="M30" s="140">
        <f t="shared" si="1"/>
        <v>9008</v>
      </c>
      <c r="N30" s="141">
        <v>2008</v>
      </c>
      <c r="O30" s="142">
        <f t="shared" si="2"/>
        <v>1750</v>
      </c>
      <c r="P30" s="141"/>
      <c r="Q30" s="141"/>
      <c r="R30" s="141"/>
      <c r="S30" s="143">
        <f t="shared" si="3"/>
        <v>0</v>
      </c>
      <c r="T30" s="32" t="str">
        <f t="shared" si="4"/>
        <v>OK</v>
      </c>
      <c r="U30" s="33"/>
      <c r="V30" s="33"/>
      <c r="W30" s="45"/>
      <c r="X30" s="115">
        <v>4008</v>
      </c>
      <c r="Y30" s="45"/>
      <c r="Z30" s="34"/>
      <c r="AA30" s="34"/>
      <c r="AB30" s="115">
        <v>5000</v>
      </c>
      <c r="AC30" s="171"/>
      <c r="AD30" s="34"/>
      <c r="AE30" s="34"/>
      <c r="AF30" s="34"/>
      <c r="AG30" s="34"/>
      <c r="AH30" s="34"/>
    </row>
    <row r="31" spans="1:34" ht="27" customHeight="1" x14ac:dyDescent="0.2">
      <c r="A31" s="194">
        <v>15</v>
      </c>
      <c r="B31" s="196" t="s">
        <v>31</v>
      </c>
      <c r="C31" s="68">
        <v>28</v>
      </c>
      <c r="D31" s="198" t="s">
        <v>68</v>
      </c>
      <c r="E31" s="28" t="s">
        <v>21</v>
      </c>
      <c r="F31" s="50" t="s">
        <v>16</v>
      </c>
      <c r="G31" s="50" t="s">
        <v>17</v>
      </c>
      <c r="H31" s="29" t="s">
        <v>44</v>
      </c>
      <c r="I31" s="28" t="s">
        <v>24</v>
      </c>
      <c r="J31" s="30">
        <v>0.4</v>
      </c>
      <c r="K31" s="31">
        <v>0</v>
      </c>
      <c r="L31" s="140">
        <f t="shared" si="0"/>
        <v>0</v>
      </c>
      <c r="M31" s="140">
        <f t="shared" si="1"/>
        <v>0</v>
      </c>
      <c r="N31" s="141"/>
      <c r="O31" s="142">
        <f t="shared" si="2"/>
        <v>0</v>
      </c>
      <c r="P31" s="141"/>
      <c r="Q31" s="141"/>
      <c r="R31" s="141"/>
      <c r="S31" s="143">
        <f t="shared" si="3"/>
        <v>0</v>
      </c>
      <c r="T31" s="32" t="str">
        <f t="shared" si="4"/>
        <v>OK</v>
      </c>
      <c r="U31" s="33"/>
      <c r="V31" s="35"/>
      <c r="W31" s="45"/>
      <c r="X31" s="34"/>
      <c r="Y31" s="45"/>
      <c r="Z31" s="34"/>
      <c r="AA31" s="34"/>
      <c r="AB31" s="34"/>
      <c r="AC31" s="34"/>
      <c r="AD31" s="34"/>
      <c r="AE31" s="34"/>
      <c r="AF31" s="34"/>
      <c r="AG31" s="34"/>
      <c r="AH31" s="34"/>
    </row>
    <row r="32" spans="1:34" ht="29.25" customHeight="1" x14ac:dyDescent="0.2">
      <c r="A32" s="195"/>
      <c r="B32" s="197"/>
      <c r="C32" s="26">
        <v>29</v>
      </c>
      <c r="D32" s="198"/>
      <c r="E32" s="28" t="s">
        <v>22</v>
      </c>
      <c r="F32" s="50" t="s">
        <v>16</v>
      </c>
      <c r="G32" s="50" t="s">
        <v>17</v>
      </c>
      <c r="H32" s="29" t="s">
        <v>44</v>
      </c>
      <c r="I32" s="28" t="s">
        <v>24</v>
      </c>
      <c r="J32" s="30">
        <v>0.44</v>
      </c>
      <c r="K32" s="31">
        <v>5000</v>
      </c>
      <c r="L32" s="140">
        <f t="shared" si="0"/>
        <v>5000</v>
      </c>
      <c r="M32" s="140">
        <f t="shared" si="1"/>
        <v>5000</v>
      </c>
      <c r="N32" s="141"/>
      <c r="O32" s="142">
        <f t="shared" si="2"/>
        <v>1250</v>
      </c>
      <c r="P32" s="141"/>
      <c r="Q32" s="141"/>
      <c r="R32" s="141"/>
      <c r="S32" s="143">
        <f t="shared" si="3"/>
        <v>0</v>
      </c>
      <c r="T32" s="32" t="str">
        <f t="shared" si="4"/>
        <v>OK</v>
      </c>
      <c r="U32" s="33"/>
      <c r="V32" s="90">
        <v>5000</v>
      </c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</row>
    <row r="33" spans="4:34" x14ac:dyDescent="0.2">
      <c r="K33" s="56">
        <f>SUM(K4:K32)</f>
        <v>21497</v>
      </c>
      <c r="S33" s="56">
        <f>SUM(S4:S32)</f>
        <v>17</v>
      </c>
      <c r="U33" s="110">
        <f t="shared" ref="U33:AG33" si="5">SUMPRODUCT($J$4:$J$32,U4:U32)</f>
        <v>586.1</v>
      </c>
      <c r="V33" s="111">
        <f t="shared" si="5"/>
        <v>2848</v>
      </c>
      <c r="W33" s="111">
        <f t="shared" si="5"/>
        <v>891.2</v>
      </c>
      <c r="X33" s="111">
        <f t="shared" si="5"/>
        <v>921.84</v>
      </c>
      <c r="Y33" s="111">
        <f t="shared" si="5"/>
        <v>174.5</v>
      </c>
      <c r="Z33" s="111">
        <f t="shared" si="5"/>
        <v>300.5</v>
      </c>
      <c r="AA33" s="111">
        <f t="shared" si="5"/>
        <v>243.2</v>
      </c>
      <c r="AB33" s="111">
        <f t="shared" si="5"/>
        <v>1150</v>
      </c>
      <c r="AC33" s="111">
        <f t="shared" si="5"/>
        <v>395.2</v>
      </c>
      <c r="AD33" s="111">
        <f t="shared" si="5"/>
        <v>1216</v>
      </c>
      <c r="AE33" s="173">
        <f t="shared" si="5"/>
        <v>235.39999999999998</v>
      </c>
      <c r="AF33" s="111">
        <f t="shared" si="5"/>
        <v>396</v>
      </c>
      <c r="AG33" s="111">
        <f t="shared" si="5"/>
        <v>4103.8999999999996</v>
      </c>
      <c r="AH33" s="59">
        <f t="shared" ref="AH33" si="6">SUMPRODUCT($J$4:$J$32,AH4:AH32)</f>
        <v>0</v>
      </c>
    </row>
    <row r="34" spans="4:34" x14ac:dyDescent="0.2">
      <c r="K34" s="148">
        <f>SUMPRODUCT($J$4:$J$32,K4:K32)</f>
        <v>15445.5</v>
      </c>
      <c r="L34" s="148">
        <f t="shared" ref="L34:M34" si="7">SUMPRODUCT($J$4:$J$32,L4:L32)</f>
        <v>13461.84</v>
      </c>
      <c r="M34" s="148">
        <f t="shared" si="7"/>
        <v>13461.84</v>
      </c>
      <c r="V34" s="127"/>
    </row>
    <row r="36" spans="4:34" ht="15.75" x14ac:dyDescent="0.2">
      <c r="D36" s="128"/>
      <c r="E36" s="130"/>
      <c r="F36" s="129"/>
      <c r="G36" s="129"/>
    </row>
  </sheetData>
  <mergeCells count="49">
    <mergeCell ref="W1:W2"/>
    <mergeCell ref="A1:C1"/>
    <mergeCell ref="D1:J1"/>
    <mergeCell ref="K1:T1"/>
    <mergeCell ref="U1:U2"/>
    <mergeCell ref="V1:V2"/>
    <mergeCell ref="K2:T2"/>
    <mergeCell ref="A2:J2"/>
    <mergeCell ref="AH1:AH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4:A8"/>
    <mergeCell ref="B4:B8"/>
    <mergeCell ref="D4:D8"/>
    <mergeCell ref="A9:A10"/>
    <mergeCell ref="B9:B10"/>
    <mergeCell ref="D9:D10"/>
    <mergeCell ref="A11:A13"/>
    <mergeCell ref="B11:B13"/>
    <mergeCell ref="D11:D13"/>
    <mergeCell ref="A14:A15"/>
    <mergeCell ref="B14:B15"/>
    <mergeCell ref="D14:D15"/>
    <mergeCell ref="A19:A20"/>
    <mergeCell ref="B19:B20"/>
    <mergeCell ref="D19:D20"/>
    <mergeCell ref="A23:A24"/>
    <mergeCell ref="B23:B24"/>
    <mergeCell ref="D23:D24"/>
    <mergeCell ref="A25:A26"/>
    <mergeCell ref="B25:B26"/>
    <mergeCell ref="D25:D26"/>
    <mergeCell ref="A27:A28"/>
    <mergeCell ref="B27:B28"/>
    <mergeCell ref="D27:D28"/>
    <mergeCell ref="A29:A30"/>
    <mergeCell ref="B29:B30"/>
    <mergeCell ref="D29:D30"/>
    <mergeCell ref="A31:A32"/>
    <mergeCell ref="B31:B32"/>
    <mergeCell ref="D31:D32"/>
  </mergeCells>
  <pageMargins left="0.511811024" right="0.511811024" top="0.78740157499999996" bottom="0.78740157499999996" header="0.31496062000000002" footer="0.31496062000000002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E591B-B97E-4446-8B6E-C93D77135D01}">
  <dimension ref="A1:AW38"/>
  <sheetViews>
    <sheetView zoomScale="90" zoomScaleNormal="90" workbookViewId="0">
      <selection activeCell="U34" sqref="U34"/>
    </sheetView>
  </sheetViews>
  <sheetFormatPr defaultColWidth="9.7109375" defaultRowHeight="12.75" x14ac:dyDescent="0.2"/>
  <cols>
    <col min="1" max="1" width="7.7109375" style="53" customWidth="1"/>
    <col min="2" max="2" width="10.28515625" style="53" customWidth="1"/>
    <col min="3" max="3" width="5.5703125" style="53" bestFit="1" customWidth="1"/>
    <col min="4" max="4" width="17.85546875" style="54" customWidth="1"/>
    <col min="5" max="5" width="10.85546875" style="53" bestFit="1" customWidth="1"/>
    <col min="6" max="6" width="9.140625" style="53" customWidth="1"/>
    <col min="7" max="7" width="10.140625" style="53" customWidth="1"/>
    <col min="8" max="8" width="12.42578125" style="53" customWidth="1"/>
    <col min="9" max="9" width="9.42578125" style="53" customWidth="1"/>
    <col min="10" max="10" width="12.7109375" style="55" bestFit="1" customWidth="1"/>
    <col min="11" max="11" width="13.28515625" style="56" customWidth="1"/>
    <col min="12" max="13" width="14" style="56" bestFit="1" customWidth="1"/>
    <col min="14" max="14" width="10.42578125" style="56" customWidth="1"/>
    <col min="15" max="15" width="14" style="56" bestFit="1" customWidth="1"/>
    <col min="16" max="18" width="10.140625" style="56" customWidth="1"/>
    <col min="19" max="19" width="10.28515625" style="57" customWidth="1"/>
    <col min="20" max="20" width="12.5703125" style="58" customWidth="1"/>
    <col min="21" max="21" width="15.42578125" style="60" customWidth="1"/>
    <col min="22" max="22" width="14.42578125" style="60" bestFit="1" customWidth="1"/>
    <col min="23" max="23" width="14.42578125" style="18" bestFit="1" customWidth="1"/>
    <col min="24" max="24" width="15" style="18" bestFit="1" customWidth="1"/>
    <col min="25" max="49" width="13.7109375" style="18" customWidth="1"/>
    <col min="50" max="16384" width="9.7109375" style="18"/>
  </cols>
  <sheetData>
    <row r="1" spans="1:49" ht="34.5" customHeight="1" x14ac:dyDescent="0.2">
      <c r="A1" s="219" t="s">
        <v>69</v>
      </c>
      <c r="B1" s="220"/>
      <c r="C1" s="221"/>
      <c r="D1" s="220" t="s">
        <v>32</v>
      </c>
      <c r="E1" s="220"/>
      <c r="F1" s="220"/>
      <c r="G1" s="220"/>
      <c r="H1" s="220"/>
      <c r="I1" s="220"/>
      <c r="J1" s="221"/>
      <c r="K1" s="222" t="s">
        <v>33</v>
      </c>
      <c r="L1" s="223"/>
      <c r="M1" s="223"/>
      <c r="N1" s="223"/>
      <c r="O1" s="223"/>
      <c r="P1" s="223"/>
      <c r="Q1" s="223"/>
      <c r="R1" s="223"/>
      <c r="S1" s="223"/>
      <c r="T1" s="224"/>
      <c r="U1" s="234" t="s">
        <v>158</v>
      </c>
      <c r="V1" s="234" t="s">
        <v>155</v>
      </c>
      <c r="W1" s="234" t="s">
        <v>156</v>
      </c>
      <c r="X1" s="239" t="s">
        <v>159</v>
      </c>
      <c r="Y1" s="234" t="s">
        <v>157</v>
      </c>
      <c r="Z1" s="218" t="s">
        <v>294</v>
      </c>
      <c r="AA1" s="218" t="s">
        <v>295</v>
      </c>
      <c r="AB1" s="218" t="s">
        <v>296</v>
      </c>
      <c r="AC1" s="218" t="s">
        <v>297</v>
      </c>
      <c r="AD1" s="218" t="s">
        <v>298</v>
      </c>
      <c r="AE1" s="218" t="s">
        <v>299</v>
      </c>
      <c r="AF1" s="218" t="s">
        <v>300</v>
      </c>
      <c r="AG1" s="218" t="s">
        <v>301</v>
      </c>
      <c r="AH1" s="218" t="s">
        <v>302</v>
      </c>
      <c r="AI1" s="218" t="s">
        <v>303</v>
      </c>
      <c r="AJ1" s="218" t="s">
        <v>304</v>
      </c>
      <c r="AK1" s="218" t="s">
        <v>305</v>
      </c>
      <c r="AL1" s="218" t="s">
        <v>306</v>
      </c>
      <c r="AM1" s="218" t="s">
        <v>307</v>
      </c>
      <c r="AN1" s="218" t="s">
        <v>308</v>
      </c>
      <c r="AO1" s="218" t="s">
        <v>309</v>
      </c>
      <c r="AP1" s="218" t="s">
        <v>310</v>
      </c>
      <c r="AQ1" s="218" t="s">
        <v>311</v>
      </c>
      <c r="AR1" s="218" t="s">
        <v>312</v>
      </c>
      <c r="AS1" s="218" t="s">
        <v>313</v>
      </c>
      <c r="AT1" s="218" t="s">
        <v>314</v>
      </c>
      <c r="AU1" s="218" t="s">
        <v>315</v>
      </c>
      <c r="AV1" s="218" t="s">
        <v>316</v>
      </c>
      <c r="AW1" s="218"/>
    </row>
    <row r="2" spans="1:49" ht="15" customHeight="1" x14ac:dyDescent="0.2">
      <c r="A2" s="219" t="s">
        <v>79</v>
      </c>
      <c r="B2" s="220"/>
      <c r="C2" s="220"/>
      <c r="D2" s="220"/>
      <c r="E2" s="220"/>
      <c r="F2" s="220"/>
      <c r="G2" s="220"/>
      <c r="H2" s="220"/>
      <c r="I2" s="220"/>
      <c r="J2" s="221"/>
      <c r="K2" s="225" t="s">
        <v>91</v>
      </c>
      <c r="L2" s="226"/>
      <c r="M2" s="226"/>
      <c r="N2" s="226"/>
      <c r="O2" s="226"/>
      <c r="P2" s="226"/>
      <c r="Q2" s="226"/>
      <c r="R2" s="226"/>
      <c r="S2" s="226"/>
      <c r="T2" s="227"/>
      <c r="U2" s="234"/>
      <c r="V2" s="234"/>
      <c r="W2" s="234"/>
      <c r="X2" s="239"/>
      <c r="Y2" s="234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</row>
    <row r="3" spans="1:49" s="25" customFormat="1" ht="38.25" x14ac:dyDescent="0.2">
      <c r="A3" s="19" t="s">
        <v>5</v>
      </c>
      <c r="B3" s="19" t="s">
        <v>18</v>
      </c>
      <c r="C3" s="69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43</v>
      </c>
      <c r="I3" s="20" t="s">
        <v>4</v>
      </c>
      <c r="J3" s="21" t="s">
        <v>28</v>
      </c>
      <c r="K3" s="22" t="s">
        <v>6</v>
      </c>
      <c r="L3" s="145" t="s">
        <v>185</v>
      </c>
      <c r="M3" s="145" t="s">
        <v>186</v>
      </c>
      <c r="N3" s="145" t="s">
        <v>187</v>
      </c>
      <c r="O3" s="145" t="s">
        <v>188</v>
      </c>
      <c r="P3" s="145" t="s">
        <v>189</v>
      </c>
      <c r="Q3" s="145" t="s">
        <v>190</v>
      </c>
      <c r="R3" s="145" t="s">
        <v>191</v>
      </c>
      <c r="S3" s="146" t="s">
        <v>0</v>
      </c>
      <c r="T3" s="23" t="s">
        <v>2</v>
      </c>
      <c r="U3" s="101">
        <v>45370</v>
      </c>
      <c r="V3" s="101">
        <v>45387</v>
      </c>
      <c r="W3" s="101">
        <v>45399</v>
      </c>
      <c r="X3" s="101">
        <v>45415</v>
      </c>
      <c r="Y3" s="101">
        <v>45467</v>
      </c>
      <c r="Z3" s="74">
        <v>45524</v>
      </c>
      <c r="AA3" s="74">
        <v>45532</v>
      </c>
      <c r="AB3" s="74">
        <v>45544</v>
      </c>
      <c r="AC3" s="74">
        <v>45553</v>
      </c>
      <c r="AD3" s="74">
        <v>45562</v>
      </c>
      <c r="AE3" s="23" t="s">
        <v>317</v>
      </c>
      <c r="AF3" s="23" t="s">
        <v>318</v>
      </c>
      <c r="AG3" s="23" t="s">
        <v>319</v>
      </c>
      <c r="AH3" s="23" t="s">
        <v>319</v>
      </c>
      <c r="AI3" s="23" t="s">
        <v>320</v>
      </c>
      <c r="AJ3" s="23" t="s">
        <v>321</v>
      </c>
      <c r="AK3" s="23" t="s">
        <v>319</v>
      </c>
      <c r="AL3" s="23" t="s">
        <v>322</v>
      </c>
      <c r="AM3" s="74">
        <v>45608</v>
      </c>
      <c r="AN3" s="74">
        <v>45610</v>
      </c>
      <c r="AO3" s="74">
        <v>45614</v>
      </c>
      <c r="AP3" s="74">
        <v>45615</v>
      </c>
      <c r="AQ3" s="23" t="s">
        <v>323</v>
      </c>
      <c r="AR3" s="23" t="s">
        <v>324</v>
      </c>
      <c r="AS3" s="23" t="s">
        <v>325</v>
      </c>
      <c r="AT3" s="23" t="s">
        <v>326</v>
      </c>
      <c r="AU3" s="23" t="s">
        <v>323</v>
      </c>
      <c r="AV3" s="23" t="s">
        <v>327</v>
      </c>
      <c r="AW3" s="24"/>
    </row>
    <row r="4" spans="1:49" ht="23.25" customHeight="1" x14ac:dyDescent="0.2">
      <c r="A4" s="203">
        <v>1</v>
      </c>
      <c r="B4" s="196" t="s">
        <v>31</v>
      </c>
      <c r="C4" s="26">
        <v>1</v>
      </c>
      <c r="D4" s="201" t="s">
        <v>34</v>
      </c>
      <c r="E4" s="28" t="s">
        <v>35</v>
      </c>
      <c r="F4" s="29" t="s">
        <v>16</v>
      </c>
      <c r="G4" s="29" t="s">
        <v>17</v>
      </c>
      <c r="H4" s="29" t="s">
        <v>44</v>
      </c>
      <c r="I4" s="28" t="s">
        <v>24</v>
      </c>
      <c r="J4" s="30">
        <v>12.15</v>
      </c>
      <c r="K4" s="31">
        <v>3</v>
      </c>
      <c r="L4" s="140">
        <f t="shared" ref="L4:L32" si="0">IF(SUM(U4:AZ4)&gt;K4+N4,K4+N4,SUM(U4:AZ4))</f>
        <v>3</v>
      </c>
      <c r="M4" s="140">
        <f t="shared" ref="M4:M32" si="1">(SUM(U4:AZ4))</f>
        <v>3</v>
      </c>
      <c r="N4" s="141"/>
      <c r="O4" s="142">
        <f t="shared" ref="O4:O32" si="2">ROUND(IF(K4*0.25-0.5&lt;0,0,K4*0.25-0.5),0)-R4-P4</f>
        <v>0</v>
      </c>
      <c r="P4" s="141"/>
      <c r="Q4" s="141"/>
      <c r="R4" s="141"/>
      <c r="S4" s="143">
        <f t="shared" ref="S4:S32" si="3">K4+N4+P4+Q4-M4</f>
        <v>0</v>
      </c>
      <c r="T4" s="32" t="str">
        <f t="shared" ref="T4:T32" si="4">IF(S4&lt;0,"ATENÇÃO","OK")</f>
        <v>OK</v>
      </c>
      <c r="U4" s="33"/>
      <c r="V4" s="33"/>
      <c r="W4" s="34"/>
      <c r="X4" s="34"/>
      <c r="Y4" s="34"/>
      <c r="Z4" s="34"/>
      <c r="AA4" s="34"/>
      <c r="AB4" s="34"/>
      <c r="AC4" s="34"/>
      <c r="AD4" s="34"/>
      <c r="AE4" s="34"/>
      <c r="AF4" s="34">
        <v>3</v>
      </c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</row>
    <row r="5" spans="1:49" ht="26.45" customHeight="1" x14ac:dyDescent="0.2">
      <c r="A5" s="204"/>
      <c r="B5" s="206"/>
      <c r="C5" s="26">
        <v>2</v>
      </c>
      <c r="D5" s="207"/>
      <c r="E5" s="28" t="s">
        <v>36</v>
      </c>
      <c r="F5" s="29" t="s">
        <v>16</v>
      </c>
      <c r="G5" s="29" t="s">
        <v>17</v>
      </c>
      <c r="H5" s="29" t="s">
        <v>44</v>
      </c>
      <c r="I5" s="28" t="s">
        <v>24</v>
      </c>
      <c r="J5" s="30">
        <v>40.5</v>
      </c>
      <c r="K5" s="31">
        <v>55</v>
      </c>
      <c r="L5" s="140">
        <f t="shared" si="0"/>
        <v>55</v>
      </c>
      <c r="M5" s="140">
        <f t="shared" si="1"/>
        <v>55</v>
      </c>
      <c r="N5" s="141"/>
      <c r="O5" s="142">
        <f t="shared" si="2"/>
        <v>13</v>
      </c>
      <c r="P5" s="141"/>
      <c r="Q5" s="141"/>
      <c r="R5" s="141"/>
      <c r="S5" s="143">
        <f t="shared" si="3"/>
        <v>0</v>
      </c>
      <c r="T5" s="32" t="str">
        <f t="shared" si="4"/>
        <v>OK</v>
      </c>
      <c r="U5" s="33"/>
      <c r="V5" s="33"/>
      <c r="W5" s="34"/>
      <c r="X5" s="103">
        <v>14</v>
      </c>
      <c r="Y5" s="103">
        <v>2</v>
      </c>
      <c r="Z5" s="34"/>
      <c r="AA5" s="34"/>
      <c r="AB5" s="34">
        <v>8</v>
      </c>
      <c r="AC5" s="34">
        <v>1</v>
      </c>
      <c r="AD5" s="34">
        <v>2</v>
      </c>
      <c r="AE5" s="34"/>
      <c r="AF5" s="34">
        <v>3</v>
      </c>
      <c r="AG5" s="34"/>
      <c r="AH5" s="34"/>
      <c r="AI5" s="34">
        <v>1</v>
      </c>
      <c r="AJ5" s="34">
        <v>18</v>
      </c>
      <c r="AK5" s="34"/>
      <c r="AL5" s="34"/>
      <c r="AM5" s="34"/>
      <c r="AN5" s="34"/>
      <c r="AO5" s="34"/>
      <c r="AP5" s="34">
        <v>4</v>
      </c>
      <c r="AQ5" s="34">
        <v>2</v>
      </c>
      <c r="AR5" s="34"/>
      <c r="AS5" s="34"/>
      <c r="AT5" s="34"/>
      <c r="AU5" s="34"/>
      <c r="AV5" s="34"/>
      <c r="AW5" s="34"/>
    </row>
    <row r="6" spans="1:49" ht="24" customHeight="1" x14ac:dyDescent="0.2">
      <c r="A6" s="204"/>
      <c r="B6" s="206"/>
      <c r="C6" s="100">
        <v>3</v>
      </c>
      <c r="D6" s="207"/>
      <c r="E6" s="28" t="s">
        <v>37</v>
      </c>
      <c r="F6" s="29" t="s">
        <v>16</v>
      </c>
      <c r="G6" s="29" t="s">
        <v>17</v>
      </c>
      <c r="H6" s="29" t="s">
        <v>44</v>
      </c>
      <c r="I6" s="28" t="s">
        <v>24</v>
      </c>
      <c r="J6" s="30">
        <v>49.5</v>
      </c>
      <c r="K6" s="31">
        <f>79</f>
        <v>79</v>
      </c>
      <c r="L6" s="140">
        <f t="shared" si="0"/>
        <v>8</v>
      </c>
      <c r="M6" s="140">
        <f t="shared" si="1"/>
        <v>8</v>
      </c>
      <c r="N6" s="141">
        <v>-5</v>
      </c>
      <c r="O6" s="142">
        <f t="shared" si="2"/>
        <v>19</v>
      </c>
      <c r="P6" s="141"/>
      <c r="Q6" s="141"/>
      <c r="R6" s="141"/>
      <c r="S6" s="143">
        <f t="shared" si="3"/>
        <v>66</v>
      </c>
      <c r="T6" s="32" t="str">
        <f t="shared" si="4"/>
        <v>OK</v>
      </c>
      <c r="U6" s="33"/>
      <c r="V6" s="35"/>
      <c r="W6" s="36"/>
      <c r="X6" s="34"/>
      <c r="Y6" s="45"/>
      <c r="Z6" s="34">
        <v>1</v>
      </c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>
        <v>2</v>
      </c>
      <c r="AM6" s="34"/>
      <c r="AN6" s="34"/>
      <c r="AO6" s="34"/>
      <c r="AP6" s="34"/>
      <c r="AQ6" s="34"/>
      <c r="AR6" s="34"/>
      <c r="AS6" s="34"/>
      <c r="AT6" s="34"/>
      <c r="AU6" s="34">
        <v>5</v>
      </c>
      <c r="AV6" s="34"/>
      <c r="AW6" s="34"/>
    </row>
    <row r="7" spans="1:49" ht="24" customHeight="1" x14ac:dyDescent="0.2">
      <c r="A7" s="204"/>
      <c r="B7" s="206"/>
      <c r="C7" s="26">
        <v>4</v>
      </c>
      <c r="D7" s="207"/>
      <c r="E7" s="28" t="s">
        <v>38</v>
      </c>
      <c r="F7" s="29" t="s">
        <v>16</v>
      </c>
      <c r="G7" s="29" t="s">
        <v>17</v>
      </c>
      <c r="H7" s="29" t="s">
        <v>44</v>
      </c>
      <c r="I7" s="28" t="s">
        <v>24</v>
      </c>
      <c r="J7" s="30">
        <v>53</v>
      </c>
      <c r="K7" s="31">
        <v>34</v>
      </c>
      <c r="L7" s="140">
        <f t="shared" si="0"/>
        <v>4</v>
      </c>
      <c r="M7" s="140">
        <f t="shared" si="1"/>
        <v>4</v>
      </c>
      <c r="N7" s="141"/>
      <c r="O7" s="142">
        <f t="shared" si="2"/>
        <v>8</v>
      </c>
      <c r="P7" s="141"/>
      <c r="Q7" s="141"/>
      <c r="R7" s="141"/>
      <c r="S7" s="143">
        <f t="shared" si="3"/>
        <v>30</v>
      </c>
      <c r="T7" s="32" t="str">
        <f t="shared" si="4"/>
        <v>OK</v>
      </c>
      <c r="U7" s="33"/>
      <c r="V7" s="33"/>
      <c r="W7" s="34"/>
      <c r="X7" s="34"/>
      <c r="Y7" s="45"/>
      <c r="Z7" s="34">
        <v>4</v>
      </c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</row>
    <row r="8" spans="1:49" ht="19.5" customHeight="1" x14ac:dyDescent="0.2">
      <c r="A8" s="205"/>
      <c r="B8" s="197"/>
      <c r="C8" s="26">
        <v>5</v>
      </c>
      <c r="D8" s="202"/>
      <c r="E8" s="28" t="s">
        <v>39</v>
      </c>
      <c r="F8" s="29" t="s">
        <v>16</v>
      </c>
      <c r="G8" s="29" t="s">
        <v>17</v>
      </c>
      <c r="H8" s="29" t="s">
        <v>44</v>
      </c>
      <c r="I8" s="28" t="s">
        <v>24</v>
      </c>
      <c r="J8" s="30">
        <v>30.4</v>
      </c>
      <c r="K8" s="31">
        <v>19</v>
      </c>
      <c r="L8" s="140">
        <f t="shared" si="0"/>
        <v>16</v>
      </c>
      <c r="M8" s="140">
        <f t="shared" si="1"/>
        <v>16</v>
      </c>
      <c r="N8" s="141"/>
      <c r="O8" s="142">
        <f t="shared" si="2"/>
        <v>4</v>
      </c>
      <c r="P8" s="141"/>
      <c r="Q8" s="141"/>
      <c r="R8" s="141"/>
      <c r="S8" s="143">
        <f t="shared" si="3"/>
        <v>3</v>
      </c>
      <c r="T8" s="32" t="str">
        <f t="shared" si="4"/>
        <v>OK</v>
      </c>
      <c r="U8" s="33"/>
      <c r="V8" s="33"/>
      <c r="W8" s="34"/>
      <c r="X8" s="103">
        <v>3</v>
      </c>
      <c r="Y8" s="34"/>
      <c r="Z8" s="34"/>
      <c r="AA8" s="34"/>
      <c r="AB8" s="34"/>
      <c r="AC8" s="34"/>
      <c r="AD8" s="34"/>
      <c r="AE8" s="34"/>
      <c r="AF8" s="34"/>
      <c r="AG8" s="34">
        <v>2</v>
      </c>
      <c r="AH8" s="34"/>
      <c r="AI8" s="34"/>
      <c r="AJ8" s="34"/>
      <c r="AK8" s="34"/>
      <c r="AL8" s="34">
        <v>7</v>
      </c>
      <c r="AM8" s="34">
        <v>2</v>
      </c>
      <c r="AN8" s="34">
        <v>2</v>
      </c>
      <c r="AO8" s="34"/>
      <c r="AP8" s="34"/>
      <c r="AQ8" s="34"/>
      <c r="AR8" s="34"/>
      <c r="AS8" s="34"/>
      <c r="AT8" s="34"/>
      <c r="AU8" s="34"/>
      <c r="AV8" s="34"/>
      <c r="AW8" s="34"/>
    </row>
    <row r="9" spans="1:49" ht="21.75" customHeight="1" x14ac:dyDescent="0.2">
      <c r="A9" s="216">
        <v>2</v>
      </c>
      <c r="B9" s="190" t="s">
        <v>31</v>
      </c>
      <c r="C9" s="40">
        <v>6</v>
      </c>
      <c r="D9" s="199" t="s">
        <v>40</v>
      </c>
      <c r="E9" s="39" t="s">
        <v>35</v>
      </c>
      <c r="F9" s="41" t="s">
        <v>16</v>
      </c>
      <c r="G9" s="41" t="s">
        <v>17</v>
      </c>
      <c r="H9" s="41" t="s">
        <v>44</v>
      </c>
      <c r="I9" s="39" t="s">
        <v>24</v>
      </c>
      <c r="J9" s="42">
        <v>14.21</v>
      </c>
      <c r="K9" s="31">
        <v>3</v>
      </c>
      <c r="L9" s="140">
        <f t="shared" si="0"/>
        <v>0</v>
      </c>
      <c r="M9" s="140">
        <f t="shared" si="1"/>
        <v>0</v>
      </c>
      <c r="N9" s="141"/>
      <c r="O9" s="142">
        <f t="shared" si="2"/>
        <v>0</v>
      </c>
      <c r="P9" s="141"/>
      <c r="Q9" s="141"/>
      <c r="R9" s="141"/>
      <c r="S9" s="143">
        <f t="shared" si="3"/>
        <v>3</v>
      </c>
      <c r="T9" s="32" t="str">
        <f t="shared" si="4"/>
        <v>OK</v>
      </c>
      <c r="U9" s="33"/>
      <c r="V9" s="33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</row>
    <row r="10" spans="1:49" ht="20.25" customHeight="1" x14ac:dyDescent="0.2">
      <c r="A10" s="217"/>
      <c r="B10" s="191"/>
      <c r="C10" s="40">
        <v>7</v>
      </c>
      <c r="D10" s="200"/>
      <c r="E10" s="39" t="s">
        <v>41</v>
      </c>
      <c r="F10" s="41" t="s">
        <v>16</v>
      </c>
      <c r="G10" s="41" t="s">
        <v>17</v>
      </c>
      <c r="H10" s="41" t="s">
        <v>44</v>
      </c>
      <c r="I10" s="39" t="s">
        <v>24</v>
      </c>
      <c r="J10" s="42">
        <v>20.9</v>
      </c>
      <c r="K10" s="31">
        <f>133</f>
        <v>133</v>
      </c>
      <c r="L10" s="140">
        <f t="shared" si="0"/>
        <v>7</v>
      </c>
      <c r="M10" s="140">
        <f t="shared" si="1"/>
        <v>7</v>
      </c>
      <c r="N10" s="141">
        <v>-20</v>
      </c>
      <c r="O10" s="142">
        <f t="shared" si="2"/>
        <v>33</v>
      </c>
      <c r="P10" s="141"/>
      <c r="Q10" s="141"/>
      <c r="R10" s="141"/>
      <c r="S10" s="143">
        <f t="shared" si="3"/>
        <v>106</v>
      </c>
      <c r="T10" s="32" t="str">
        <f t="shared" si="4"/>
        <v>OK</v>
      </c>
      <c r="U10" s="35"/>
      <c r="V10" s="33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>
        <v>1</v>
      </c>
      <c r="AJ10" s="34"/>
      <c r="AK10" s="34">
        <v>4</v>
      </c>
      <c r="AL10" s="34"/>
      <c r="AM10" s="34"/>
      <c r="AN10" s="34"/>
      <c r="AO10" s="34"/>
      <c r="AP10" s="34"/>
      <c r="AQ10" s="34">
        <v>2</v>
      </c>
      <c r="AR10" s="34"/>
      <c r="AS10" s="34"/>
      <c r="AT10" s="34"/>
      <c r="AU10" s="34"/>
      <c r="AV10" s="34"/>
      <c r="AW10" s="34"/>
    </row>
    <row r="11" spans="1:49" ht="25.5" x14ac:dyDescent="0.2">
      <c r="A11" s="203">
        <v>3</v>
      </c>
      <c r="B11" s="196" t="s">
        <v>42</v>
      </c>
      <c r="C11" s="26">
        <v>8</v>
      </c>
      <c r="D11" s="201" t="s">
        <v>45</v>
      </c>
      <c r="E11" s="28" t="s">
        <v>46</v>
      </c>
      <c r="F11" s="29" t="s">
        <v>16</v>
      </c>
      <c r="G11" s="29" t="s">
        <v>17</v>
      </c>
      <c r="H11" s="29" t="s">
        <v>44</v>
      </c>
      <c r="I11" s="28" t="s">
        <v>24</v>
      </c>
      <c r="J11" s="30">
        <v>423</v>
      </c>
      <c r="K11" s="31">
        <v>2</v>
      </c>
      <c r="L11" s="140">
        <f t="shared" si="0"/>
        <v>1</v>
      </c>
      <c r="M11" s="140">
        <f t="shared" si="1"/>
        <v>1</v>
      </c>
      <c r="N11" s="141"/>
      <c r="O11" s="142">
        <f t="shared" si="2"/>
        <v>0</v>
      </c>
      <c r="P11" s="141"/>
      <c r="Q11" s="141"/>
      <c r="R11" s="141"/>
      <c r="S11" s="143">
        <f t="shared" si="3"/>
        <v>1</v>
      </c>
      <c r="T11" s="32" t="str">
        <f t="shared" si="4"/>
        <v>OK</v>
      </c>
      <c r="U11" s="33"/>
      <c r="V11" s="33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>
        <v>1</v>
      </c>
      <c r="AU11" s="34"/>
      <c r="AV11" s="34"/>
      <c r="AW11" s="34"/>
    </row>
    <row r="12" spans="1:49" ht="21.2" customHeight="1" x14ac:dyDescent="0.2">
      <c r="A12" s="204"/>
      <c r="B12" s="206"/>
      <c r="C12" s="26">
        <v>9</v>
      </c>
      <c r="D12" s="207"/>
      <c r="E12" s="28" t="s">
        <v>47</v>
      </c>
      <c r="F12" s="29" t="s">
        <v>16</v>
      </c>
      <c r="G12" s="29" t="s">
        <v>17</v>
      </c>
      <c r="H12" s="29" t="s">
        <v>44</v>
      </c>
      <c r="I12" s="28" t="s">
        <v>24</v>
      </c>
      <c r="J12" s="30">
        <v>1613</v>
      </c>
      <c r="K12" s="31">
        <v>2</v>
      </c>
      <c r="L12" s="140">
        <f t="shared" si="0"/>
        <v>0</v>
      </c>
      <c r="M12" s="140">
        <f t="shared" si="1"/>
        <v>0</v>
      </c>
      <c r="N12" s="141"/>
      <c r="O12" s="142">
        <f t="shared" si="2"/>
        <v>0</v>
      </c>
      <c r="P12" s="141"/>
      <c r="Q12" s="141"/>
      <c r="R12" s="141"/>
      <c r="S12" s="143">
        <f t="shared" si="3"/>
        <v>2</v>
      </c>
      <c r="T12" s="32" t="str">
        <f t="shared" si="4"/>
        <v>OK</v>
      </c>
      <c r="U12" s="33"/>
      <c r="V12" s="33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</row>
    <row r="13" spans="1:49" ht="19.5" customHeight="1" x14ac:dyDescent="0.2">
      <c r="A13" s="205"/>
      <c r="B13" s="197"/>
      <c r="C13" s="26">
        <v>10</v>
      </c>
      <c r="D13" s="202"/>
      <c r="E13" s="28" t="s">
        <v>48</v>
      </c>
      <c r="F13" s="29" t="s">
        <v>16</v>
      </c>
      <c r="G13" s="29" t="s">
        <v>17</v>
      </c>
      <c r="H13" s="29" t="s">
        <v>44</v>
      </c>
      <c r="I13" s="28" t="s">
        <v>24</v>
      </c>
      <c r="J13" s="30">
        <v>1749</v>
      </c>
      <c r="K13" s="31">
        <v>2</v>
      </c>
      <c r="L13" s="140">
        <f t="shared" si="0"/>
        <v>0</v>
      </c>
      <c r="M13" s="140">
        <f t="shared" si="1"/>
        <v>0</v>
      </c>
      <c r="N13" s="141">
        <v>-2</v>
      </c>
      <c r="O13" s="142">
        <f t="shared" si="2"/>
        <v>0</v>
      </c>
      <c r="P13" s="141"/>
      <c r="Q13" s="141"/>
      <c r="R13" s="141"/>
      <c r="S13" s="143">
        <f t="shared" si="3"/>
        <v>0</v>
      </c>
      <c r="T13" s="32" t="str">
        <f t="shared" si="4"/>
        <v>OK</v>
      </c>
      <c r="U13" s="33"/>
      <c r="V13" s="33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</row>
    <row r="14" spans="1:49" ht="25.15" customHeight="1" x14ac:dyDescent="0.2">
      <c r="A14" s="208">
        <v>4</v>
      </c>
      <c r="B14" s="209" t="s">
        <v>49</v>
      </c>
      <c r="C14" s="40">
        <v>11</v>
      </c>
      <c r="D14" s="211" t="s">
        <v>50</v>
      </c>
      <c r="E14" s="39" t="s">
        <v>51</v>
      </c>
      <c r="F14" s="41" t="s">
        <v>16</v>
      </c>
      <c r="G14" s="41" t="s">
        <v>17</v>
      </c>
      <c r="H14" s="41" t="s">
        <v>44</v>
      </c>
      <c r="I14" s="39" t="s">
        <v>53</v>
      </c>
      <c r="J14" s="42">
        <v>19.63</v>
      </c>
      <c r="K14" s="31">
        <v>5</v>
      </c>
      <c r="L14" s="140">
        <f t="shared" si="0"/>
        <v>0</v>
      </c>
      <c r="M14" s="140">
        <f t="shared" si="1"/>
        <v>0</v>
      </c>
      <c r="N14" s="141"/>
      <c r="O14" s="142">
        <f t="shared" si="2"/>
        <v>1</v>
      </c>
      <c r="P14" s="141"/>
      <c r="Q14" s="141"/>
      <c r="R14" s="141"/>
      <c r="S14" s="143">
        <f t="shared" si="3"/>
        <v>5</v>
      </c>
      <c r="T14" s="32" t="str">
        <f t="shared" si="4"/>
        <v>OK</v>
      </c>
      <c r="U14" s="33"/>
      <c r="V14" s="33"/>
      <c r="W14" s="34"/>
      <c r="X14" s="34"/>
      <c r="Y14" s="36"/>
      <c r="Z14" s="36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</row>
    <row r="15" spans="1:49" ht="22.7" customHeight="1" x14ac:dyDescent="0.2">
      <c r="A15" s="208"/>
      <c r="B15" s="210"/>
      <c r="C15" s="40">
        <v>12</v>
      </c>
      <c r="D15" s="212"/>
      <c r="E15" s="39" t="s">
        <v>52</v>
      </c>
      <c r="F15" s="41" t="s">
        <v>16</v>
      </c>
      <c r="G15" s="41" t="s">
        <v>17</v>
      </c>
      <c r="H15" s="41" t="s">
        <v>44</v>
      </c>
      <c r="I15" s="39" t="s">
        <v>24</v>
      </c>
      <c r="J15" s="42">
        <v>20.27</v>
      </c>
      <c r="K15" s="31">
        <v>7</v>
      </c>
      <c r="L15" s="140">
        <f t="shared" si="0"/>
        <v>0</v>
      </c>
      <c r="M15" s="140">
        <f t="shared" si="1"/>
        <v>0</v>
      </c>
      <c r="N15" s="141"/>
      <c r="O15" s="142">
        <f t="shared" si="2"/>
        <v>1</v>
      </c>
      <c r="P15" s="141"/>
      <c r="Q15" s="141"/>
      <c r="R15" s="141"/>
      <c r="S15" s="143">
        <f t="shared" si="3"/>
        <v>7</v>
      </c>
      <c r="T15" s="32" t="str">
        <f t="shared" si="4"/>
        <v>OK</v>
      </c>
      <c r="U15" s="33"/>
      <c r="V15" s="33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</row>
    <row r="16" spans="1:49" ht="45" customHeight="1" x14ac:dyDescent="0.2">
      <c r="A16" s="48">
        <v>5</v>
      </c>
      <c r="B16" s="28" t="s">
        <v>49</v>
      </c>
      <c r="C16" s="26">
        <v>13</v>
      </c>
      <c r="D16" s="49" t="s">
        <v>54</v>
      </c>
      <c r="E16" s="63" t="s">
        <v>55</v>
      </c>
      <c r="F16" s="50" t="s">
        <v>16</v>
      </c>
      <c r="G16" s="50" t="s">
        <v>17</v>
      </c>
      <c r="H16" s="29" t="s">
        <v>44</v>
      </c>
      <c r="I16" s="28" t="s">
        <v>53</v>
      </c>
      <c r="J16" s="30">
        <v>28.9</v>
      </c>
      <c r="K16" s="31">
        <v>10</v>
      </c>
      <c r="L16" s="140">
        <f t="shared" si="0"/>
        <v>9</v>
      </c>
      <c r="M16" s="140">
        <f t="shared" si="1"/>
        <v>9</v>
      </c>
      <c r="N16" s="141"/>
      <c r="O16" s="142">
        <f t="shared" si="2"/>
        <v>2</v>
      </c>
      <c r="P16" s="141"/>
      <c r="Q16" s="141"/>
      <c r="R16" s="141"/>
      <c r="S16" s="143">
        <f t="shared" si="3"/>
        <v>1</v>
      </c>
      <c r="T16" s="32" t="str">
        <f t="shared" si="4"/>
        <v>OK</v>
      </c>
      <c r="U16" s="33"/>
      <c r="V16" s="33"/>
      <c r="W16" s="34"/>
      <c r="X16" s="34"/>
      <c r="Y16" s="34"/>
      <c r="Z16" s="34"/>
      <c r="AA16" s="34">
        <v>9</v>
      </c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</row>
    <row r="17" spans="1:49" ht="46.5" customHeight="1" x14ac:dyDescent="0.2">
      <c r="A17" s="38">
        <v>6</v>
      </c>
      <c r="B17" s="47" t="s">
        <v>49</v>
      </c>
      <c r="C17" s="40">
        <v>14</v>
      </c>
      <c r="D17" s="47" t="s">
        <v>57</v>
      </c>
      <c r="E17" s="39" t="s">
        <v>56</v>
      </c>
      <c r="F17" s="41" t="s">
        <v>16</v>
      </c>
      <c r="G17" s="41" t="s">
        <v>17</v>
      </c>
      <c r="H17" s="41" t="s">
        <v>44</v>
      </c>
      <c r="I17" s="39" t="s">
        <v>24</v>
      </c>
      <c r="J17" s="42">
        <v>9.5</v>
      </c>
      <c r="K17" s="31">
        <v>1710</v>
      </c>
      <c r="L17" s="140">
        <f t="shared" si="0"/>
        <v>4</v>
      </c>
      <c r="M17" s="140">
        <f t="shared" si="1"/>
        <v>4</v>
      </c>
      <c r="N17" s="141"/>
      <c r="O17" s="142">
        <f t="shared" si="2"/>
        <v>427</v>
      </c>
      <c r="P17" s="141"/>
      <c r="Q17" s="141"/>
      <c r="R17" s="141"/>
      <c r="S17" s="143">
        <f t="shared" si="3"/>
        <v>1706</v>
      </c>
      <c r="T17" s="32" t="str">
        <f t="shared" si="4"/>
        <v>OK</v>
      </c>
      <c r="U17" s="33"/>
      <c r="V17" s="35"/>
      <c r="W17" s="45"/>
      <c r="X17" s="34"/>
      <c r="Y17" s="34"/>
      <c r="Z17" s="36"/>
      <c r="AA17" s="34">
        <v>4</v>
      </c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</row>
    <row r="18" spans="1:49" ht="63.75" customHeight="1" x14ac:dyDescent="0.2">
      <c r="A18" s="65">
        <v>7</v>
      </c>
      <c r="B18" s="28" t="s">
        <v>49</v>
      </c>
      <c r="C18" s="64">
        <v>15</v>
      </c>
      <c r="D18" s="37" t="s">
        <v>58</v>
      </c>
      <c r="E18" s="61" t="s">
        <v>59</v>
      </c>
      <c r="F18" s="29" t="s">
        <v>16</v>
      </c>
      <c r="G18" s="29" t="s">
        <v>17</v>
      </c>
      <c r="H18" s="29" t="s">
        <v>44</v>
      </c>
      <c r="I18" s="28" t="s">
        <v>24</v>
      </c>
      <c r="J18" s="30">
        <v>197.76</v>
      </c>
      <c r="K18" s="31">
        <v>21</v>
      </c>
      <c r="L18" s="140">
        <f t="shared" si="0"/>
        <v>21</v>
      </c>
      <c r="M18" s="140">
        <f t="shared" si="1"/>
        <v>21</v>
      </c>
      <c r="N18" s="141"/>
      <c r="O18" s="142">
        <f t="shared" si="2"/>
        <v>5</v>
      </c>
      <c r="P18" s="141"/>
      <c r="Q18" s="141"/>
      <c r="R18" s="141"/>
      <c r="S18" s="143">
        <f t="shared" si="3"/>
        <v>0</v>
      </c>
      <c r="T18" s="32" t="str">
        <f t="shared" si="4"/>
        <v>OK</v>
      </c>
      <c r="U18" s="33"/>
      <c r="V18" s="35"/>
      <c r="W18" s="45"/>
      <c r="X18" s="34"/>
      <c r="Y18" s="34"/>
      <c r="Z18" s="36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>
        <v>21</v>
      </c>
      <c r="AT18" s="34"/>
      <c r="AU18" s="34"/>
      <c r="AV18" s="34"/>
      <c r="AW18" s="34"/>
    </row>
    <row r="19" spans="1:49" ht="38.25" customHeight="1" x14ac:dyDescent="0.2">
      <c r="A19" s="188">
        <v>8</v>
      </c>
      <c r="B19" s="190" t="s">
        <v>49</v>
      </c>
      <c r="C19" s="40">
        <v>16</v>
      </c>
      <c r="D19" s="199" t="s">
        <v>12</v>
      </c>
      <c r="E19" s="39" t="s">
        <v>60</v>
      </c>
      <c r="F19" s="41" t="s">
        <v>16</v>
      </c>
      <c r="G19" s="41" t="s">
        <v>17</v>
      </c>
      <c r="H19" s="41" t="s">
        <v>44</v>
      </c>
      <c r="I19" s="39" t="s">
        <v>24</v>
      </c>
      <c r="J19" s="42">
        <v>22.35</v>
      </c>
      <c r="K19" s="31">
        <v>13</v>
      </c>
      <c r="L19" s="140">
        <f t="shared" si="0"/>
        <v>3</v>
      </c>
      <c r="M19" s="140">
        <f t="shared" si="1"/>
        <v>3</v>
      </c>
      <c r="N19" s="141"/>
      <c r="O19" s="142">
        <f t="shared" si="2"/>
        <v>3</v>
      </c>
      <c r="P19" s="141"/>
      <c r="Q19" s="141"/>
      <c r="R19" s="141"/>
      <c r="S19" s="143">
        <f t="shared" si="3"/>
        <v>10</v>
      </c>
      <c r="T19" s="32" t="str">
        <f t="shared" si="4"/>
        <v>OK</v>
      </c>
      <c r="U19" s="33"/>
      <c r="V19" s="35"/>
      <c r="W19" s="45"/>
      <c r="X19" s="34"/>
      <c r="Y19" s="34"/>
      <c r="Z19" s="36"/>
      <c r="AA19" s="34">
        <v>1</v>
      </c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>
        <v>2</v>
      </c>
      <c r="AT19" s="34"/>
      <c r="AU19" s="34"/>
      <c r="AV19" s="34"/>
      <c r="AW19" s="34"/>
    </row>
    <row r="20" spans="1:49" ht="45" customHeight="1" x14ac:dyDescent="0.2">
      <c r="A20" s="189"/>
      <c r="B20" s="191"/>
      <c r="C20" s="40">
        <v>17</v>
      </c>
      <c r="D20" s="200"/>
      <c r="E20" s="39" t="s">
        <v>61</v>
      </c>
      <c r="F20" s="44" t="s">
        <v>16</v>
      </c>
      <c r="G20" s="44" t="s">
        <v>17</v>
      </c>
      <c r="H20" s="41" t="s">
        <v>44</v>
      </c>
      <c r="I20" s="39" t="s">
        <v>24</v>
      </c>
      <c r="J20" s="42">
        <v>4.5999999999999996</v>
      </c>
      <c r="K20" s="31">
        <v>100</v>
      </c>
      <c r="L20" s="140">
        <f t="shared" si="0"/>
        <v>0</v>
      </c>
      <c r="M20" s="140">
        <f t="shared" si="1"/>
        <v>0</v>
      </c>
      <c r="N20" s="141"/>
      <c r="O20" s="142">
        <f t="shared" si="2"/>
        <v>25</v>
      </c>
      <c r="P20" s="141"/>
      <c r="Q20" s="141"/>
      <c r="R20" s="141"/>
      <c r="S20" s="143">
        <f t="shared" si="3"/>
        <v>100</v>
      </c>
      <c r="T20" s="32" t="str">
        <f t="shared" si="4"/>
        <v>OK</v>
      </c>
      <c r="U20" s="33"/>
      <c r="V20" s="35"/>
      <c r="W20" s="45"/>
      <c r="X20" s="36"/>
      <c r="Y20" s="34"/>
      <c r="Z20" s="45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</row>
    <row r="21" spans="1:49" ht="58.7" customHeight="1" x14ac:dyDescent="0.2">
      <c r="A21" s="48">
        <v>9</v>
      </c>
      <c r="B21" s="28" t="s">
        <v>62</v>
      </c>
      <c r="C21" s="26">
        <v>18</v>
      </c>
      <c r="D21" s="27" t="s">
        <v>63</v>
      </c>
      <c r="E21" s="28" t="s">
        <v>64</v>
      </c>
      <c r="F21" s="50" t="s">
        <v>16</v>
      </c>
      <c r="G21" s="50" t="s">
        <v>17</v>
      </c>
      <c r="H21" s="29" t="s">
        <v>44</v>
      </c>
      <c r="I21" s="28" t="s">
        <v>24</v>
      </c>
      <c r="J21" s="30">
        <v>3.46</v>
      </c>
      <c r="K21" s="31">
        <f>50</f>
        <v>50</v>
      </c>
      <c r="L21" s="140">
        <f t="shared" si="0"/>
        <v>112</v>
      </c>
      <c r="M21" s="140">
        <f t="shared" si="1"/>
        <v>112</v>
      </c>
      <c r="N21" s="141">
        <v>62</v>
      </c>
      <c r="O21" s="142">
        <f t="shared" si="2"/>
        <v>12</v>
      </c>
      <c r="P21" s="141"/>
      <c r="Q21" s="141"/>
      <c r="R21" s="141"/>
      <c r="S21" s="143">
        <f t="shared" si="3"/>
        <v>0</v>
      </c>
      <c r="T21" s="32" t="str">
        <f t="shared" si="4"/>
        <v>OK</v>
      </c>
      <c r="U21" s="96">
        <v>112</v>
      </c>
      <c r="V21" s="33"/>
      <c r="W21" s="45"/>
      <c r="X21" s="36"/>
      <c r="Y21" s="34"/>
      <c r="Z21" s="45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</row>
    <row r="22" spans="1:49" ht="45" customHeight="1" x14ac:dyDescent="0.2">
      <c r="A22" s="38">
        <v>10</v>
      </c>
      <c r="B22" s="47" t="s">
        <v>31</v>
      </c>
      <c r="C22" s="40">
        <v>19</v>
      </c>
      <c r="D22" s="47" t="s">
        <v>27</v>
      </c>
      <c r="E22" s="39" t="s">
        <v>23</v>
      </c>
      <c r="F22" s="44" t="s">
        <v>16</v>
      </c>
      <c r="G22" s="44" t="s">
        <v>17</v>
      </c>
      <c r="H22" s="41" t="s">
        <v>44</v>
      </c>
      <c r="I22" s="39" t="s">
        <v>24</v>
      </c>
      <c r="J22" s="42">
        <v>0.4</v>
      </c>
      <c r="K22" s="31">
        <v>1000</v>
      </c>
      <c r="L22" s="140">
        <f t="shared" si="0"/>
        <v>400</v>
      </c>
      <c r="M22" s="140">
        <f t="shared" si="1"/>
        <v>400</v>
      </c>
      <c r="N22" s="141"/>
      <c r="O22" s="142">
        <f t="shared" si="2"/>
        <v>250</v>
      </c>
      <c r="P22" s="141"/>
      <c r="Q22" s="141"/>
      <c r="R22" s="141"/>
      <c r="S22" s="143">
        <f t="shared" si="3"/>
        <v>600</v>
      </c>
      <c r="T22" s="32" t="str">
        <f t="shared" si="4"/>
        <v>OK</v>
      </c>
      <c r="U22" s="35"/>
      <c r="V22" s="33"/>
      <c r="W22" s="45"/>
      <c r="X22" s="36"/>
      <c r="Y22" s="34"/>
      <c r="Z22" s="45"/>
      <c r="AA22" s="36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>
        <v>400</v>
      </c>
      <c r="AV22" s="34"/>
      <c r="AW22" s="34"/>
    </row>
    <row r="23" spans="1:49" ht="28.15" customHeight="1" x14ac:dyDescent="0.2">
      <c r="A23" s="194">
        <v>11</v>
      </c>
      <c r="B23" s="196" t="s">
        <v>65</v>
      </c>
      <c r="C23" s="26">
        <v>20</v>
      </c>
      <c r="D23" s="201" t="s">
        <v>25</v>
      </c>
      <c r="E23" s="28" t="s">
        <v>19</v>
      </c>
      <c r="F23" s="50" t="s">
        <v>16</v>
      </c>
      <c r="G23" s="50" t="s">
        <v>17</v>
      </c>
      <c r="H23" s="29" t="s">
        <v>44</v>
      </c>
      <c r="I23" s="28" t="s">
        <v>24</v>
      </c>
      <c r="J23" s="30">
        <v>3.95</v>
      </c>
      <c r="K23" s="31">
        <v>300</v>
      </c>
      <c r="L23" s="140">
        <f t="shared" si="0"/>
        <v>0</v>
      </c>
      <c r="M23" s="140">
        <f t="shared" si="1"/>
        <v>0</v>
      </c>
      <c r="N23" s="141">
        <v>-300</v>
      </c>
      <c r="O23" s="142">
        <f t="shared" si="2"/>
        <v>75</v>
      </c>
      <c r="P23" s="141"/>
      <c r="Q23" s="141"/>
      <c r="R23" s="141"/>
      <c r="S23" s="143">
        <f t="shared" si="3"/>
        <v>0</v>
      </c>
      <c r="T23" s="32" t="str">
        <f t="shared" si="4"/>
        <v>OK</v>
      </c>
      <c r="U23" s="35"/>
      <c r="V23" s="33"/>
      <c r="W23" s="45"/>
      <c r="X23" s="34"/>
      <c r="Y23" s="34"/>
      <c r="Z23" s="45"/>
      <c r="AA23" s="36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</row>
    <row r="24" spans="1:49" ht="25.15" customHeight="1" x14ac:dyDescent="0.2">
      <c r="A24" s="195"/>
      <c r="B24" s="197"/>
      <c r="C24" s="26">
        <v>21</v>
      </c>
      <c r="D24" s="202"/>
      <c r="E24" s="28" t="s">
        <v>20</v>
      </c>
      <c r="F24" s="50" t="s">
        <v>16</v>
      </c>
      <c r="G24" s="50" t="s">
        <v>17</v>
      </c>
      <c r="H24" s="29" t="s">
        <v>44</v>
      </c>
      <c r="I24" s="28" t="s">
        <v>24</v>
      </c>
      <c r="J24" s="30">
        <v>2.41</v>
      </c>
      <c r="K24" s="31">
        <f>300</f>
        <v>300</v>
      </c>
      <c r="L24" s="140">
        <f t="shared" si="0"/>
        <v>0</v>
      </c>
      <c r="M24" s="140">
        <f t="shared" si="1"/>
        <v>0</v>
      </c>
      <c r="N24" s="141">
        <f>-100-200</f>
        <v>-300</v>
      </c>
      <c r="O24" s="142">
        <f t="shared" si="2"/>
        <v>75</v>
      </c>
      <c r="P24" s="141"/>
      <c r="Q24" s="141"/>
      <c r="R24" s="141"/>
      <c r="S24" s="143">
        <f t="shared" si="3"/>
        <v>0</v>
      </c>
      <c r="T24" s="32" t="str">
        <f t="shared" si="4"/>
        <v>OK</v>
      </c>
      <c r="U24" s="33"/>
      <c r="V24" s="33"/>
      <c r="W24" s="45"/>
      <c r="X24" s="34"/>
      <c r="Y24" s="34"/>
      <c r="Z24" s="45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</row>
    <row r="25" spans="1:49" ht="26.45" customHeight="1" x14ac:dyDescent="0.2">
      <c r="A25" s="188">
        <v>12</v>
      </c>
      <c r="B25" s="190" t="s">
        <v>62</v>
      </c>
      <c r="C25" s="40">
        <v>22</v>
      </c>
      <c r="D25" s="199" t="s">
        <v>26</v>
      </c>
      <c r="E25" s="39" t="s">
        <v>19</v>
      </c>
      <c r="F25" s="44" t="s">
        <v>16</v>
      </c>
      <c r="G25" s="44" t="s">
        <v>17</v>
      </c>
      <c r="H25" s="41" t="s">
        <v>44</v>
      </c>
      <c r="I25" s="39" t="s">
        <v>24</v>
      </c>
      <c r="J25" s="42">
        <v>2.48</v>
      </c>
      <c r="K25" s="31">
        <v>540</v>
      </c>
      <c r="L25" s="140">
        <f t="shared" si="0"/>
        <v>150</v>
      </c>
      <c r="M25" s="140">
        <f t="shared" si="1"/>
        <v>150</v>
      </c>
      <c r="N25" s="141"/>
      <c r="O25" s="142">
        <f t="shared" si="2"/>
        <v>135</v>
      </c>
      <c r="P25" s="141"/>
      <c r="Q25" s="141"/>
      <c r="R25" s="141"/>
      <c r="S25" s="143">
        <f t="shared" si="3"/>
        <v>390</v>
      </c>
      <c r="T25" s="32" t="str">
        <f t="shared" si="4"/>
        <v>OK</v>
      </c>
      <c r="U25" s="33"/>
      <c r="V25" s="33"/>
      <c r="W25" s="35"/>
      <c r="X25" s="36"/>
      <c r="Y25" s="34"/>
      <c r="Z25" s="45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>
        <v>150</v>
      </c>
      <c r="AW25" s="34"/>
    </row>
    <row r="26" spans="1:49" ht="24.4" customHeight="1" x14ac:dyDescent="0.2">
      <c r="A26" s="189"/>
      <c r="B26" s="191"/>
      <c r="C26" s="40">
        <v>23</v>
      </c>
      <c r="D26" s="200"/>
      <c r="E26" s="43" t="s">
        <v>20</v>
      </c>
      <c r="F26" s="44" t="s">
        <v>16</v>
      </c>
      <c r="G26" s="44" t="s">
        <v>17</v>
      </c>
      <c r="H26" s="41" t="s">
        <v>44</v>
      </c>
      <c r="I26" s="39" t="s">
        <v>24</v>
      </c>
      <c r="J26" s="42">
        <v>1.2</v>
      </c>
      <c r="K26" s="31">
        <v>910</v>
      </c>
      <c r="L26" s="140">
        <f t="shared" si="0"/>
        <v>750</v>
      </c>
      <c r="M26" s="140">
        <f t="shared" si="1"/>
        <v>750</v>
      </c>
      <c r="N26" s="141"/>
      <c r="O26" s="142">
        <f t="shared" si="2"/>
        <v>227</v>
      </c>
      <c r="P26" s="141"/>
      <c r="Q26" s="141"/>
      <c r="R26" s="141"/>
      <c r="S26" s="143">
        <f t="shared" si="3"/>
        <v>160</v>
      </c>
      <c r="T26" s="32" t="str">
        <f t="shared" si="4"/>
        <v>OK</v>
      </c>
      <c r="U26" s="33"/>
      <c r="V26" s="33"/>
      <c r="W26" s="96">
        <v>250</v>
      </c>
      <c r="X26" s="34"/>
      <c r="Y26" s="34"/>
      <c r="Z26" s="45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>
        <v>500</v>
      </c>
      <c r="AS26" s="34"/>
      <c r="AT26" s="34"/>
      <c r="AU26" s="34"/>
      <c r="AV26" s="34"/>
      <c r="AW26" s="34"/>
    </row>
    <row r="27" spans="1:49" ht="24" customHeight="1" x14ac:dyDescent="0.2">
      <c r="A27" s="194">
        <v>13</v>
      </c>
      <c r="B27" s="196" t="s">
        <v>65</v>
      </c>
      <c r="C27" s="26">
        <v>24</v>
      </c>
      <c r="D27" s="246" t="s">
        <v>66</v>
      </c>
      <c r="E27" s="28" t="s">
        <v>21</v>
      </c>
      <c r="F27" s="50" t="s">
        <v>16</v>
      </c>
      <c r="G27" s="29" t="s">
        <v>17</v>
      </c>
      <c r="H27" s="29" t="s">
        <v>44</v>
      </c>
      <c r="I27" s="28" t="s">
        <v>24</v>
      </c>
      <c r="J27" s="30">
        <v>0.33</v>
      </c>
      <c r="K27" s="31">
        <v>300</v>
      </c>
      <c r="L27" s="140">
        <f t="shared" si="0"/>
        <v>0</v>
      </c>
      <c r="M27" s="140">
        <f t="shared" si="1"/>
        <v>0</v>
      </c>
      <c r="N27" s="141">
        <v>-300</v>
      </c>
      <c r="O27" s="142">
        <f t="shared" si="2"/>
        <v>75</v>
      </c>
      <c r="P27" s="141"/>
      <c r="Q27" s="141"/>
      <c r="R27" s="141"/>
      <c r="S27" s="143">
        <f t="shared" si="3"/>
        <v>0</v>
      </c>
      <c r="T27" s="32" t="str">
        <f t="shared" si="4"/>
        <v>OK</v>
      </c>
      <c r="U27" s="33"/>
      <c r="V27" s="33"/>
      <c r="W27" s="45"/>
      <c r="X27" s="34"/>
      <c r="Y27" s="34"/>
      <c r="Z27" s="45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</row>
    <row r="28" spans="1:49" ht="30.2" customHeight="1" x14ac:dyDescent="0.2">
      <c r="A28" s="195"/>
      <c r="B28" s="197"/>
      <c r="C28" s="26">
        <v>25</v>
      </c>
      <c r="D28" s="247"/>
      <c r="E28" s="28" t="s">
        <v>22</v>
      </c>
      <c r="F28" s="50" t="s">
        <v>16</v>
      </c>
      <c r="G28" s="50" t="s">
        <v>17</v>
      </c>
      <c r="H28" s="29" t="s">
        <v>44</v>
      </c>
      <c r="I28" s="28" t="s">
        <v>24</v>
      </c>
      <c r="J28" s="30">
        <v>0.15</v>
      </c>
      <c r="K28" s="31">
        <v>9800</v>
      </c>
      <c r="L28" s="140">
        <f t="shared" si="0"/>
        <v>2000</v>
      </c>
      <c r="M28" s="140">
        <f t="shared" si="1"/>
        <v>2000</v>
      </c>
      <c r="N28" s="141">
        <v>-5000</v>
      </c>
      <c r="O28" s="142">
        <f t="shared" si="2"/>
        <v>2450</v>
      </c>
      <c r="P28" s="141"/>
      <c r="Q28" s="141"/>
      <c r="R28" s="141"/>
      <c r="S28" s="143">
        <f t="shared" si="3"/>
        <v>2800</v>
      </c>
      <c r="T28" s="32" t="str">
        <f t="shared" si="4"/>
        <v>OK</v>
      </c>
      <c r="U28" s="33"/>
      <c r="V28" s="33"/>
      <c r="W28" s="45"/>
      <c r="X28" s="34"/>
      <c r="Y28" s="34"/>
      <c r="Z28" s="45"/>
      <c r="AA28" s="34"/>
      <c r="AB28" s="34"/>
      <c r="AC28" s="34"/>
      <c r="AD28" s="34"/>
      <c r="AE28" s="34"/>
      <c r="AF28" s="34"/>
      <c r="AG28" s="34"/>
      <c r="AH28" s="34">
        <v>2000</v>
      </c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</row>
    <row r="29" spans="1:49" ht="26.45" customHeight="1" x14ac:dyDescent="0.2">
      <c r="A29" s="188">
        <v>14</v>
      </c>
      <c r="B29" s="190" t="s">
        <v>65</v>
      </c>
      <c r="C29" s="40">
        <v>26</v>
      </c>
      <c r="D29" s="192" t="s">
        <v>67</v>
      </c>
      <c r="E29" s="66" t="s">
        <v>21</v>
      </c>
      <c r="F29" s="44" t="s">
        <v>16</v>
      </c>
      <c r="G29" s="44" t="s">
        <v>17</v>
      </c>
      <c r="H29" s="41" t="s">
        <v>44</v>
      </c>
      <c r="I29" s="39" t="s">
        <v>24</v>
      </c>
      <c r="J29" s="42">
        <v>0.33</v>
      </c>
      <c r="K29" s="31">
        <v>0</v>
      </c>
      <c r="L29" s="140">
        <f t="shared" si="0"/>
        <v>0</v>
      </c>
      <c r="M29" s="140">
        <f t="shared" si="1"/>
        <v>0</v>
      </c>
      <c r="N29" s="141"/>
      <c r="O29" s="142">
        <f t="shared" si="2"/>
        <v>0</v>
      </c>
      <c r="P29" s="141"/>
      <c r="Q29" s="141"/>
      <c r="R29" s="141"/>
      <c r="S29" s="143">
        <f t="shared" si="3"/>
        <v>0</v>
      </c>
      <c r="T29" s="32" t="str">
        <f t="shared" si="4"/>
        <v>OK</v>
      </c>
      <c r="U29" s="33"/>
      <c r="V29" s="33"/>
      <c r="W29" s="45"/>
      <c r="X29" s="34"/>
      <c r="Y29" s="34"/>
      <c r="Z29" s="45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</row>
    <row r="30" spans="1:49" ht="33.950000000000003" customHeight="1" x14ac:dyDescent="0.2">
      <c r="A30" s="189"/>
      <c r="B30" s="191"/>
      <c r="C30" s="40">
        <v>27</v>
      </c>
      <c r="D30" s="193"/>
      <c r="E30" s="66" t="s">
        <v>22</v>
      </c>
      <c r="F30" s="44" t="s">
        <v>16</v>
      </c>
      <c r="G30" s="44" t="s">
        <v>17</v>
      </c>
      <c r="H30" s="41" t="s">
        <v>44</v>
      </c>
      <c r="I30" s="39" t="s">
        <v>24</v>
      </c>
      <c r="J30" s="42">
        <v>0.23</v>
      </c>
      <c r="K30" s="31">
        <v>10000</v>
      </c>
      <c r="L30" s="140">
        <f t="shared" si="0"/>
        <v>0</v>
      </c>
      <c r="M30" s="140">
        <f t="shared" si="1"/>
        <v>0</v>
      </c>
      <c r="N30" s="141"/>
      <c r="O30" s="142">
        <f t="shared" si="2"/>
        <v>2500</v>
      </c>
      <c r="P30" s="141"/>
      <c r="Q30" s="141"/>
      <c r="R30" s="141"/>
      <c r="S30" s="143">
        <f t="shared" si="3"/>
        <v>10000</v>
      </c>
      <c r="T30" s="32" t="str">
        <f t="shared" si="4"/>
        <v>OK</v>
      </c>
      <c r="U30" s="33"/>
      <c r="V30" s="33"/>
      <c r="W30" s="45"/>
      <c r="X30" s="34"/>
      <c r="Y30" s="34"/>
      <c r="Z30" s="45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</row>
    <row r="31" spans="1:49" ht="27" customHeight="1" x14ac:dyDescent="0.2">
      <c r="A31" s="194">
        <v>15</v>
      </c>
      <c r="B31" s="196" t="s">
        <v>31</v>
      </c>
      <c r="C31" s="68">
        <v>28</v>
      </c>
      <c r="D31" s="198" t="s">
        <v>68</v>
      </c>
      <c r="E31" s="28" t="s">
        <v>21</v>
      </c>
      <c r="F31" s="50" t="s">
        <v>16</v>
      </c>
      <c r="G31" s="50" t="s">
        <v>17</v>
      </c>
      <c r="H31" s="29" t="s">
        <v>44</v>
      </c>
      <c r="I31" s="28" t="s">
        <v>24</v>
      </c>
      <c r="J31" s="30">
        <v>0.4</v>
      </c>
      <c r="K31" s="31">
        <v>600</v>
      </c>
      <c r="L31" s="140">
        <f t="shared" si="0"/>
        <v>600</v>
      </c>
      <c r="M31" s="140">
        <f t="shared" si="1"/>
        <v>600</v>
      </c>
      <c r="N31" s="141"/>
      <c r="O31" s="142">
        <f t="shared" si="2"/>
        <v>150</v>
      </c>
      <c r="P31" s="141"/>
      <c r="Q31" s="141"/>
      <c r="R31" s="141"/>
      <c r="S31" s="143">
        <f t="shared" si="3"/>
        <v>0</v>
      </c>
      <c r="T31" s="32" t="str">
        <f t="shared" si="4"/>
        <v>OK</v>
      </c>
      <c r="U31" s="33"/>
      <c r="V31" s="35"/>
      <c r="W31" s="45"/>
      <c r="X31" s="36"/>
      <c r="Y31" s="34"/>
      <c r="Z31" s="45"/>
      <c r="AA31" s="34"/>
      <c r="AB31" s="34"/>
      <c r="AC31" s="34"/>
      <c r="AD31" s="34"/>
      <c r="AE31" s="34"/>
      <c r="AF31" s="34">
        <v>200</v>
      </c>
      <c r="AG31" s="34"/>
      <c r="AH31" s="34"/>
      <c r="AI31" s="34"/>
      <c r="AJ31" s="34"/>
      <c r="AK31" s="34"/>
      <c r="AL31" s="34"/>
      <c r="AM31" s="34"/>
      <c r="AN31" s="34"/>
      <c r="AO31" s="34">
        <v>300</v>
      </c>
      <c r="AP31" s="34"/>
      <c r="AQ31" s="34"/>
      <c r="AR31" s="34"/>
      <c r="AS31" s="34"/>
      <c r="AT31" s="34"/>
      <c r="AU31" s="34">
        <v>100</v>
      </c>
      <c r="AV31" s="34"/>
      <c r="AW31" s="34"/>
    </row>
    <row r="32" spans="1:49" ht="29.25" customHeight="1" x14ac:dyDescent="0.2">
      <c r="A32" s="195"/>
      <c r="B32" s="197"/>
      <c r="C32" s="26">
        <v>29</v>
      </c>
      <c r="D32" s="198"/>
      <c r="E32" s="28" t="s">
        <v>22</v>
      </c>
      <c r="F32" s="50" t="s">
        <v>16</v>
      </c>
      <c r="G32" s="50" t="s">
        <v>17</v>
      </c>
      <c r="H32" s="29" t="s">
        <v>44</v>
      </c>
      <c r="I32" s="28" t="s">
        <v>24</v>
      </c>
      <c r="J32" s="30">
        <v>0.44</v>
      </c>
      <c r="K32" s="31">
        <v>9000</v>
      </c>
      <c r="L32" s="140">
        <f t="shared" si="0"/>
        <v>9000</v>
      </c>
      <c r="M32" s="140">
        <f t="shared" si="1"/>
        <v>9000</v>
      </c>
      <c r="N32" s="141"/>
      <c r="O32" s="142">
        <f t="shared" si="2"/>
        <v>2250</v>
      </c>
      <c r="P32" s="141"/>
      <c r="Q32" s="141"/>
      <c r="R32" s="141"/>
      <c r="S32" s="143">
        <f t="shared" si="3"/>
        <v>0</v>
      </c>
      <c r="T32" s="32" t="str">
        <f t="shared" si="4"/>
        <v>OK</v>
      </c>
      <c r="U32" s="33"/>
      <c r="V32" s="96">
        <v>1200</v>
      </c>
      <c r="W32" s="34"/>
      <c r="X32" s="34"/>
      <c r="Y32" s="108">
        <v>1001</v>
      </c>
      <c r="Z32" s="34"/>
      <c r="AA32" s="34"/>
      <c r="AB32" s="34"/>
      <c r="AC32" s="34">
        <v>1001</v>
      </c>
      <c r="AD32" s="34">
        <v>3000</v>
      </c>
      <c r="AE32" s="34">
        <v>2000</v>
      </c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>
        <v>798</v>
      </c>
      <c r="AR32" s="34"/>
      <c r="AS32" s="34"/>
      <c r="AT32" s="34"/>
      <c r="AU32" s="34"/>
      <c r="AV32" s="34"/>
      <c r="AW32" s="34"/>
    </row>
    <row r="33" spans="11:49" x14ac:dyDescent="0.2">
      <c r="K33" s="56">
        <f>SUM(K4:K32)</f>
        <v>34998</v>
      </c>
      <c r="S33" s="56">
        <f t="shared" ref="S33" si="5">SUM(S4:S32)</f>
        <v>15990</v>
      </c>
      <c r="U33" s="110">
        <f>SUMPRODUCT($J$4:$J$32,U4:U32)</f>
        <v>387.52</v>
      </c>
      <c r="V33" s="110">
        <f t="shared" ref="V33:AV33" si="6">SUMPRODUCT($J$4:$J$32,V4:V32)</f>
        <v>528</v>
      </c>
      <c r="W33" s="110">
        <f t="shared" si="6"/>
        <v>300</v>
      </c>
      <c r="X33" s="110">
        <f t="shared" si="6"/>
        <v>658.2</v>
      </c>
      <c r="Y33" s="110">
        <f t="shared" si="6"/>
        <v>521.44000000000005</v>
      </c>
      <c r="Z33" s="110">
        <f t="shared" si="6"/>
        <v>261.5</v>
      </c>
      <c r="AA33" s="110">
        <f t="shared" si="6"/>
        <v>320.45</v>
      </c>
      <c r="AB33" s="110">
        <f t="shared" si="6"/>
        <v>324</v>
      </c>
      <c r="AC33" s="110">
        <f t="shared" si="6"/>
        <v>480.94</v>
      </c>
      <c r="AD33" s="110">
        <f t="shared" si="6"/>
        <v>1401</v>
      </c>
      <c r="AE33" s="110">
        <f t="shared" si="6"/>
        <v>880</v>
      </c>
      <c r="AF33" s="110">
        <f t="shared" si="6"/>
        <v>237.95</v>
      </c>
      <c r="AG33" s="110">
        <f t="shared" si="6"/>
        <v>60.8</v>
      </c>
      <c r="AH33" s="110">
        <f t="shared" si="6"/>
        <v>300</v>
      </c>
      <c r="AI33" s="110">
        <f t="shared" si="6"/>
        <v>61.4</v>
      </c>
      <c r="AJ33" s="110">
        <f t="shared" si="6"/>
        <v>729</v>
      </c>
      <c r="AK33" s="110">
        <f t="shared" si="6"/>
        <v>83.6</v>
      </c>
      <c r="AL33" s="110">
        <f t="shared" si="6"/>
        <v>311.79999999999995</v>
      </c>
      <c r="AM33" s="110">
        <f t="shared" si="6"/>
        <v>60.8</v>
      </c>
      <c r="AN33" s="110">
        <f t="shared" si="6"/>
        <v>60.8</v>
      </c>
      <c r="AO33" s="110">
        <f t="shared" si="6"/>
        <v>120</v>
      </c>
      <c r="AP33" s="110">
        <f t="shared" si="6"/>
        <v>162</v>
      </c>
      <c r="AQ33" s="110">
        <f t="shared" si="6"/>
        <v>473.92</v>
      </c>
      <c r="AR33" s="110">
        <f t="shared" si="6"/>
        <v>600</v>
      </c>
      <c r="AS33" s="110">
        <f t="shared" si="6"/>
        <v>4197.66</v>
      </c>
      <c r="AT33" s="110">
        <f t="shared" si="6"/>
        <v>423</v>
      </c>
      <c r="AU33" s="110">
        <f t="shared" si="6"/>
        <v>447.5</v>
      </c>
      <c r="AV33" s="110">
        <f t="shared" si="6"/>
        <v>372</v>
      </c>
      <c r="AW33" s="110"/>
    </row>
    <row r="34" spans="11:49" x14ac:dyDescent="0.2">
      <c r="K34" s="148">
        <f>SUMPRODUCT($J$4:$J$32,K4:K32)</f>
        <v>53605.13</v>
      </c>
      <c r="L34" s="148">
        <f t="shared" ref="L34:M34" si="7">SUMPRODUCT($J$4:$J$32,L4:L32)</f>
        <v>14765.279999999999</v>
      </c>
      <c r="M34" s="148">
        <f t="shared" si="7"/>
        <v>14765.279999999999</v>
      </c>
      <c r="Y34" s="72"/>
      <c r="Z34" s="72"/>
      <c r="AA34" s="72"/>
      <c r="AC34" s="72"/>
      <c r="AD34" s="72"/>
      <c r="AE34" s="72"/>
      <c r="AF34" s="72"/>
      <c r="AI34" s="72"/>
      <c r="AL34" s="72"/>
      <c r="AQ34" s="72"/>
      <c r="AS34" s="72"/>
      <c r="AU34" s="72"/>
    </row>
    <row r="35" spans="11:49" x14ac:dyDescent="0.2">
      <c r="Y35" s="72"/>
      <c r="Z35" s="72"/>
      <c r="AA35" s="72"/>
      <c r="AC35" s="72"/>
      <c r="AD35" s="72"/>
      <c r="AE35" s="72"/>
      <c r="AF35" s="72"/>
      <c r="AI35" s="72"/>
      <c r="AL35" s="72"/>
      <c r="AQ35" s="72"/>
      <c r="AS35" s="72"/>
      <c r="AU35" s="72"/>
    </row>
    <row r="36" spans="11:49" x14ac:dyDescent="0.2">
      <c r="AA36" s="72"/>
      <c r="AE36" s="72"/>
      <c r="AF36" s="72"/>
      <c r="AQ36" s="72"/>
      <c r="AS36" s="72"/>
      <c r="AU36" s="72"/>
    </row>
    <row r="37" spans="11:49" x14ac:dyDescent="0.2">
      <c r="AE37" s="72"/>
      <c r="AS37" s="72"/>
    </row>
    <row r="38" spans="11:49" x14ac:dyDescent="0.2">
      <c r="AE38" s="72"/>
      <c r="AS38" s="72"/>
    </row>
  </sheetData>
  <mergeCells count="64">
    <mergeCell ref="W1:W2"/>
    <mergeCell ref="A1:C1"/>
    <mergeCell ref="D1:J1"/>
    <mergeCell ref="K1:T1"/>
    <mergeCell ref="U1:U2"/>
    <mergeCell ref="V1:V2"/>
    <mergeCell ref="K2:T2"/>
    <mergeCell ref="A2:J2"/>
    <mergeCell ref="AW1:A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4:A8"/>
    <mergeCell ref="B4:B8"/>
    <mergeCell ref="D4:D8"/>
    <mergeCell ref="A9:A10"/>
    <mergeCell ref="B9:B10"/>
    <mergeCell ref="D9:D10"/>
    <mergeCell ref="A11:A13"/>
    <mergeCell ref="B11:B13"/>
    <mergeCell ref="D11:D13"/>
    <mergeCell ref="A14:A15"/>
    <mergeCell ref="B14:B15"/>
    <mergeCell ref="D14:D15"/>
    <mergeCell ref="A19:A20"/>
    <mergeCell ref="B19:B20"/>
    <mergeCell ref="D19:D20"/>
    <mergeCell ref="A23:A24"/>
    <mergeCell ref="B23:B24"/>
    <mergeCell ref="D23:D24"/>
    <mergeCell ref="A25:A26"/>
    <mergeCell ref="B25:B26"/>
    <mergeCell ref="D25:D26"/>
    <mergeCell ref="A27:A28"/>
    <mergeCell ref="B27:B28"/>
    <mergeCell ref="D27:D28"/>
    <mergeCell ref="A29:A30"/>
    <mergeCell ref="B29:B30"/>
    <mergeCell ref="D29:D30"/>
    <mergeCell ref="A31:A32"/>
    <mergeCell ref="B31:B32"/>
    <mergeCell ref="D31:D3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</mergeCells>
  <conditionalFormatting sqref="Z4:AV32">
    <cfRule type="cellIs" dxfId="20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6534C-52B6-4BE0-835F-4154B1C1E9A5}">
  <dimension ref="A1:AI39"/>
  <sheetViews>
    <sheetView topLeftCell="A19" zoomScale="90" zoomScaleNormal="90" workbookViewId="0">
      <selection activeCell="M43" sqref="M43"/>
    </sheetView>
  </sheetViews>
  <sheetFormatPr defaultColWidth="9.7109375" defaultRowHeight="12.75" x14ac:dyDescent="0.2"/>
  <cols>
    <col min="1" max="1" width="7.7109375" style="53" customWidth="1"/>
    <col min="2" max="2" width="13.5703125" style="53" customWidth="1"/>
    <col min="3" max="3" width="5.5703125" style="53" bestFit="1" customWidth="1"/>
    <col min="4" max="4" width="20.85546875" style="54" customWidth="1"/>
    <col min="5" max="5" width="10.85546875" style="53" bestFit="1" customWidth="1"/>
    <col min="6" max="6" width="12.28515625" style="53" customWidth="1"/>
    <col min="7" max="7" width="12" style="53" customWidth="1"/>
    <col min="8" max="8" width="14.85546875" style="53" customWidth="1"/>
    <col min="9" max="9" width="9.42578125" style="53" customWidth="1"/>
    <col min="10" max="10" width="12.7109375" style="55" bestFit="1" customWidth="1"/>
    <col min="11" max="11" width="13.28515625" style="56" customWidth="1"/>
    <col min="12" max="13" width="14" style="56" bestFit="1" customWidth="1"/>
    <col min="14" max="14" width="12.85546875" style="56" customWidth="1"/>
    <col min="15" max="15" width="14" style="56" bestFit="1" customWidth="1"/>
    <col min="16" max="18" width="10.140625" style="56" customWidth="1"/>
    <col min="19" max="19" width="10.28515625" style="57" customWidth="1"/>
    <col min="20" max="20" width="12.5703125" style="58" customWidth="1"/>
    <col min="21" max="22" width="14" style="60" customWidth="1"/>
    <col min="23" max="27" width="14" style="18" customWidth="1"/>
    <col min="28" max="35" width="13.7109375" style="18" customWidth="1"/>
    <col min="36" max="16384" width="9.7109375" style="18"/>
  </cols>
  <sheetData>
    <row r="1" spans="1:35" ht="34.5" customHeight="1" x14ac:dyDescent="0.2">
      <c r="A1" s="219" t="s">
        <v>69</v>
      </c>
      <c r="B1" s="220"/>
      <c r="C1" s="221"/>
      <c r="D1" s="220" t="s">
        <v>32</v>
      </c>
      <c r="E1" s="220"/>
      <c r="F1" s="220"/>
      <c r="G1" s="220"/>
      <c r="H1" s="220"/>
      <c r="I1" s="220"/>
      <c r="J1" s="221"/>
      <c r="K1" s="222" t="s">
        <v>33</v>
      </c>
      <c r="L1" s="223"/>
      <c r="M1" s="223"/>
      <c r="N1" s="223"/>
      <c r="O1" s="223"/>
      <c r="P1" s="223"/>
      <c r="Q1" s="223"/>
      <c r="R1" s="223"/>
      <c r="S1" s="223"/>
      <c r="T1" s="224"/>
      <c r="U1" s="234" t="s">
        <v>140</v>
      </c>
      <c r="V1" s="234" t="s">
        <v>141</v>
      </c>
      <c r="W1" s="234" t="s">
        <v>142</v>
      </c>
      <c r="X1" s="234" t="s">
        <v>143</v>
      </c>
      <c r="Y1" s="234" t="s">
        <v>144</v>
      </c>
      <c r="Z1" s="234" t="s">
        <v>145</v>
      </c>
      <c r="AA1" s="234" t="s">
        <v>146</v>
      </c>
      <c r="AB1" s="234" t="s">
        <v>147</v>
      </c>
      <c r="AC1" s="234" t="s">
        <v>148</v>
      </c>
      <c r="AD1" s="234" t="s">
        <v>280</v>
      </c>
      <c r="AE1" s="234" t="s">
        <v>281</v>
      </c>
      <c r="AF1" s="218" t="s">
        <v>30</v>
      </c>
      <c r="AG1" s="218" t="s">
        <v>30</v>
      </c>
      <c r="AH1" s="218" t="s">
        <v>30</v>
      </c>
      <c r="AI1" s="218" t="s">
        <v>30</v>
      </c>
    </row>
    <row r="2" spans="1:35" ht="12.75" customHeight="1" x14ac:dyDescent="0.2">
      <c r="A2" s="219" t="s">
        <v>80</v>
      </c>
      <c r="B2" s="220"/>
      <c r="C2" s="220"/>
      <c r="D2" s="220"/>
      <c r="E2" s="220"/>
      <c r="F2" s="220"/>
      <c r="G2" s="220"/>
      <c r="H2" s="220"/>
      <c r="I2" s="220"/>
      <c r="J2" s="221"/>
      <c r="K2" s="225" t="s">
        <v>91</v>
      </c>
      <c r="L2" s="226"/>
      <c r="M2" s="226"/>
      <c r="N2" s="226"/>
      <c r="O2" s="226"/>
      <c r="P2" s="226"/>
      <c r="Q2" s="226"/>
      <c r="R2" s="226"/>
      <c r="S2" s="226"/>
      <c r="T2" s="227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18"/>
      <c r="AG2" s="218"/>
      <c r="AH2" s="218"/>
      <c r="AI2" s="218"/>
    </row>
    <row r="3" spans="1:35" s="25" customFormat="1" ht="38.25" x14ac:dyDescent="0.2">
      <c r="A3" s="19" t="s">
        <v>5</v>
      </c>
      <c r="B3" s="19" t="s">
        <v>18</v>
      </c>
      <c r="C3" s="69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43</v>
      </c>
      <c r="I3" s="20" t="s">
        <v>4</v>
      </c>
      <c r="J3" s="21" t="s">
        <v>28</v>
      </c>
      <c r="K3" s="22" t="s">
        <v>6</v>
      </c>
      <c r="L3" s="145" t="s">
        <v>185</v>
      </c>
      <c r="M3" s="145" t="s">
        <v>186</v>
      </c>
      <c r="N3" s="145" t="s">
        <v>187</v>
      </c>
      <c r="O3" s="145" t="s">
        <v>188</v>
      </c>
      <c r="P3" s="145" t="s">
        <v>189</v>
      </c>
      <c r="Q3" s="145" t="s">
        <v>190</v>
      </c>
      <c r="R3" s="145" t="s">
        <v>191</v>
      </c>
      <c r="S3" s="146" t="s">
        <v>0</v>
      </c>
      <c r="T3" s="23" t="s">
        <v>2</v>
      </c>
      <c r="U3" s="101">
        <v>45376</v>
      </c>
      <c r="V3" s="101">
        <v>45378</v>
      </c>
      <c r="W3" s="101">
        <v>45378</v>
      </c>
      <c r="X3" s="101">
        <v>45383</v>
      </c>
      <c r="Y3" s="101">
        <v>45399</v>
      </c>
      <c r="Z3" s="101">
        <v>45399</v>
      </c>
      <c r="AA3" s="101">
        <v>45406</v>
      </c>
      <c r="AB3" s="101">
        <v>45421</v>
      </c>
      <c r="AC3" s="101">
        <v>45467</v>
      </c>
      <c r="AD3" s="101">
        <v>45568</v>
      </c>
      <c r="AE3" s="101">
        <v>45580</v>
      </c>
      <c r="AF3" s="24" t="s">
        <v>1</v>
      </c>
      <c r="AG3" s="24" t="s">
        <v>1</v>
      </c>
      <c r="AH3" s="24" t="s">
        <v>1</v>
      </c>
      <c r="AI3" s="24" t="s">
        <v>1</v>
      </c>
    </row>
    <row r="4" spans="1:35" ht="23.25" customHeight="1" x14ac:dyDescent="0.2">
      <c r="A4" s="203">
        <v>1</v>
      </c>
      <c r="B4" s="196" t="s">
        <v>31</v>
      </c>
      <c r="C4" s="26">
        <v>1</v>
      </c>
      <c r="D4" s="201" t="s">
        <v>34</v>
      </c>
      <c r="E4" s="28" t="s">
        <v>35</v>
      </c>
      <c r="F4" s="29" t="s">
        <v>16</v>
      </c>
      <c r="G4" s="29" t="s">
        <v>17</v>
      </c>
      <c r="H4" s="29" t="s">
        <v>44</v>
      </c>
      <c r="I4" s="28" t="s">
        <v>24</v>
      </c>
      <c r="J4" s="30">
        <v>12.15</v>
      </c>
      <c r="K4" s="31">
        <v>100</v>
      </c>
      <c r="L4" s="140">
        <f t="shared" ref="L4:L32" si="0">IF(SUM(U4:AL4)&gt;K4+N4,K4+N4,SUM(U4:AL4))</f>
        <v>0</v>
      </c>
      <c r="M4" s="140">
        <f t="shared" ref="M4:M32" si="1">(SUM(U4:AL4))</f>
        <v>0</v>
      </c>
      <c r="N4" s="141"/>
      <c r="O4" s="142">
        <f t="shared" ref="O4:O32" si="2">ROUND(IF(K4*0.25-0.5&lt;0,0,K4*0.25-0.5),0)-R4-P4</f>
        <v>25</v>
      </c>
      <c r="P4" s="141"/>
      <c r="Q4" s="141"/>
      <c r="R4" s="141"/>
      <c r="S4" s="143">
        <f t="shared" ref="S4:S32" si="3">K4+N4+P4+Q4-M4</f>
        <v>100</v>
      </c>
      <c r="T4" s="32" t="str">
        <f t="shared" ref="T4:T32" si="4">IF(S4&lt;0,"ATENÇÃO","OK")</f>
        <v>OK</v>
      </c>
      <c r="U4" s="33"/>
      <c r="V4" s="33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</row>
    <row r="5" spans="1:35" ht="26.45" customHeight="1" x14ac:dyDescent="0.2">
      <c r="A5" s="204"/>
      <c r="B5" s="206"/>
      <c r="C5" s="26">
        <v>2</v>
      </c>
      <c r="D5" s="207"/>
      <c r="E5" s="28" t="s">
        <v>36</v>
      </c>
      <c r="F5" s="29" t="s">
        <v>16</v>
      </c>
      <c r="G5" s="29" t="s">
        <v>17</v>
      </c>
      <c r="H5" s="29" t="s">
        <v>44</v>
      </c>
      <c r="I5" s="28" t="s">
        <v>24</v>
      </c>
      <c r="J5" s="30">
        <v>40.5</v>
      </c>
      <c r="K5" s="31">
        <v>50</v>
      </c>
      <c r="L5" s="140">
        <f t="shared" si="0"/>
        <v>0</v>
      </c>
      <c r="M5" s="140">
        <f t="shared" si="1"/>
        <v>0</v>
      </c>
      <c r="N5" s="141"/>
      <c r="O5" s="142">
        <f t="shared" si="2"/>
        <v>12</v>
      </c>
      <c r="P5" s="141"/>
      <c r="Q5" s="141"/>
      <c r="R5" s="141"/>
      <c r="S5" s="143">
        <f t="shared" si="3"/>
        <v>50</v>
      </c>
      <c r="T5" s="32" t="str">
        <f t="shared" si="4"/>
        <v>OK</v>
      </c>
      <c r="U5" s="33"/>
      <c r="V5" s="33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</row>
    <row r="6" spans="1:35" ht="24" customHeight="1" x14ac:dyDescent="0.2">
      <c r="A6" s="204"/>
      <c r="B6" s="206"/>
      <c r="C6" s="26">
        <v>3</v>
      </c>
      <c r="D6" s="207"/>
      <c r="E6" s="28" t="s">
        <v>37</v>
      </c>
      <c r="F6" s="29" t="s">
        <v>16</v>
      </c>
      <c r="G6" s="29" t="s">
        <v>17</v>
      </c>
      <c r="H6" s="29" t="s">
        <v>44</v>
      </c>
      <c r="I6" s="28" t="s">
        <v>24</v>
      </c>
      <c r="J6" s="30">
        <v>49.5</v>
      </c>
      <c r="K6" s="31">
        <f>50</f>
        <v>50</v>
      </c>
      <c r="L6" s="140">
        <f t="shared" si="0"/>
        <v>16</v>
      </c>
      <c r="M6" s="140">
        <f t="shared" si="1"/>
        <v>16</v>
      </c>
      <c r="N6" s="141">
        <v>1</v>
      </c>
      <c r="O6" s="142">
        <f t="shared" si="2"/>
        <v>12</v>
      </c>
      <c r="P6" s="141"/>
      <c r="Q6" s="141"/>
      <c r="R6" s="141"/>
      <c r="S6" s="143">
        <f t="shared" si="3"/>
        <v>35</v>
      </c>
      <c r="T6" s="32" t="str">
        <f t="shared" si="4"/>
        <v>OK</v>
      </c>
      <c r="U6" s="36"/>
      <c r="V6" s="90">
        <v>15</v>
      </c>
      <c r="W6" s="36"/>
      <c r="X6" s="34"/>
      <c r="Y6" s="34"/>
      <c r="Z6" s="34"/>
      <c r="AA6" s="34"/>
      <c r="AB6" s="34"/>
      <c r="AC6" s="34"/>
      <c r="AD6" s="34"/>
      <c r="AE6" s="90">
        <v>1</v>
      </c>
      <c r="AF6" s="34"/>
      <c r="AG6" s="34"/>
      <c r="AH6" s="34"/>
      <c r="AI6" s="34"/>
    </row>
    <row r="7" spans="1:35" ht="24" customHeight="1" x14ac:dyDescent="0.2">
      <c r="A7" s="204"/>
      <c r="B7" s="206"/>
      <c r="C7" s="26">
        <v>4</v>
      </c>
      <c r="D7" s="207"/>
      <c r="E7" s="28" t="s">
        <v>38</v>
      </c>
      <c r="F7" s="29" t="s">
        <v>16</v>
      </c>
      <c r="G7" s="29" t="s">
        <v>17</v>
      </c>
      <c r="H7" s="29" t="s">
        <v>44</v>
      </c>
      <c r="I7" s="28" t="s">
        <v>24</v>
      </c>
      <c r="J7" s="30">
        <v>53</v>
      </c>
      <c r="K7" s="31">
        <v>20</v>
      </c>
      <c r="L7" s="140">
        <f t="shared" si="0"/>
        <v>5</v>
      </c>
      <c r="M7" s="140">
        <f t="shared" si="1"/>
        <v>5</v>
      </c>
      <c r="N7" s="141"/>
      <c r="O7" s="142">
        <f t="shared" si="2"/>
        <v>5</v>
      </c>
      <c r="P7" s="141"/>
      <c r="Q7" s="141"/>
      <c r="R7" s="141"/>
      <c r="S7" s="143">
        <f t="shared" si="3"/>
        <v>15</v>
      </c>
      <c r="T7" s="32" t="str">
        <f t="shared" si="4"/>
        <v>OK</v>
      </c>
      <c r="U7" s="36"/>
      <c r="V7" s="90">
        <v>4</v>
      </c>
      <c r="W7" s="34"/>
      <c r="X7" s="34"/>
      <c r="Y7" s="34"/>
      <c r="Z7" s="34"/>
      <c r="AA7" s="115">
        <v>1</v>
      </c>
      <c r="AB7" s="34"/>
      <c r="AC7" s="34"/>
      <c r="AD7" s="34"/>
      <c r="AE7" s="34"/>
      <c r="AF7" s="34"/>
      <c r="AG7" s="34"/>
      <c r="AH7" s="34"/>
      <c r="AI7" s="34"/>
    </row>
    <row r="8" spans="1:35" ht="19.5" customHeight="1" x14ac:dyDescent="0.2">
      <c r="A8" s="205"/>
      <c r="B8" s="197"/>
      <c r="C8" s="91">
        <v>5</v>
      </c>
      <c r="D8" s="202"/>
      <c r="E8" s="92" t="s">
        <v>39</v>
      </c>
      <c r="F8" s="93" t="s">
        <v>16</v>
      </c>
      <c r="G8" s="93" t="s">
        <v>17</v>
      </c>
      <c r="H8" s="93" t="s">
        <v>44</v>
      </c>
      <c r="I8" s="92" t="s">
        <v>24</v>
      </c>
      <c r="J8" s="94">
        <v>30.4</v>
      </c>
      <c r="K8" s="31">
        <f>20</f>
        <v>20</v>
      </c>
      <c r="L8" s="140">
        <f t="shared" si="0"/>
        <v>30</v>
      </c>
      <c r="M8" s="140">
        <f t="shared" si="1"/>
        <v>30</v>
      </c>
      <c r="N8" s="141">
        <v>10</v>
      </c>
      <c r="O8" s="142">
        <f t="shared" si="2"/>
        <v>5</v>
      </c>
      <c r="P8" s="141"/>
      <c r="Q8" s="141"/>
      <c r="R8" s="141"/>
      <c r="S8" s="143">
        <f t="shared" si="3"/>
        <v>0</v>
      </c>
      <c r="T8" s="32" t="str">
        <f t="shared" si="4"/>
        <v>OK</v>
      </c>
      <c r="U8" s="36"/>
      <c r="V8" s="90">
        <v>11</v>
      </c>
      <c r="W8" s="34"/>
      <c r="X8" s="34"/>
      <c r="Y8" s="34"/>
      <c r="Z8" s="179"/>
      <c r="AA8" s="115">
        <v>19</v>
      </c>
      <c r="AC8" s="34"/>
      <c r="AD8" s="34"/>
      <c r="AE8" s="34"/>
      <c r="AF8" s="34"/>
      <c r="AG8" s="34"/>
      <c r="AH8" s="34"/>
      <c r="AI8" s="34"/>
    </row>
    <row r="9" spans="1:35" ht="21.75" customHeight="1" x14ac:dyDescent="0.2">
      <c r="A9" s="216">
        <v>2</v>
      </c>
      <c r="B9" s="190" t="s">
        <v>31</v>
      </c>
      <c r="C9" s="40">
        <v>6</v>
      </c>
      <c r="D9" s="199" t="s">
        <v>40</v>
      </c>
      <c r="E9" s="39" t="s">
        <v>35</v>
      </c>
      <c r="F9" s="41" t="s">
        <v>16</v>
      </c>
      <c r="G9" s="41" t="s">
        <v>17</v>
      </c>
      <c r="H9" s="41" t="s">
        <v>44</v>
      </c>
      <c r="I9" s="39" t="s">
        <v>24</v>
      </c>
      <c r="J9" s="42">
        <v>14.21</v>
      </c>
      <c r="K9" s="31">
        <v>100</v>
      </c>
      <c r="L9" s="140">
        <f t="shared" si="0"/>
        <v>8</v>
      </c>
      <c r="M9" s="140">
        <f t="shared" si="1"/>
        <v>8</v>
      </c>
      <c r="N9" s="141"/>
      <c r="O9" s="142">
        <f t="shared" si="2"/>
        <v>25</v>
      </c>
      <c r="P9" s="141"/>
      <c r="Q9" s="141"/>
      <c r="R9" s="141"/>
      <c r="S9" s="143">
        <f t="shared" si="3"/>
        <v>92</v>
      </c>
      <c r="T9" s="32" t="str">
        <f t="shared" si="4"/>
        <v>OK</v>
      </c>
      <c r="U9" s="33"/>
      <c r="V9" s="33"/>
      <c r="W9" s="34"/>
      <c r="X9" s="34"/>
      <c r="Y9" s="34"/>
      <c r="Z9" s="34"/>
      <c r="AA9" s="115">
        <v>8</v>
      </c>
      <c r="AB9" s="34"/>
      <c r="AC9" s="34"/>
      <c r="AD9" s="34"/>
      <c r="AE9" s="34"/>
      <c r="AF9" s="34"/>
      <c r="AG9" s="34"/>
      <c r="AH9" s="34"/>
      <c r="AI9" s="34"/>
    </row>
    <row r="10" spans="1:35" ht="20.25" customHeight="1" x14ac:dyDescent="0.2">
      <c r="A10" s="217"/>
      <c r="B10" s="191"/>
      <c r="C10" s="40">
        <v>7</v>
      </c>
      <c r="D10" s="200"/>
      <c r="E10" s="39" t="s">
        <v>41</v>
      </c>
      <c r="F10" s="41" t="s">
        <v>16</v>
      </c>
      <c r="G10" s="41" t="s">
        <v>17</v>
      </c>
      <c r="H10" s="41" t="s">
        <v>44</v>
      </c>
      <c r="I10" s="39" t="s">
        <v>24</v>
      </c>
      <c r="J10" s="42">
        <v>20.9</v>
      </c>
      <c r="K10" s="31">
        <f>100</f>
        <v>100</v>
      </c>
      <c r="L10" s="140">
        <f t="shared" si="0"/>
        <v>120</v>
      </c>
      <c r="M10" s="140">
        <f t="shared" si="1"/>
        <v>120</v>
      </c>
      <c r="N10" s="141">
        <f>30+20</f>
        <v>50</v>
      </c>
      <c r="O10" s="142">
        <f t="shared" si="2"/>
        <v>25</v>
      </c>
      <c r="P10" s="141"/>
      <c r="Q10" s="141"/>
      <c r="R10" s="141"/>
      <c r="S10" s="143">
        <f t="shared" si="3"/>
        <v>30</v>
      </c>
      <c r="T10" s="32" t="str">
        <f t="shared" si="4"/>
        <v>OK</v>
      </c>
      <c r="U10" s="35"/>
      <c r="V10" s="33"/>
      <c r="W10" s="34"/>
      <c r="X10" s="34"/>
      <c r="Y10" s="34"/>
      <c r="Z10" s="34"/>
      <c r="AA10" s="115">
        <v>100</v>
      </c>
      <c r="AB10" s="34"/>
      <c r="AC10" s="34"/>
      <c r="AD10" s="179"/>
      <c r="AE10" s="90">
        <v>20</v>
      </c>
      <c r="AF10" s="34"/>
      <c r="AG10" s="34"/>
      <c r="AH10" s="34"/>
      <c r="AI10" s="34"/>
    </row>
    <row r="11" spans="1:35" ht="25.5" x14ac:dyDescent="0.2">
      <c r="A11" s="203">
        <v>3</v>
      </c>
      <c r="B11" s="196" t="s">
        <v>42</v>
      </c>
      <c r="C11" s="26">
        <v>8</v>
      </c>
      <c r="D11" s="201" t="s">
        <v>45</v>
      </c>
      <c r="E11" s="28" t="s">
        <v>46</v>
      </c>
      <c r="F11" s="29" t="s">
        <v>16</v>
      </c>
      <c r="G11" s="29" t="s">
        <v>17</v>
      </c>
      <c r="H11" s="29" t="s">
        <v>44</v>
      </c>
      <c r="I11" s="28" t="s">
        <v>24</v>
      </c>
      <c r="J11" s="30">
        <v>423</v>
      </c>
      <c r="K11" s="31">
        <v>20</v>
      </c>
      <c r="L11" s="140">
        <f t="shared" si="0"/>
        <v>2</v>
      </c>
      <c r="M11" s="140">
        <f t="shared" si="1"/>
        <v>2</v>
      </c>
      <c r="N11" s="141"/>
      <c r="O11" s="142">
        <f t="shared" si="2"/>
        <v>5</v>
      </c>
      <c r="P11" s="141"/>
      <c r="Q11" s="141"/>
      <c r="R11" s="141"/>
      <c r="S11" s="143">
        <f t="shared" si="3"/>
        <v>18</v>
      </c>
      <c r="T11" s="32" t="str">
        <f t="shared" si="4"/>
        <v>OK</v>
      </c>
      <c r="U11" s="33"/>
      <c r="V11" s="33"/>
      <c r="W11" s="34"/>
      <c r="X11" s="34"/>
      <c r="Y11" s="34"/>
      <c r="Z11" s="34"/>
      <c r="AA11" s="34"/>
      <c r="AB11" s="34"/>
      <c r="AC11" s="90">
        <v>2</v>
      </c>
      <c r="AD11" s="34"/>
      <c r="AE11" s="34"/>
      <c r="AF11" s="34"/>
      <c r="AG11" s="34"/>
      <c r="AH11" s="34"/>
      <c r="AI11" s="34"/>
    </row>
    <row r="12" spans="1:35" ht="21.2" customHeight="1" x14ac:dyDescent="0.2">
      <c r="A12" s="204"/>
      <c r="B12" s="206"/>
      <c r="C12" s="26">
        <v>9</v>
      </c>
      <c r="D12" s="207"/>
      <c r="E12" s="28" t="s">
        <v>47</v>
      </c>
      <c r="F12" s="29" t="s">
        <v>16</v>
      </c>
      <c r="G12" s="29" t="s">
        <v>17</v>
      </c>
      <c r="H12" s="29" t="s">
        <v>44</v>
      </c>
      <c r="I12" s="28" t="s">
        <v>24</v>
      </c>
      <c r="J12" s="30">
        <v>1613</v>
      </c>
      <c r="K12" s="31">
        <v>5</v>
      </c>
      <c r="L12" s="140">
        <f t="shared" si="0"/>
        <v>0</v>
      </c>
      <c r="M12" s="140">
        <f t="shared" si="1"/>
        <v>0</v>
      </c>
      <c r="N12" s="141"/>
      <c r="O12" s="142">
        <f t="shared" si="2"/>
        <v>1</v>
      </c>
      <c r="P12" s="141"/>
      <c r="Q12" s="141"/>
      <c r="R12" s="141"/>
      <c r="S12" s="143">
        <f t="shared" si="3"/>
        <v>5</v>
      </c>
      <c r="T12" s="32" t="str">
        <f t="shared" si="4"/>
        <v>OK</v>
      </c>
      <c r="U12" s="33"/>
      <c r="V12" s="33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</row>
    <row r="13" spans="1:35" ht="19.5" customHeight="1" x14ac:dyDescent="0.2">
      <c r="A13" s="205"/>
      <c r="B13" s="197"/>
      <c r="C13" s="26">
        <v>10</v>
      </c>
      <c r="D13" s="202"/>
      <c r="E13" s="28" t="s">
        <v>48</v>
      </c>
      <c r="F13" s="29" t="s">
        <v>16</v>
      </c>
      <c r="G13" s="29" t="s">
        <v>17</v>
      </c>
      <c r="H13" s="29" t="s">
        <v>44</v>
      </c>
      <c r="I13" s="28" t="s">
        <v>24</v>
      </c>
      <c r="J13" s="30">
        <v>1749</v>
      </c>
      <c r="K13" s="31">
        <v>5</v>
      </c>
      <c r="L13" s="140">
        <f t="shared" si="0"/>
        <v>0</v>
      </c>
      <c r="M13" s="140">
        <f t="shared" si="1"/>
        <v>0</v>
      </c>
      <c r="N13" s="141"/>
      <c r="O13" s="142">
        <f t="shared" si="2"/>
        <v>1</v>
      </c>
      <c r="P13" s="141"/>
      <c r="Q13" s="141"/>
      <c r="R13" s="141"/>
      <c r="S13" s="143">
        <f t="shared" si="3"/>
        <v>5</v>
      </c>
      <c r="T13" s="32" t="str">
        <f t="shared" si="4"/>
        <v>OK</v>
      </c>
      <c r="U13" s="33"/>
      <c r="V13" s="33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</row>
    <row r="14" spans="1:35" ht="25.15" customHeight="1" x14ac:dyDescent="0.2">
      <c r="A14" s="208">
        <v>4</v>
      </c>
      <c r="B14" s="209" t="s">
        <v>49</v>
      </c>
      <c r="C14" s="40">
        <v>11</v>
      </c>
      <c r="D14" s="211" t="s">
        <v>50</v>
      </c>
      <c r="E14" s="39" t="s">
        <v>51</v>
      </c>
      <c r="F14" s="41" t="s">
        <v>16</v>
      </c>
      <c r="G14" s="41" t="s">
        <v>17</v>
      </c>
      <c r="H14" s="41" t="s">
        <v>44</v>
      </c>
      <c r="I14" s="39" t="s">
        <v>53</v>
      </c>
      <c r="J14" s="42">
        <v>19.63</v>
      </c>
      <c r="K14" s="31">
        <v>50</v>
      </c>
      <c r="L14" s="140">
        <f t="shared" si="0"/>
        <v>50</v>
      </c>
      <c r="M14" s="140">
        <f t="shared" si="1"/>
        <v>50</v>
      </c>
      <c r="N14" s="141"/>
      <c r="O14" s="142">
        <f t="shared" si="2"/>
        <v>12</v>
      </c>
      <c r="P14" s="141"/>
      <c r="Q14" s="141"/>
      <c r="R14" s="141"/>
      <c r="S14" s="143">
        <f t="shared" si="3"/>
        <v>0</v>
      </c>
      <c r="T14" s="32" t="str">
        <f t="shared" si="4"/>
        <v>OK</v>
      </c>
      <c r="U14" s="33"/>
      <c r="V14" s="33"/>
      <c r="W14" s="34"/>
      <c r="X14" s="34"/>
      <c r="Y14" s="36"/>
      <c r="Z14" s="90">
        <v>50</v>
      </c>
      <c r="AA14" s="34"/>
      <c r="AB14" s="34"/>
      <c r="AC14" s="34"/>
      <c r="AD14" s="34"/>
      <c r="AE14" s="34"/>
      <c r="AF14" s="34"/>
      <c r="AG14" s="34"/>
      <c r="AH14" s="34"/>
      <c r="AI14" s="34"/>
    </row>
    <row r="15" spans="1:35" ht="22.7" customHeight="1" x14ac:dyDescent="0.2">
      <c r="A15" s="208"/>
      <c r="B15" s="210"/>
      <c r="C15" s="40">
        <v>12</v>
      </c>
      <c r="D15" s="212"/>
      <c r="E15" s="39" t="s">
        <v>52</v>
      </c>
      <c r="F15" s="41" t="s">
        <v>16</v>
      </c>
      <c r="G15" s="41" t="s">
        <v>17</v>
      </c>
      <c r="H15" s="41" t="s">
        <v>44</v>
      </c>
      <c r="I15" s="39" t="s">
        <v>24</v>
      </c>
      <c r="J15" s="42">
        <v>20.27</v>
      </c>
      <c r="K15" s="31">
        <v>50</v>
      </c>
      <c r="L15" s="140">
        <f t="shared" si="0"/>
        <v>50</v>
      </c>
      <c r="M15" s="140">
        <f t="shared" si="1"/>
        <v>50</v>
      </c>
      <c r="N15" s="141"/>
      <c r="O15" s="142">
        <f t="shared" si="2"/>
        <v>12</v>
      </c>
      <c r="P15" s="141"/>
      <c r="Q15" s="141"/>
      <c r="R15" s="141"/>
      <c r="S15" s="143">
        <f t="shared" si="3"/>
        <v>0</v>
      </c>
      <c r="T15" s="32" t="str">
        <f t="shared" si="4"/>
        <v>OK</v>
      </c>
      <c r="U15" s="33"/>
      <c r="V15" s="33"/>
      <c r="W15" s="34"/>
      <c r="X15" s="34"/>
      <c r="Y15" s="34"/>
      <c r="Z15" s="90">
        <v>50</v>
      </c>
      <c r="AA15" s="34"/>
      <c r="AB15" s="34"/>
      <c r="AC15" s="34"/>
      <c r="AD15" s="34"/>
      <c r="AE15" s="34"/>
      <c r="AF15" s="34"/>
      <c r="AG15" s="34"/>
      <c r="AH15" s="34"/>
      <c r="AI15" s="34"/>
    </row>
    <row r="16" spans="1:35" ht="45" customHeight="1" x14ac:dyDescent="0.2">
      <c r="A16" s="48">
        <v>5</v>
      </c>
      <c r="B16" s="28" t="s">
        <v>49</v>
      </c>
      <c r="C16" s="26">
        <v>13</v>
      </c>
      <c r="D16" s="49" t="s">
        <v>54</v>
      </c>
      <c r="E16" s="63" t="s">
        <v>55</v>
      </c>
      <c r="F16" s="50" t="s">
        <v>16</v>
      </c>
      <c r="G16" s="50" t="s">
        <v>17</v>
      </c>
      <c r="H16" s="29" t="s">
        <v>44</v>
      </c>
      <c r="I16" s="28" t="s">
        <v>53</v>
      </c>
      <c r="J16" s="30">
        <v>28.9</v>
      </c>
      <c r="K16" s="31">
        <v>50</v>
      </c>
      <c r="L16" s="140">
        <f t="shared" si="0"/>
        <v>50</v>
      </c>
      <c r="M16" s="140">
        <f t="shared" si="1"/>
        <v>50</v>
      </c>
      <c r="N16" s="141"/>
      <c r="O16" s="142">
        <f t="shared" si="2"/>
        <v>12</v>
      </c>
      <c r="P16" s="141"/>
      <c r="Q16" s="141"/>
      <c r="R16" s="141"/>
      <c r="S16" s="143">
        <f t="shared" si="3"/>
        <v>0</v>
      </c>
      <c r="T16" s="32" t="str">
        <f t="shared" si="4"/>
        <v>OK</v>
      </c>
      <c r="U16" s="90">
        <v>12</v>
      </c>
      <c r="V16" s="33"/>
      <c r="W16" s="34"/>
      <c r="X16" s="34"/>
      <c r="Y16" s="34"/>
      <c r="Z16" s="90">
        <v>38</v>
      </c>
      <c r="AA16" s="34"/>
      <c r="AB16" s="34"/>
      <c r="AC16" s="34"/>
      <c r="AD16" s="34"/>
      <c r="AE16" s="34"/>
      <c r="AF16" s="34"/>
      <c r="AG16" s="34"/>
      <c r="AH16" s="34"/>
      <c r="AI16" s="34"/>
    </row>
    <row r="17" spans="1:35" ht="50.25" customHeight="1" x14ac:dyDescent="0.2">
      <c r="A17" s="38">
        <v>6</v>
      </c>
      <c r="B17" s="47" t="s">
        <v>49</v>
      </c>
      <c r="C17" s="40">
        <v>14</v>
      </c>
      <c r="D17" s="47" t="s">
        <v>57</v>
      </c>
      <c r="E17" s="39" t="s">
        <v>56</v>
      </c>
      <c r="F17" s="41" t="s">
        <v>16</v>
      </c>
      <c r="G17" s="41" t="s">
        <v>17</v>
      </c>
      <c r="H17" s="41" t="s">
        <v>44</v>
      </c>
      <c r="I17" s="39" t="s">
        <v>24</v>
      </c>
      <c r="J17" s="42">
        <v>9.5</v>
      </c>
      <c r="K17" s="31">
        <v>120</v>
      </c>
      <c r="L17" s="140">
        <f t="shared" si="0"/>
        <v>120</v>
      </c>
      <c r="M17" s="140">
        <f t="shared" si="1"/>
        <v>120</v>
      </c>
      <c r="N17" s="141"/>
      <c r="O17" s="142">
        <f t="shared" si="2"/>
        <v>30</v>
      </c>
      <c r="P17" s="141"/>
      <c r="Q17" s="141"/>
      <c r="R17" s="141"/>
      <c r="S17" s="143">
        <f t="shared" si="3"/>
        <v>0</v>
      </c>
      <c r="T17" s="32" t="str">
        <f t="shared" si="4"/>
        <v>OK</v>
      </c>
      <c r="U17" s="33"/>
      <c r="V17" s="35"/>
      <c r="W17" s="45"/>
      <c r="X17" s="34"/>
      <c r="Y17" s="34"/>
      <c r="Z17" s="36"/>
      <c r="AA17" s="34"/>
      <c r="AB17" s="90">
        <v>120</v>
      </c>
      <c r="AC17" s="34"/>
      <c r="AD17" s="34"/>
      <c r="AE17" s="34"/>
      <c r="AF17" s="34"/>
      <c r="AG17" s="34"/>
      <c r="AH17" s="34"/>
      <c r="AI17" s="34"/>
    </row>
    <row r="18" spans="1:35" ht="63.75" customHeight="1" x14ac:dyDescent="0.2">
      <c r="A18" s="65">
        <v>7</v>
      </c>
      <c r="B18" s="28" t="s">
        <v>49</v>
      </c>
      <c r="C18" s="64">
        <v>15</v>
      </c>
      <c r="D18" s="37" t="s">
        <v>58</v>
      </c>
      <c r="E18" s="61" t="s">
        <v>59</v>
      </c>
      <c r="F18" s="29" t="s">
        <v>16</v>
      </c>
      <c r="G18" s="29" t="s">
        <v>17</v>
      </c>
      <c r="H18" s="29" t="s">
        <v>44</v>
      </c>
      <c r="I18" s="28" t="s">
        <v>24</v>
      </c>
      <c r="J18" s="30">
        <v>197.76</v>
      </c>
      <c r="K18" s="31">
        <v>10</v>
      </c>
      <c r="L18" s="140">
        <f t="shared" si="0"/>
        <v>4</v>
      </c>
      <c r="M18" s="140">
        <f t="shared" si="1"/>
        <v>4</v>
      </c>
      <c r="N18" s="141"/>
      <c r="O18" s="142">
        <f t="shared" si="2"/>
        <v>2</v>
      </c>
      <c r="P18" s="141"/>
      <c r="Q18" s="141"/>
      <c r="R18" s="141"/>
      <c r="S18" s="143">
        <f t="shared" si="3"/>
        <v>6</v>
      </c>
      <c r="T18" s="32" t="str">
        <f t="shared" si="4"/>
        <v>OK</v>
      </c>
      <c r="U18" s="33"/>
      <c r="V18" s="35"/>
      <c r="W18" s="45"/>
      <c r="X18" s="34"/>
      <c r="Y18" s="34"/>
      <c r="Z18" s="36"/>
      <c r="AA18" s="34"/>
      <c r="AB18" s="34"/>
      <c r="AC18" s="34"/>
      <c r="AD18" s="90">
        <v>4</v>
      </c>
      <c r="AE18" s="114"/>
      <c r="AF18" s="34"/>
      <c r="AG18" s="34"/>
      <c r="AH18" s="34"/>
      <c r="AI18" s="34"/>
    </row>
    <row r="19" spans="1:35" ht="38.25" customHeight="1" x14ac:dyDescent="0.2">
      <c r="A19" s="188">
        <v>8</v>
      </c>
      <c r="B19" s="190" t="s">
        <v>49</v>
      </c>
      <c r="C19" s="40">
        <v>16</v>
      </c>
      <c r="D19" s="199" t="s">
        <v>12</v>
      </c>
      <c r="E19" s="39" t="s">
        <v>60</v>
      </c>
      <c r="F19" s="41" t="s">
        <v>16</v>
      </c>
      <c r="G19" s="41" t="s">
        <v>17</v>
      </c>
      <c r="H19" s="41" t="s">
        <v>44</v>
      </c>
      <c r="I19" s="39" t="s">
        <v>24</v>
      </c>
      <c r="J19" s="42">
        <v>22.35</v>
      </c>
      <c r="K19" s="31">
        <v>50</v>
      </c>
      <c r="L19" s="140">
        <f t="shared" si="0"/>
        <v>0</v>
      </c>
      <c r="M19" s="140">
        <f t="shared" si="1"/>
        <v>0</v>
      </c>
      <c r="N19" s="141"/>
      <c r="O19" s="142">
        <f t="shared" si="2"/>
        <v>12</v>
      </c>
      <c r="P19" s="141"/>
      <c r="Q19" s="141"/>
      <c r="R19" s="141"/>
      <c r="S19" s="143">
        <f t="shared" si="3"/>
        <v>50</v>
      </c>
      <c r="T19" s="32" t="str">
        <f t="shared" si="4"/>
        <v>OK</v>
      </c>
      <c r="U19" s="33"/>
      <c r="V19" s="35"/>
      <c r="W19" s="45"/>
      <c r="X19" s="34"/>
      <c r="Y19" s="34"/>
      <c r="Z19" s="36"/>
      <c r="AA19" s="34"/>
      <c r="AB19" s="34"/>
      <c r="AC19" s="34"/>
      <c r="AD19" s="34"/>
      <c r="AE19" s="34"/>
      <c r="AF19" s="34"/>
      <c r="AG19" s="34"/>
      <c r="AH19" s="34"/>
      <c r="AI19" s="34"/>
    </row>
    <row r="20" spans="1:35" ht="45" customHeight="1" x14ac:dyDescent="0.2">
      <c r="A20" s="189"/>
      <c r="B20" s="191"/>
      <c r="C20" s="40">
        <v>17</v>
      </c>
      <c r="D20" s="200"/>
      <c r="E20" s="39" t="s">
        <v>61</v>
      </c>
      <c r="F20" s="44" t="s">
        <v>16</v>
      </c>
      <c r="G20" s="44" t="s">
        <v>17</v>
      </c>
      <c r="H20" s="41" t="s">
        <v>44</v>
      </c>
      <c r="I20" s="39" t="s">
        <v>24</v>
      </c>
      <c r="J20" s="42">
        <v>4.5999999999999996</v>
      </c>
      <c r="K20" s="31">
        <v>300</v>
      </c>
      <c r="L20" s="140">
        <f t="shared" si="0"/>
        <v>0</v>
      </c>
      <c r="M20" s="140">
        <f t="shared" si="1"/>
        <v>0</v>
      </c>
      <c r="N20" s="141"/>
      <c r="O20" s="142">
        <f t="shared" si="2"/>
        <v>75</v>
      </c>
      <c r="P20" s="141"/>
      <c r="Q20" s="141"/>
      <c r="R20" s="141"/>
      <c r="S20" s="143">
        <f t="shared" si="3"/>
        <v>300</v>
      </c>
      <c r="T20" s="32" t="str">
        <f t="shared" si="4"/>
        <v>OK</v>
      </c>
      <c r="U20" s="33"/>
      <c r="V20" s="35"/>
      <c r="W20" s="45"/>
      <c r="X20" s="36"/>
      <c r="Y20" s="34"/>
      <c r="Z20" s="45"/>
      <c r="AA20" s="34"/>
      <c r="AB20" s="34"/>
      <c r="AC20" s="34"/>
      <c r="AD20" s="34"/>
      <c r="AE20" s="34"/>
      <c r="AF20" s="34"/>
      <c r="AG20" s="34"/>
      <c r="AH20" s="34"/>
      <c r="AI20" s="34"/>
    </row>
    <row r="21" spans="1:35" ht="58.7" customHeight="1" x14ac:dyDescent="0.2">
      <c r="A21" s="48">
        <v>9</v>
      </c>
      <c r="B21" s="28" t="s">
        <v>62</v>
      </c>
      <c r="C21" s="26">
        <v>18</v>
      </c>
      <c r="D21" s="27" t="s">
        <v>63</v>
      </c>
      <c r="E21" s="28" t="s">
        <v>64</v>
      </c>
      <c r="F21" s="50" t="s">
        <v>16</v>
      </c>
      <c r="G21" s="50" t="s">
        <v>17</v>
      </c>
      <c r="H21" s="29" t="s">
        <v>44</v>
      </c>
      <c r="I21" s="28" t="s">
        <v>24</v>
      </c>
      <c r="J21" s="30">
        <v>3.46</v>
      </c>
      <c r="K21" s="31">
        <f>300</f>
        <v>300</v>
      </c>
      <c r="L21" s="140">
        <f t="shared" si="0"/>
        <v>50</v>
      </c>
      <c r="M21" s="140">
        <f t="shared" si="1"/>
        <v>50</v>
      </c>
      <c r="N21" s="141">
        <v>-62</v>
      </c>
      <c r="O21" s="142">
        <f t="shared" si="2"/>
        <v>75</v>
      </c>
      <c r="P21" s="141"/>
      <c r="Q21" s="141"/>
      <c r="R21" s="141"/>
      <c r="S21" s="143">
        <f t="shared" si="3"/>
        <v>188</v>
      </c>
      <c r="T21" s="32" t="str">
        <f t="shared" si="4"/>
        <v>OK</v>
      </c>
      <c r="U21" s="180"/>
      <c r="V21" s="181"/>
      <c r="W21" s="172"/>
      <c r="X21" s="169"/>
      <c r="Y21" s="90">
        <v>50</v>
      </c>
      <c r="Z21" s="172"/>
      <c r="AA21" s="114"/>
      <c r="AB21" s="114"/>
      <c r="AC21" s="114"/>
      <c r="AD21" s="114"/>
      <c r="AE21" s="114"/>
      <c r="AF21" s="34"/>
      <c r="AG21" s="34"/>
      <c r="AH21" s="34"/>
      <c r="AI21" s="34"/>
    </row>
    <row r="22" spans="1:35" ht="45" customHeight="1" x14ac:dyDescent="0.2">
      <c r="A22" s="38">
        <v>10</v>
      </c>
      <c r="B22" s="47" t="s">
        <v>31</v>
      </c>
      <c r="C22" s="40">
        <v>19</v>
      </c>
      <c r="D22" s="47" t="s">
        <v>27</v>
      </c>
      <c r="E22" s="39" t="s">
        <v>23</v>
      </c>
      <c r="F22" s="44" t="s">
        <v>16</v>
      </c>
      <c r="G22" s="44" t="s">
        <v>17</v>
      </c>
      <c r="H22" s="41" t="s">
        <v>44</v>
      </c>
      <c r="I22" s="39" t="s">
        <v>24</v>
      </c>
      <c r="J22" s="42">
        <v>0.4</v>
      </c>
      <c r="K22" s="31">
        <v>0</v>
      </c>
      <c r="L22" s="140">
        <f t="shared" si="0"/>
        <v>0</v>
      </c>
      <c r="M22" s="140">
        <f t="shared" si="1"/>
        <v>0</v>
      </c>
      <c r="N22" s="141"/>
      <c r="O22" s="142">
        <f t="shared" si="2"/>
        <v>0</v>
      </c>
      <c r="P22" s="141"/>
      <c r="Q22" s="141"/>
      <c r="R22" s="141"/>
      <c r="S22" s="143">
        <f t="shared" si="3"/>
        <v>0</v>
      </c>
      <c r="T22" s="32" t="str">
        <f t="shared" si="4"/>
        <v>OK</v>
      </c>
      <c r="U22" s="35"/>
      <c r="V22" s="33"/>
      <c r="W22" s="45"/>
      <c r="X22" s="36"/>
      <c r="Y22" s="34"/>
      <c r="Z22" s="45"/>
      <c r="AA22" s="36"/>
      <c r="AB22" s="34"/>
      <c r="AC22" s="34"/>
      <c r="AD22" s="34"/>
      <c r="AE22" s="34"/>
      <c r="AF22" s="34"/>
      <c r="AG22" s="34"/>
      <c r="AH22" s="34"/>
      <c r="AI22" s="34"/>
    </row>
    <row r="23" spans="1:35" ht="28.15" customHeight="1" x14ac:dyDescent="0.2">
      <c r="A23" s="194">
        <v>11</v>
      </c>
      <c r="B23" s="196" t="s">
        <v>65</v>
      </c>
      <c r="C23" s="26">
        <v>20</v>
      </c>
      <c r="D23" s="201" t="s">
        <v>25</v>
      </c>
      <c r="E23" s="28" t="s">
        <v>19</v>
      </c>
      <c r="F23" s="50" t="s">
        <v>16</v>
      </c>
      <c r="G23" s="50" t="s">
        <v>17</v>
      </c>
      <c r="H23" s="29" t="s">
        <v>44</v>
      </c>
      <c r="I23" s="28" t="s">
        <v>24</v>
      </c>
      <c r="J23" s="30">
        <v>3.95</v>
      </c>
      <c r="K23" s="31">
        <v>0</v>
      </c>
      <c r="L23" s="140">
        <f t="shared" si="0"/>
        <v>0</v>
      </c>
      <c r="M23" s="140">
        <f t="shared" si="1"/>
        <v>0</v>
      </c>
      <c r="N23" s="141"/>
      <c r="O23" s="142">
        <f t="shared" si="2"/>
        <v>0</v>
      </c>
      <c r="P23" s="141"/>
      <c r="Q23" s="141"/>
      <c r="R23" s="141"/>
      <c r="S23" s="143">
        <f t="shared" si="3"/>
        <v>0</v>
      </c>
      <c r="T23" s="32" t="str">
        <f t="shared" si="4"/>
        <v>OK</v>
      </c>
      <c r="U23" s="35"/>
      <c r="V23" s="33"/>
      <c r="W23" s="45"/>
      <c r="X23" s="34"/>
      <c r="Y23" s="34"/>
      <c r="Z23" s="45"/>
      <c r="AA23" s="36"/>
      <c r="AB23" s="34"/>
      <c r="AC23" s="34"/>
      <c r="AD23" s="34"/>
      <c r="AE23" s="34"/>
      <c r="AF23" s="34"/>
      <c r="AG23" s="34"/>
      <c r="AH23" s="34"/>
      <c r="AI23" s="34"/>
    </row>
    <row r="24" spans="1:35" ht="25.15" customHeight="1" x14ac:dyDescent="0.2">
      <c r="A24" s="195"/>
      <c r="B24" s="197"/>
      <c r="C24" s="26">
        <v>21</v>
      </c>
      <c r="D24" s="202"/>
      <c r="E24" s="28" t="s">
        <v>20</v>
      </c>
      <c r="F24" s="50" t="s">
        <v>16</v>
      </c>
      <c r="G24" s="50" t="s">
        <v>17</v>
      </c>
      <c r="H24" s="29" t="s">
        <v>44</v>
      </c>
      <c r="I24" s="28" t="s">
        <v>24</v>
      </c>
      <c r="J24" s="30">
        <v>2.41</v>
      </c>
      <c r="K24" s="31">
        <f>300</f>
        <v>300</v>
      </c>
      <c r="L24" s="140">
        <f t="shared" si="0"/>
        <v>0</v>
      </c>
      <c r="M24" s="140">
        <f t="shared" si="1"/>
        <v>0</v>
      </c>
      <c r="N24" s="141">
        <v>-300</v>
      </c>
      <c r="O24" s="142">
        <f t="shared" si="2"/>
        <v>75</v>
      </c>
      <c r="P24" s="141"/>
      <c r="Q24" s="141"/>
      <c r="R24" s="141"/>
      <c r="S24" s="143">
        <f t="shared" si="3"/>
        <v>0</v>
      </c>
      <c r="T24" s="32" t="str">
        <f t="shared" si="4"/>
        <v>OK</v>
      </c>
      <c r="U24" s="33"/>
      <c r="V24" s="33"/>
      <c r="W24" s="45"/>
      <c r="X24" s="34"/>
      <c r="Y24" s="34"/>
      <c r="Z24" s="45"/>
      <c r="AA24" s="34"/>
      <c r="AB24" s="34"/>
      <c r="AC24" s="34"/>
      <c r="AD24" s="34"/>
      <c r="AE24" s="34"/>
      <c r="AF24" s="34"/>
      <c r="AG24" s="34"/>
      <c r="AH24" s="34"/>
      <c r="AI24" s="34"/>
    </row>
    <row r="25" spans="1:35" ht="26.45" customHeight="1" x14ac:dyDescent="0.2">
      <c r="A25" s="188">
        <v>12</v>
      </c>
      <c r="B25" s="190" t="s">
        <v>62</v>
      </c>
      <c r="C25" s="40">
        <v>22</v>
      </c>
      <c r="D25" s="199" t="s">
        <v>26</v>
      </c>
      <c r="E25" s="39" t="s">
        <v>19</v>
      </c>
      <c r="F25" s="44" t="s">
        <v>16</v>
      </c>
      <c r="G25" s="44" t="s">
        <v>17</v>
      </c>
      <c r="H25" s="41" t="s">
        <v>44</v>
      </c>
      <c r="I25" s="39" t="s">
        <v>24</v>
      </c>
      <c r="J25" s="42">
        <v>2.48</v>
      </c>
      <c r="K25" s="31">
        <v>0</v>
      </c>
      <c r="L25" s="140">
        <f t="shared" si="0"/>
        <v>0</v>
      </c>
      <c r="M25" s="140">
        <f t="shared" si="1"/>
        <v>0</v>
      </c>
      <c r="N25" s="141"/>
      <c r="O25" s="142">
        <f t="shared" si="2"/>
        <v>0</v>
      </c>
      <c r="P25" s="141"/>
      <c r="Q25" s="141"/>
      <c r="R25" s="141"/>
      <c r="S25" s="143">
        <f t="shared" si="3"/>
        <v>0</v>
      </c>
      <c r="T25" s="32" t="str">
        <f t="shared" si="4"/>
        <v>OK</v>
      </c>
      <c r="U25" s="33"/>
      <c r="V25" s="33"/>
      <c r="W25" s="45"/>
      <c r="X25" s="36"/>
      <c r="Y25" s="34"/>
      <c r="Z25" s="45"/>
      <c r="AA25" s="34"/>
      <c r="AB25" s="34"/>
      <c r="AC25" s="34"/>
      <c r="AD25" s="34"/>
      <c r="AE25" s="34"/>
      <c r="AF25" s="34"/>
      <c r="AG25" s="34"/>
      <c r="AH25" s="34"/>
      <c r="AI25" s="34"/>
    </row>
    <row r="26" spans="1:35" ht="24.4" customHeight="1" x14ac:dyDescent="0.2">
      <c r="A26" s="189"/>
      <c r="B26" s="191"/>
      <c r="C26" s="40">
        <v>23</v>
      </c>
      <c r="D26" s="200"/>
      <c r="E26" s="43" t="s">
        <v>20</v>
      </c>
      <c r="F26" s="44" t="s">
        <v>16</v>
      </c>
      <c r="G26" s="44" t="s">
        <v>17</v>
      </c>
      <c r="H26" s="41" t="s">
        <v>44</v>
      </c>
      <c r="I26" s="39" t="s">
        <v>24</v>
      </c>
      <c r="J26" s="42">
        <v>1.2</v>
      </c>
      <c r="K26" s="31">
        <v>300</v>
      </c>
      <c r="L26" s="140">
        <f t="shared" si="0"/>
        <v>0</v>
      </c>
      <c r="M26" s="140">
        <f t="shared" si="1"/>
        <v>0</v>
      </c>
      <c r="N26" s="141">
        <v>-300</v>
      </c>
      <c r="O26" s="142">
        <f t="shared" si="2"/>
        <v>75</v>
      </c>
      <c r="P26" s="141"/>
      <c r="Q26" s="141"/>
      <c r="R26" s="141"/>
      <c r="S26" s="143">
        <f t="shared" si="3"/>
        <v>0</v>
      </c>
      <c r="T26" s="32" t="str">
        <f t="shared" si="4"/>
        <v>OK</v>
      </c>
      <c r="U26" s="33"/>
      <c r="V26" s="33"/>
      <c r="W26" s="45"/>
      <c r="X26" s="34"/>
      <c r="Y26" s="34"/>
      <c r="Z26" s="45"/>
      <c r="AA26" s="34"/>
      <c r="AB26" s="34"/>
      <c r="AC26" s="34"/>
      <c r="AD26" s="34"/>
      <c r="AE26" s="34"/>
      <c r="AF26" s="34"/>
      <c r="AG26" s="34"/>
      <c r="AH26" s="34"/>
      <c r="AI26" s="34"/>
    </row>
    <row r="27" spans="1:35" ht="24" customHeight="1" x14ac:dyDescent="0.2">
      <c r="A27" s="194">
        <v>13</v>
      </c>
      <c r="B27" s="196" t="s">
        <v>65</v>
      </c>
      <c r="C27" s="26">
        <v>24</v>
      </c>
      <c r="D27" s="201" t="s">
        <v>66</v>
      </c>
      <c r="E27" s="28" t="s">
        <v>21</v>
      </c>
      <c r="F27" s="50" t="s">
        <v>16</v>
      </c>
      <c r="G27" s="29" t="s">
        <v>17</v>
      </c>
      <c r="H27" s="29" t="s">
        <v>44</v>
      </c>
      <c r="I27" s="28" t="s">
        <v>24</v>
      </c>
      <c r="J27" s="30">
        <v>0.33</v>
      </c>
      <c r="K27" s="31">
        <v>0</v>
      </c>
      <c r="L27" s="140">
        <f t="shared" si="0"/>
        <v>0</v>
      </c>
      <c r="M27" s="140">
        <f t="shared" si="1"/>
        <v>0</v>
      </c>
      <c r="N27" s="141"/>
      <c r="O27" s="142">
        <f t="shared" si="2"/>
        <v>0</v>
      </c>
      <c r="P27" s="141"/>
      <c r="Q27" s="141"/>
      <c r="R27" s="141"/>
      <c r="S27" s="143">
        <f t="shared" si="3"/>
        <v>0</v>
      </c>
      <c r="T27" s="32" t="str">
        <f t="shared" si="4"/>
        <v>OK</v>
      </c>
      <c r="U27" s="33"/>
      <c r="V27" s="33"/>
      <c r="W27" s="45"/>
      <c r="X27" s="34"/>
      <c r="Y27" s="34"/>
      <c r="Z27" s="45"/>
      <c r="AA27" s="34"/>
      <c r="AB27" s="34"/>
      <c r="AC27" s="34"/>
      <c r="AD27" s="34"/>
      <c r="AE27" s="34"/>
      <c r="AF27" s="34"/>
      <c r="AG27" s="34"/>
      <c r="AH27" s="34"/>
      <c r="AI27" s="34"/>
    </row>
    <row r="28" spans="1:35" ht="30.2" customHeight="1" x14ac:dyDescent="0.2">
      <c r="A28" s="195"/>
      <c r="B28" s="197"/>
      <c r="C28" s="26">
        <v>25</v>
      </c>
      <c r="D28" s="202"/>
      <c r="E28" s="28" t="s">
        <v>22</v>
      </c>
      <c r="F28" s="50" t="s">
        <v>16</v>
      </c>
      <c r="G28" s="50" t="s">
        <v>17</v>
      </c>
      <c r="H28" s="29" t="s">
        <v>44</v>
      </c>
      <c r="I28" s="28" t="s">
        <v>24</v>
      </c>
      <c r="J28" s="30">
        <v>0.15</v>
      </c>
      <c r="K28" s="31">
        <v>8000</v>
      </c>
      <c r="L28" s="140">
        <f t="shared" si="0"/>
        <v>0</v>
      </c>
      <c r="M28" s="140">
        <f t="shared" si="1"/>
        <v>0</v>
      </c>
      <c r="N28" s="141">
        <v>-8000</v>
      </c>
      <c r="O28" s="142">
        <f t="shared" si="2"/>
        <v>2000</v>
      </c>
      <c r="P28" s="141"/>
      <c r="Q28" s="141"/>
      <c r="R28" s="141"/>
      <c r="S28" s="143">
        <f t="shared" si="3"/>
        <v>0</v>
      </c>
      <c r="T28" s="32" t="str">
        <f t="shared" si="4"/>
        <v>OK</v>
      </c>
      <c r="U28" s="33"/>
      <c r="V28" s="33"/>
      <c r="W28" s="45"/>
      <c r="X28" s="34"/>
      <c r="Y28" s="34"/>
      <c r="Z28" s="45"/>
      <c r="AA28" s="34"/>
      <c r="AB28" s="34"/>
      <c r="AC28" s="34"/>
      <c r="AD28" s="34"/>
      <c r="AE28" s="34"/>
      <c r="AF28" s="34"/>
      <c r="AG28" s="34"/>
      <c r="AH28" s="34"/>
      <c r="AI28" s="34"/>
    </row>
    <row r="29" spans="1:35" ht="26.45" customHeight="1" x14ac:dyDescent="0.2">
      <c r="A29" s="188">
        <v>14</v>
      </c>
      <c r="B29" s="190" t="s">
        <v>65</v>
      </c>
      <c r="C29" s="40">
        <v>26</v>
      </c>
      <c r="D29" s="192" t="s">
        <v>67</v>
      </c>
      <c r="E29" s="66" t="s">
        <v>21</v>
      </c>
      <c r="F29" s="44" t="s">
        <v>16</v>
      </c>
      <c r="G29" s="44" t="s">
        <v>17</v>
      </c>
      <c r="H29" s="41" t="s">
        <v>44</v>
      </c>
      <c r="I29" s="39" t="s">
        <v>24</v>
      </c>
      <c r="J29" s="42">
        <v>0.33</v>
      </c>
      <c r="K29" s="31">
        <v>0</v>
      </c>
      <c r="L29" s="140">
        <f t="shared" si="0"/>
        <v>0</v>
      </c>
      <c r="M29" s="140">
        <f t="shared" si="1"/>
        <v>0</v>
      </c>
      <c r="N29" s="141"/>
      <c r="O29" s="142">
        <f t="shared" si="2"/>
        <v>0</v>
      </c>
      <c r="P29" s="141"/>
      <c r="Q29" s="141"/>
      <c r="R29" s="141"/>
      <c r="S29" s="143">
        <f t="shared" si="3"/>
        <v>0</v>
      </c>
      <c r="T29" s="32" t="str">
        <f t="shared" si="4"/>
        <v>OK</v>
      </c>
      <c r="U29" s="33"/>
      <c r="V29" s="33"/>
      <c r="W29" s="45"/>
      <c r="X29" s="34"/>
      <c r="Y29" s="34"/>
      <c r="Z29" s="45"/>
      <c r="AA29" s="34"/>
      <c r="AB29" s="34"/>
      <c r="AC29" s="34"/>
      <c r="AD29" s="34"/>
      <c r="AE29" s="34"/>
      <c r="AF29" s="34"/>
      <c r="AG29" s="34"/>
      <c r="AH29" s="34"/>
      <c r="AI29" s="34"/>
    </row>
    <row r="30" spans="1:35" ht="33.950000000000003" customHeight="1" x14ac:dyDescent="0.2">
      <c r="A30" s="189"/>
      <c r="B30" s="191"/>
      <c r="C30" s="40">
        <v>27</v>
      </c>
      <c r="D30" s="193"/>
      <c r="E30" s="66" t="s">
        <v>22</v>
      </c>
      <c r="F30" s="44" t="s">
        <v>16</v>
      </c>
      <c r="G30" s="44" t="s">
        <v>17</v>
      </c>
      <c r="H30" s="41" t="s">
        <v>44</v>
      </c>
      <c r="I30" s="39" t="s">
        <v>24</v>
      </c>
      <c r="J30" s="42">
        <v>0.23</v>
      </c>
      <c r="K30" s="31">
        <v>8000</v>
      </c>
      <c r="L30" s="140">
        <f t="shared" si="0"/>
        <v>6000</v>
      </c>
      <c r="M30" s="140">
        <f t="shared" si="1"/>
        <v>6000</v>
      </c>
      <c r="N30" s="141"/>
      <c r="O30" s="142">
        <f t="shared" si="2"/>
        <v>2000</v>
      </c>
      <c r="P30" s="141"/>
      <c r="Q30" s="141"/>
      <c r="R30" s="141"/>
      <c r="S30" s="143">
        <f t="shared" si="3"/>
        <v>2000</v>
      </c>
      <c r="T30" s="32" t="str">
        <f t="shared" si="4"/>
        <v>OK</v>
      </c>
      <c r="U30" s="33"/>
      <c r="V30" s="33"/>
      <c r="W30" s="45"/>
      <c r="X30" s="90">
        <v>6000</v>
      </c>
      <c r="Y30" s="34"/>
      <c r="Z30" s="45"/>
      <c r="AA30" s="34"/>
      <c r="AB30" s="34"/>
      <c r="AC30" s="34"/>
      <c r="AD30" s="34"/>
      <c r="AE30" s="34"/>
      <c r="AF30" s="34"/>
      <c r="AG30" s="34"/>
      <c r="AH30" s="34"/>
      <c r="AI30" s="34"/>
    </row>
    <row r="31" spans="1:35" ht="27" customHeight="1" x14ac:dyDescent="0.2">
      <c r="A31" s="194">
        <v>15</v>
      </c>
      <c r="B31" s="196" t="s">
        <v>31</v>
      </c>
      <c r="C31" s="68">
        <v>28</v>
      </c>
      <c r="D31" s="198" t="s">
        <v>68</v>
      </c>
      <c r="E31" s="28" t="s">
        <v>21</v>
      </c>
      <c r="F31" s="50" t="s">
        <v>16</v>
      </c>
      <c r="G31" s="50" t="s">
        <v>17</v>
      </c>
      <c r="H31" s="29" t="s">
        <v>44</v>
      </c>
      <c r="I31" s="28" t="s">
        <v>24</v>
      </c>
      <c r="J31" s="30">
        <v>0.4</v>
      </c>
      <c r="K31" s="31">
        <v>0</v>
      </c>
      <c r="L31" s="140">
        <f t="shared" si="0"/>
        <v>0</v>
      </c>
      <c r="M31" s="140">
        <f t="shared" si="1"/>
        <v>0</v>
      </c>
      <c r="N31" s="141"/>
      <c r="O31" s="142">
        <f t="shared" si="2"/>
        <v>0</v>
      </c>
      <c r="P31" s="141"/>
      <c r="Q31" s="141"/>
      <c r="R31" s="141"/>
      <c r="S31" s="143">
        <f t="shared" si="3"/>
        <v>0</v>
      </c>
      <c r="T31" s="32" t="str">
        <f t="shared" si="4"/>
        <v>OK</v>
      </c>
      <c r="U31" s="33"/>
      <c r="V31" s="35"/>
      <c r="W31" s="45"/>
      <c r="X31" s="36"/>
      <c r="Y31" s="34"/>
      <c r="Z31" s="45"/>
      <c r="AA31" s="34"/>
      <c r="AB31" s="34"/>
      <c r="AC31" s="34"/>
      <c r="AD31" s="34"/>
      <c r="AE31" s="34"/>
      <c r="AF31" s="34"/>
      <c r="AG31" s="34"/>
      <c r="AH31" s="34"/>
      <c r="AI31" s="34"/>
    </row>
    <row r="32" spans="1:35" ht="29.25" customHeight="1" x14ac:dyDescent="0.2">
      <c r="A32" s="195"/>
      <c r="B32" s="197"/>
      <c r="C32" s="26">
        <v>29</v>
      </c>
      <c r="D32" s="198"/>
      <c r="E32" s="28" t="s">
        <v>22</v>
      </c>
      <c r="F32" s="50" t="s">
        <v>16</v>
      </c>
      <c r="G32" s="50" t="s">
        <v>17</v>
      </c>
      <c r="H32" s="29" t="s">
        <v>44</v>
      </c>
      <c r="I32" s="28" t="s">
        <v>24</v>
      </c>
      <c r="J32" s="30">
        <v>0.44</v>
      </c>
      <c r="K32" s="31">
        <v>10000</v>
      </c>
      <c r="L32" s="140">
        <f t="shared" si="0"/>
        <v>5000</v>
      </c>
      <c r="M32" s="140">
        <f t="shared" si="1"/>
        <v>5000</v>
      </c>
      <c r="N32" s="141"/>
      <c r="O32" s="142">
        <f t="shared" si="2"/>
        <v>2500</v>
      </c>
      <c r="P32" s="141"/>
      <c r="Q32" s="141"/>
      <c r="R32" s="141"/>
      <c r="S32" s="143">
        <f t="shared" si="3"/>
        <v>5000</v>
      </c>
      <c r="T32" s="32" t="str">
        <f t="shared" si="4"/>
        <v>OK</v>
      </c>
      <c r="U32" s="33"/>
      <c r="V32" s="33"/>
      <c r="W32" s="90">
        <v>5000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</row>
    <row r="33" spans="11:35" x14ac:dyDescent="0.2">
      <c r="K33" s="56">
        <f>SUM(K4:K32)</f>
        <v>28000</v>
      </c>
      <c r="S33" s="56">
        <f t="shared" ref="S33" si="5">SUM(S4:S32)</f>
        <v>7894</v>
      </c>
      <c r="U33" s="110">
        <f>SUMPRODUCT($J$4:$J$32,U4:U32)</f>
        <v>346.79999999999995</v>
      </c>
      <c r="V33" s="110">
        <f t="shared" ref="V33:AI33" si="6">SUMPRODUCT($J$4:$J$32,V4:V32)</f>
        <v>1288.9000000000001</v>
      </c>
      <c r="W33" s="110">
        <f t="shared" si="6"/>
        <v>2200</v>
      </c>
      <c r="X33" s="110">
        <f t="shared" si="6"/>
        <v>1380</v>
      </c>
      <c r="Y33" s="110">
        <f t="shared" si="6"/>
        <v>173</v>
      </c>
      <c r="Z33" s="110">
        <f t="shared" si="6"/>
        <v>3093.2</v>
      </c>
      <c r="AA33" s="110">
        <f t="shared" si="6"/>
        <v>2834.2799999999997</v>
      </c>
      <c r="AB33" s="110">
        <f t="shared" si="6"/>
        <v>1140</v>
      </c>
      <c r="AC33" s="110">
        <f t="shared" si="6"/>
        <v>846</v>
      </c>
      <c r="AD33" s="110">
        <f t="shared" si="6"/>
        <v>791.04</v>
      </c>
      <c r="AE33" s="110">
        <f t="shared" si="6"/>
        <v>467.5</v>
      </c>
      <c r="AF33" s="110">
        <f t="shared" si="6"/>
        <v>0</v>
      </c>
      <c r="AG33" s="110">
        <f t="shared" si="6"/>
        <v>0</v>
      </c>
      <c r="AH33" s="110">
        <f t="shared" si="6"/>
        <v>0</v>
      </c>
      <c r="AI33" s="110">
        <f t="shared" si="6"/>
        <v>0</v>
      </c>
    </row>
    <row r="34" spans="11:35" x14ac:dyDescent="0.2">
      <c r="K34" s="148">
        <f>SUMPRODUCT($J$4:$J$32,K4:K32)</f>
        <v>54780.1</v>
      </c>
      <c r="L34" s="148">
        <f t="shared" ref="L34:M34" si="7">SUMPRODUCT($J$4:$J$32,L4:L32)</f>
        <v>14560.720000000001</v>
      </c>
      <c r="M34" s="148">
        <f t="shared" si="7"/>
        <v>14560.720000000001</v>
      </c>
      <c r="AA34" s="120"/>
    </row>
    <row r="36" spans="11:35" x14ac:dyDescent="0.2">
      <c r="V36" s="88"/>
    </row>
    <row r="37" spans="11:35" x14ac:dyDescent="0.2">
      <c r="V37" s="88"/>
    </row>
    <row r="38" spans="11:35" x14ac:dyDescent="0.2">
      <c r="V38" s="88"/>
    </row>
    <row r="39" spans="11:35" x14ac:dyDescent="0.2">
      <c r="V39" s="88"/>
    </row>
  </sheetData>
  <mergeCells count="50">
    <mergeCell ref="W1:W2"/>
    <mergeCell ref="A1:C1"/>
    <mergeCell ref="D1:J1"/>
    <mergeCell ref="K1:T1"/>
    <mergeCell ref="U1:U2"/>
    <mergeCell ref="V1:V2"/>
    <mergeCell ref="K2:T2"/>
    <mergeCell ref="A2:J2"/>
    <mergeCell ref="AI1:AI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4:A8"/>
    <mergeCell ref="B4:B8"/>
    <mergeCell ref="D4:D8"/>
    <mergeCell ref="A9:A10"/>
    <mergeCell ref="B9:B10"/>
    <mergeCell ref="D9:D10"/>
    <mergeCell ref="A11:A13"/>
    <mergeCell ref="B11:B13"/>
    <mergeCell ref="D11:D13"/>
    <mergeCell ref="A14:A15"/>
    <mergeCell ref="B14:B15"/>
    <mergeCell ref="D14:D15"/>
    <mergeCell ref="A19:A20"/>
    <mergeCell ref="B19:B20"/>
    <mergeCell ref="D19:D20"/>
    <mergeCell ref="A23:A24"/>
    <mergeCell ref="B23:B24"/>
    <mergeCell ref="D23:D24"/>
    <mergeCell ref="A25:A26"/>
    <mergeCell ref="B25:B26"/>
    <mergeCell ref="D25:D26"/>
    <mergeCell ref="A27:A28"/>
    <mergeCell ref="B27:B28"/>
    <mergeCell ref="D27:D28"/>
    <mergeCell ref="A29:A30"/>
    <mergeCell ref="B29:B30"/>
    <mergeCell ref="D29:D30"/>
    <mergeCell ref="A31:A32"/>
    <mergeCell ref="B31:B32"/>
    <mergeCell ref="D31:D32"/>
  </mergeCells>
  <pageMargins left="0.511811024" right="0.511811024" top="0.78740157499999996" bottom="0.78740157499999996" header="0.31496062000000002" footer="0.31496062000000002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CC81-1ED7-4DD2-AFF5-77D1F7329E85}">
  <dimension ref="A1:AM34"/>
  <sheetViews>
    <sheetView topLeftCell="A7" zoomScale="90" zoomScaleNormal="90" workbookViewId="0">
      <selection activeCell="C24" sqref="C24"/>
    </sheetView>
  </sheetViews>
  <sheetFormatPr defaultColWidth="9.7109375" defaultRowHeight="12.75" x14ac:dyDescent="0.2"/>
  <cols>
    <col min="1" max="1" width="7.7109375" style="53" customWidth="1"/>
    <col min="2" max="2" width="9.85546875" style="53" customWidth="1"/>
    <col min="3" max="3" width="5.5703125" style="53" bestFit="1" customWidth="1"/>
    <col min="4" max="4" width="20.7109375" style="54" customWidth="1"/>
    <col min="5" max="5" width="10.85546875" style="53" bestFit="1" customWidth="1"/>
    <col min="6" max="6" width="8" style="53" customWidth="1"/>
    <col min="7" max="7" width="10.28515625" style="53" customWidth="1"/>
    <col min="8" max="8" width="13.140625" style="53" customWidth="1"/>
    <col min="9" max="9" width="9.42578125" style="53" customWidth="1"/>
    <col min="10" max="10" width="12.7109375" style="55" bestFit="1" customWidth="1"/>
    <col min="11" max="11" width="13.28515625" style="56" customWidth="1"/>
    <col min="12" max="13" width="14" style="56" bestFit="1" customWidth="1"/>
    <col min="14" max="14" width="14.7109375" style="56" bestFit="1" customWidth="1"/>
    <col min="15" max="15" width="14" style="56" bestFit="1" customWidth="1"/>
    <col min="16" max="18" width="10.140625" style="56" customWidth="1"/>
    <col min="19" max="19" width="10.28515625" style="57" customWidth="1"/>
    <col min="20" max="20" width="12.5703125" style="58" customWidth="1"/>
    <col min="21" max="22" width="13.7109375" style="125" customWidth="1"/>
    <col min="23" max="26" width="13.7109375" style="120" customWidth="1"/>
    <col min="27" max="39" width="13.7109375" style="18" customWidth="1"/>
    <col min="40" max="16384" width="9.7109375" style="18"/>
  </cols>
  <sheetData>
    <row r="1" spans="1:39" ht="34.5" customHeight="1" x14ac:dyDescent="0.2">
      <c r="A1" s="219" t="s">
        <v>69</v>
      </c>
      <c r="B1" s="220"/>
      <c r="C1" s="221"/>
      <c r="D1" s="220" t="s">
        <v>32</v>
      </c>
      <c r="E1" s="220"/>
      <c r="F1" s="220"/>
      <c r="G1" s="220"/>
      <c r="H1" s="220"/>
      <c r="I1" s="220"/>
      <c r="J1" s="221"/>
      <c r="K1" s="222" t="s">
        <v>33</v>
      </c>
      <c r="L1" s="223"/>
      <c r="M1" s="223"/>
      <c r="N1" s="223"/>
      <c r="O1" s="223"/>
      <c r="P1" s="223"/>
      <c r="Q1" s="223"/>
      <c r="R1" s="223"/>
      <c r="S1" s="223"/>
      <c r="T1" s="224"/>
      <c r="U1" s="248" t="s">
        <v>149</v>
      </c>
      <c r="V1" s="248" t="s">
        <v>150</v>
      </c>
      <c r="W1" s="248" t="s">
        <v>151</v>
      </c>
      <c r="X1" s="248" t="s">
        <v>152</v>
      </c>
      <c r="Y1" s="248" t="s">
        <v>153</v>
      </c>
      <c r="Z1" s="248" t="s">
        <v>154</v>
      </c>
      <c r="AA1" s="240" t="s">
        <v>282</v>
      </c>
      <c r="AB1" s="240" t="s">
        <v>283</v>
      </c>
      <c r="AC1" s="240" t="s">
        <v>284</v>
      </c>
      <c r="AD1" s="240" t="s">
        <v>285</v>
      </c>
      <c r="AE1" s="240" t="s">
        <v>286</v>
      </c>
      <c r="AF1" s="240" t="s">
        <v>287</v>
      </c>
      <c r="AG1" s="240" t="s">
        <v>288</v>
      </c>
      <c r="AH1" s="240" t="s">
        <v>289</v>
      </c>
      <c r="AI1" s="240" t="s">
        <v>290</v>
      </c>
      <c r="AJ1" s="240" t="s">
        <v>291</v>
      </c>
      <c r="AK1" s="240" t="s">
        <v>292</v>
      </c>
      <c r="AL1" s="240" t="s">
        <v>293</v>
      </c>
      <c r="AM1" s="218"/>
    </row>
    <row r="2" spans="1:39" ht="12.75" customHeight="1" x14ac:dyDescent="0.2">
      <c r="A2" s="219" t="s">
        <v>81</v>
      </c>
      <c r="B2" s="220"/>
      <c r="C2" s="220"/>
      <c r="D2" s="220"/>
      <c r="E2" s="220"/>
      <c r="F2" s="220"/>
      <c r="G2" s="220"/>
      <c r="H2" s="220"/>
      <c r="I2" s="220"/>
      <c r="J2" s="221"/>
      <c r="K2" s="225" t="s">
        <v>91</v>
      </c>
      <c r="L2" s="226"/>
      <c r="M2" s="226"/>
      <c r="N2" s="226"/>
      <c r="O2" s="226"/>
      <c r="P2" s="226"/>
      <c r="Q2" s="226"/>
      <c r="R2" s="226"/>
      <c r="S2" s="226"/>
      <c r="T2" s="227"/>
      <c r="U2" s="249"/>
      <c r="V2" s="249"/>
      <c r="W2" s="249"/>
      <c r="X2" s="249"/>
      <c r="Y2" s="249"/>
      <c r="Z2" s="249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18"/>
    </row>
    <row r="3" spans="1:39" s="25" customFormat="1" ht="38.25" x14ac:dyDescent="0.2">
      <c r="A3" s="19" t="s">
        <v>5</v>
      </c>
      <c r="B3" s="19" t="s">
        <v>18</v>
      </c>
      <c r="C3" s="69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43</v>
      </c>
      <c r="I3" s="20" t="s">
        <v>4</v>
      </c>
      <c r="J3" s="21" t="s">
        <v>28</v>
      </c>
      <c r="K3" s="22" t="s">
        <v>6</v>
      </c>
      <c r="L3" s="145" t="s">
        <v>185</v>
      </c>
      <c r="M3" s="145" t="s">
        <v>186</v>
      </c>
      <c r="N3" s="145" t="s">
        <v>187</v>
      </c>
      <c r="O3" s="145" t="s">
        <v>188</v>
      </c>
      <c r="P3" s="145" t="s">
        <v>189</v>
      </c>
      <c r="Q3" s="145" t="s">
        <v>190</v>
      </c>
      <c r="R3" s="145" t="s">
        <v>191</v>
      </c>
      <c r="S3" s="146" t="s">
        <v>0</v>
      </c>
      <c r="T3" s="23" t="s">
        <v>2</v>
      </c>
      <c r="U3" s="121" t="s">
        <v>1</v>
      </c>
      <c r="V3" s="121" t="s">
        <v>1</v>
      </c>
      <c r="W3" s="121" t="s">
        <v>1</v>
      </c>
      <c r="X3" s="121" t="s">
        <v>1</v>
      </c>
      <c r="Y3" s="121" t="s">
        <v>1</v>
      </c>
      <c r="Z3" s="121" t="s">
        <v>1</v>
      </c>
      <c r="AA3" s="23" t="s">
        <v>1</v>
      </c>
      <c r="AB3" s="23" t="s">
        <v>1</v>
      </c>
      <c r="AC3" s="23" t="s">
        <v>1</v>
      </c>
      <c r="AD3" s="23" t="s">
        <v>1</v>
      </c>
      <c r="AE3" s="23" t="s">
        <v>1</v>
      </c>
      <c r="AF3" s="23" t="s">
        <v>1</v>
      </c>
      <c r="AG3" s="23" t="s">
        <v>1</v>
      </c>
      <c r="AH3" s="23" t="s">
        <v>1</v>
      </c>
      <c r="AI3" s="23" t="s">
        <v>1</v>
      </c>
      <c r="AJ3" s="23" t="s">
        <v>1</v>
      </c>
      <c r="AK3" s="23" t="s">
        <v>1</v>
      </c>
      <c r="AL3" s="23" t="s">
        <v>1</v>
      </c>
      <c r="AM3" s="24"/>
    </row>
    <row r="4" spans="1:39" ht="23.25" customHeight="1" x14ac:dyDescent="0.2">
      <c r="A4" s="203">
        <v>1</v>
      </c>
      <c r="B4" s="196" t="s">
        <v>31</v>
      </c>
      <c r="C4" s="26">
        <v>1</v>
      </c>
      <c r="D4" s="201" t="s">
        <v>34</v>
      </c>
      <c r="E4" s="28" t="s">
        <v>35</v>
      </c>
      <c r="F4" s="29" t="s">
        <v>16</v>
      </c>
      <c r="G4" s="29" t="s">
        <v>17</v>
      </c>
      <c r="H4" s="29" t="s">
        <v>44</v>
      </c>
      <c r="I4" s="28" t="s">
        <v>24</v>
      </c>
      <c r="J4" s="30">
        <v>12.15</v>
      </c>
      <c r="K4" s="31">
        <v>0</v>
      </c>
      <c r="L4" s="140">
        <f t="shared" ref="L4:L32" si="0">IF(SUM(U4:AP4)&gt;K4+N4,K4+N4,SUM(U4:AP4))</f>
        <v>0</v>
      </c>
      <c r="M4" s="140">
        <f>(SUM(U4:AP4))</f>
        <v>0</v>
      </c>
      <c r="N4" s="141"/>
      <c r="O4" s="142">
        <f t="shared" ref="O4:O32" si="1">ROUND(IF(K4*0.25-0.5&lt;0,0,K4*0.25-0.5),0)-R4-P4</f>
        <v>0</v>
      </c>
      <c r="P4" s="141"/>
      <c r="Q4" s="141"/>
      <c r="R4" s="141"/>
      <c r="S4" s="143">
        <f t="shared" ref="S4:S32" si="2">K4+N4+P4+Q4-M4</f>
        <v>0</v>
      </c>
      <c r="T4" s="32" t="str">
        <f t="shared" ref="T4:T32" si="3">IF(S4&lt;0,"ATENÇÃO","OK")</f>
        <v>OK</v>
      </c>
      <c r="U4" s="122"/>
      <c r="V4" s="82"/>
      <c r="W4" s="84"/>
      <c r="X4" s="84"/>
      <c r="Y4" s="84"/>
      <c r="Z4" s="8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</row>
    <row r="5" spans="1:39" ht="26.45" customHeight="1" x14ac:dyDescent="0.2">
      <c r="A5" s="204"/>
      <c r="B5" s="206"/>
      <c r="C5" s="26">
        <v>2</v>
      </c>
      <c r="D5" s="207"/>
      <c r="E5" s="28" t="s">
        <v>36</v>
      </c>
      <c r="F5" s="29" t="s">
        <v>16</v>
      </c>
      <c r="G5" s="29" t="s">
        <v>17</v>
      </c>
      <c r="H5" s="29" t="s">
        <v>44</v>
      </c>
      <c r="I5" s="28" t="s">
        <v>24</v>
      </c>
      <c r="J5" s="30">
        <v>40.5</v>
      </c>
      <c r="K5" s="31">
        <f>99</f>
        <v>99</v>
      </c>
      <c r="L5" s="140">
        <f t="shared" si="0"/>
        <v>27</v>
      </c>
      <c r="M5" s="140">
        <f t="shared" ref="M5:M32" si="4">(SUM(U5:AP5))</f>
        <v>27</v>
      </c>
      <c r="N5" s="141">
        <v>-8</v>
      </c>
      <c r="O5" s="142">
        <f t="shared" si="1"/>
        <v>24</v>
      </c>
      <c r="P5" s="141"/>
      <c r="Q5" s="141"/>
      <c r="R5" s="141"/>
      <c r="S5" s="143">
        <f t="shared" si="2"/>
        <v>64</v>
      </c>
      <c r="T5" s="32" t="str">
        <f t="shared" si="3"/>
        <v>OK</v>
      </c>
      <c r="U5" s="90">
        <v>3</v>
      </c>
      <c r="V5" s="82"/>
      <c r="W5" s="84"/>
      <c r="X5" s="115">
        <v>9</v>
      </c>
      <c r="Y5" s="84"/>
      <c r="Z5" s="84"/>
      <c r="AA5" s="34"/>
      <c r="AB5" s="34"/>
      <c r="AC5" s="34"/>
      <c r="AD5" s="34">
        <v>15</v>
      </c>
      <c r="AE5" s="34"/>
      <c r="AF5" s="34"/>
      <c r="AG5" s="34"/>
      <c r="AH5" s="34"/>
      <c r="AI5" s="34"/>
      <c r="AJ5" s="34"/>
      <c r="AK5" s="34"/>
      <c r="AL5" s="34"/>
      <c r="AM5" s="34"/>
    </row>
    <row r="6" spans="1:39" ht="24" customHeight="1" x14ac:dyDescent="0.2">
      <c r="A6" s="204"/>
      <c r="B6" s="206"/>
      <c r="C6" s="26">
        <v>3</v>
      </c>
      <c r="D6" s="207"/>
      <c r="E6" s="28" t="s">
        <v>37</v>
      </c>
      <c r="F6" s="29" t="s">
        <v>16</v>
      </c>
      <c r="G6" s="29" t="s">
        <v>17</v>
      </c>
      <c r="H6" s="29" t="s">
        <v>44</v>
      </c>
      <c r="I6" s="28" t="s">
        <v>24</v>
      </c>
      <c r="J6" s="30">
        <v>49.5</v>
      </c>
      <c r="K6" s="31">
        <v>0</v>
      </c>
      <c r="L6" s="140">
        <f t="shared" si="0"/>
        <v>0</v>
      </c>
      <c r="M6" s="140">
        <f t="shared" si="4"/>
        <v>0</v>
      </c>
      <c r="N6" s="141"/>
      <c r="O6" s="142">
        <f t="shared" si="1"/>
        <v>0</v>
      </c>
      <c r="P6" s="141"/>
      <c r="Q6" s="141"/>
      <c r="R6" s="141"/>
      <c r="S6" s="143">
        <f t="shared" si="2"/>
        <v>0</v>
      </c>
      <c r="T6" s="32" t="str">
        <f t="shared" si="3"/>
        <v>OK</v>
      </c>
      <c r="U6" s="82"/>
      <c r="V6" s="82"/>
      <c r="W6" s="84"/>
      <c r="X6" s="84"/>
      <c r="Y6" s="84"/>
      <c r="Z6" s="8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</row>
    <row r="7" spans="1:39" ht="24" customHeight="1" x14ac:dyDescent="0.2">
      <c r="A7" s="204"/>
      <c r="B7" s="206"/>
      <c r="C7" s="26">
        <v>4</v>
      </c>
      <c r="D7" s="207"/>
      <c r="E7" s="28" t="s">
        <v>38</v>
      </c>
      <c r="F7" s="29" t="s">
        <v>16</v>
      </c>
      <c r="G7" s="29" t="s">
        <v>17</v>
      </c>
      <c r="H7" s="29" t="s">
        <v>44</v>
      </c>
      <c r="I7" s="28" t="s">
        <v>24</v>
      </c>
      <c r="J7" s="30">
        <v>53</v>
      </c>
      <c r="K7" s="31">
        <v>0</v>
      </c>
      <c r="L7" s="140">
        <f t="shared" si="0"/>
        <v>0</v>
      </c>
      <c r="M7" s="140">
        <f t="shared" si="4"/>
        <v>0</v>
      </c>
      <c r="N7" s="141"/>
      <c r="O7" s="142">
        <f t="shared" si="1"/>
        <v>0</v>
      </c>
      <c r="P7" s="141"/>
      <c r="Q7" s="141"/>
      <c r="R7" s="141"/>
      <c r="S7" s="143">
        <f t="shared" si="2"/>
        <v>0</v>
      </c>
      <c r="T7" s="32" t="str">
        <f t="shared" si="3"/>
        <v>OK</v>
      </c>
      <c r="U7" s="82"/>
      <c r="V7" s="82"/>
      <c r="W7" s="84"/>
      <c r="X7" s="84"/>
      <c r="Y7" s="84"/>
      <c r="Z7" s="8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</row>
    <row r="8" spans="1:39" ht="19.5" customHeight="1" x14ac:dyDescent="0.2">
      <c r="A8" s="205"/>
      <c r="B8" s="197"/>
      <c r="C8" s="26">
        <v>5</v>
      </c>
      <c r="D8" s="202"/>
      <c r="E8" s="28" t="s">
        <v>39</v>
      </c>
      <c r="F8" s="29" t="s">
        <v>16</v>
      </c>
      <c r="G8" s="29" t="s">
        <v>17</v>
      </c>
      <c r="H8" s="29" t="s">
        <v>44</v>
      </c>
      <c r="I8" s="28" t="s">
        <v>24</v>
      </c>
      <c r="J8" s="30">
        <v>30.4</v>
      </c>
      <c r="K8" s="31">
        <v>0</v>
      </c>
      <c r="L8" s="140">
        <f t="shared" si="0"/>
        <v>0</v>
      </c>
      <c r="M8" s="140">
        <f t="shared" si="4"/>
        <v>0</v>
      </c>
      <c r="N8" s="141"/>
      <c r="O8" s="142">
        <f t="shared" si="1"/>
        <v>0</v>
      </c>
      <c r="P8" s="141"/>
      <c r="Q8" s="141"/>
      <c r="R8" s="141"/>
      <c r="S8" s="143">
        <f t="shared" si="2"/>
        <v>0</v>
      </c>
      <c r="T8" s="32" t="str">
        <f t="shared" si="3"/>
        <v>OK</v>
      </c>
      <c r="U8" s="82"/>
      <c r="V8" s="82"/>
      <c r="W8" s="84"/>
      <c r="X8" s="84"/>
      <c r="Y8" s="84"/>
      <c r="Z8" s="8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</row>
    <row r="9" spans="1:39" ht="21.75" customHeight="1" x14ac:dyDescent="0.2">
      <c r="A9" s="216">
        <v>2</v>
      </c>
      <c r="B9" s="190" t="s">
        <v>31</v>
      </c>
      <c r="C9" s="40">
        <v>6</v>
      </c>
      <c r="D9" s="199" t="s">
        <v>40</v>
      </c>
      <c r="E9" s="39" t="s">
        <v>35</v>
      </c>
      <c r="F9" s="41" t="s">
        <v>16</v>
      </c>
      <c r="G9" s="41" t="s">
        <v>17</v>
      </c>
      <c r="H9" s="41" t="s">
        <v>44</v>
      </c>
      <c r="I9" s="39" t="s">
        <v>24</v>
      </c>
      <c r="J9" s="42">
        <v>14.21</v>
      </c>
      <c r="K9" s="31">
        <v>0</v>
      </c>
      <c r="L9" s="140">
        <f t="shared" si="0"/>
        <v>0</v>
      </c>
      <c r="M9" s="140">
        <f t="shared" si="4"/>
        <v>0</v>
      </c>
      <c r="N9" s="141"/>
      <c r="O9" s="142">
        <f t="shared" si="1"/>
        <v>0</v>
      </c>
      <c r="P9" s="141"/>
      <c r="Q9" s="141"/>
      <c r="R9" s="141"/>
      <c r="S9" s="143">
        <f t="shared" si="2"/>
        <v>0</v>
      </c>
      <c r="T9" s="32" t="str">
        <f t="shared" si="3"/>
        <v>OK</v>
      </c>
      <c r="U9" s="82"/>
      <c r="V9" s="82"/>
      <c r="W9" s="84"/>
      <c r="X9" s="84"/>
      <c r="Y9" s="84"/>
      <c r="Z9" s="8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</row>
    <row r="10" spans="1:39" ht="20.25" customHeight="1" x14ac:dyDescent="0.2">
      <c r="A10" s="217"/>
      <c r="B10" s="191"/>
      <c r="C10" s="40">
        <v>7</v>
      </c>
      <c r="D10" s="200"/>
      <c r="E10" s="39" t="s">
        <v>41</v>
      </c>
      <c r="F10" s="41" t="s">
        <v>16</v>
      </c>
      <c r="G10" s="41" t="s">
        <v>17</v>
      </c>
      <c r="H10" s="41" t="s">
        <v>44</v>
      </c>
      <c r="I10" s="39" t="s">
        <v>24</v>
      </c>
      <c r="J10" s="42">
        <v>20.9</v>
      </c>
      <c r="K10" s="31">
        <v>20</v>
      </c>
      <c r="L10" s="140">
        <f t="shared" si="0"/>
        <v>0</v>
      </c>
      <c r="M10" s="140">
        <f t="shared" si="4"/>
        <v>0</v>
      </c>
      <c r="N10" s="141"/>
      <c r="O10" s="142">
        <f t="shared" si="1"/>
        <v>5</v>
      </c>
      <c r="P10" s="141"/>
      <c r="Q10" s="141"/>
      <c r="R10" s="141"/>
      <c r="S10" s="143">
        <f t="shared" si="2"/>
        <v>20</v>
      </c>
      <c r="T10" s="32" t="str">
        <f t="shared" si="3"/>
        <v>OK</v>
      </c>
      <c r="U10" s="82"/>
      <c r="V10" s="82"/>
      <c r="W10" s="84"/>
      <c r="X10" s="84"/>
      <c r="Y10" s="84"/>
      <c r="Z10" s="8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</row>
    <row r="11" spans="1:39" ht="25.5" x14ac:dyDescent="0.2">
      <c r="A11" s="203">
        <v>3</v>
      </c>
      <c r="B11" s="196" t="s">
        <v>42</v>
      </c>
      <c r="C11" s="26">
        <v>8</v>
      </c>
      <c r="D11" s="201" t="s">
        <v>45</v>
      </c>
      <c r="E11" s="28" t="s">
        <v>46</v>
      </c>
      <c r="F11" s="29" t="s">
        <v>16</v>
      </c>
      <c r="G11" s="29" t="s">
        <v>17</v>
      </c>
      <c r="H11" s="29" t="s">
        <v>44</v>
      </c>
      <c r="I11" s="28" t="s">
        <v>24</v>
      </c>
      <c r="J11" s="30">
        <v>423</v>
      </c>
      <c r="K11" s="31">
        <v>28</v>
      </c>
      <c r="L11" s="140">
        <f t="shared" si="0"/>
        <v>15</v>
      </c>
      <c r="M11" s="140">
        <f t="shared" si="4"/>
        <v>15</v>
      </c>
      <c r="N11" s="141"/>
      <c r="O11" s="142">
        <f t="shared" si="1"/>
        <v>7</v>
      </c>
      <c r="P11" s="141"/>
      <c r="Q11" s="141"/>
      <c r="R11" s="141"/>
      <c r="S11" s="143">
        <f t="shared" si="2"/>
        <v>13</v>
      </c>
      <c r="T11" s="32" t="str">
        <f t="shared" si="3"/>
        <v>OK</v>
      </c>
      <c r="U11" s="82"/>
      <c r="V11" s="82"/>
      <c r="W11" s="84"/>
      <c r="X11" s="84"/>
      <c r="Y11" s="84"/>
      <c r="Z11" s="115">
        <v>2</v>
      </c>
      <c r="AA11" s="34"/>
      <c r="AB11" s="84">
        <v>13</v>
      </c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</row>
    <row r="12" spans="1:39" ht="21.2" customHeight="1" x14ac:dyDescent="0.2">
      <c r="A12" s="204"/>
      <c r="B12" s="206"/>
      <c r="C12" s="26">
        <v>9</v>
      </c>
      <c r="D12" s="207"/>
      <c r="E12" s="28" t="s">
        <v>47</v>
      </c>
      <c r="F12" s="29" t="s">
        <v>16</v>
      </c>
      <c r="G12" s="29" t="s">
        <v>17</v>
      </c>
      <c r="H12" s="29" t="s">
        <v>44</v>
      </c>
      <c r="I12" s="28" t="s">
        <v>24</v>
      </c>
      <c r="J12" s="30">
        <v>1613</v>
      </c>
      <c r="K12" s="31">
        <v>0</v>
      </c>
      <c r="L12" s="140">
        <f t="shared" si="0"/>
        <v>0</v>
      </c>
      <c r="M12" s="140">
        <f t="shared" si="4"/>
        <v>0</v>
      </c>
      <c r="N12" s="141"/>
      <c r="O12" s="142">
        <f t="shared" si="1"/>
        <v>0</v>
      </c>
      <c r="P12" s="141"/>
      <c r="Q12" s="141"/>
      <c r="R12" s="141"/>
      <c r="S12" s="143">
        <f t="shared" si="2"/>
        <v>0</v>
      </c>
      <c r="T12" s="32" t="str">
        <f t="shared" si="3"/>
        <v>OK</v>
      </c>
      <c r="U12" s="82"/>
      <c r="V12" s="82"/>
      <c r="W12" s="84"/>
      <c r="X12" s="84"/>
      <c r="Y12" s="84"/>
      <c r="Z12" s="8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1:39" ht="19.5" customHeight="1" x14ac:dyDescent="0.2">
      <c r="A13" s="205"/>
      <c r="B13" s="197"/>
      <c r="C13" s="26">
        <v>10</v>
      </c>
      <c r="D13" s="202"/>
      <c r="E13" s="28" t="s">
        <v>48</v>
      </c>
      <c r="F13" s="29" t="s">
        <v>16</v>
      </c>
      <c r="G13" s="29" t="s">
        <v>17</v>
      </c>
      <c r="H13" s="29" t="s">
        <v>44</v>
      </c>
      <c r="I13" s="28" t="s">
        <v>24</v>
      </c>
      <c r="J13" s="30">
        <v>1749</v>
      </c>
      <c r="K13" s="31">
        <v>0</v>
      </c>
      <c r="L13" s="140">
        <f t="shared" si="0"/>
        <v>0</v>
      </c>
      <c r="M13" s="140">
        <f t="shared" si="4"/>
        <v>0</v>
      </c>
      <c r="N13" s="141"/>
      <c r="O13" s="142">
        <f t="shared" si="1"/>
        <v>0</v>
      </c>
      <c r="P13" s="141"/>
      <c r="Q13" s="141"/>
      <c r="R13" s="141"/>
      <c r="S13" s="143">
        <f t="shared" si="2"/>
        <v>0</v>
      </c>
      <c r="T13" s="32" t="str">
        <f t="shared" si="3"/>
        <v>OK</v>
      </c>
      <c r="U13" s="82"/>
      <c r="V13" s="82"/>
      <c r="W13" s="84"/>
      <c r="X13" s="84"/>
      <c r="Y13" s="84"/>
      <c r="Z13" s="8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</row>
    <row r="14" spans="1:39" ht="25.15" customHeight="1" x14ac:dyDescent="0.2">
      <c r="A14" s="208">
        <v>4</v>
      </c>
      <c r="B14" s="209" t="s">
        <v>49</v>
      </c>
      <c r="C14" s="40">
        <v>11</v>
      </c>
      <c r="D14" s="211" t="s">
        <v>50</v>
      </c>
      <c r="E14" s="39" t="s">
        <v>51</v>
      </c>
      <c r="F14" s="41" t="s">
        <v>16</v>
      </c>
      <c r="G14" s="41" t="s">
        <v>17</v>
      </c>
      <c r="H14" s="41" t="s">
        <v>44</v>
      </c>
      <c r="I14" s="39" t="s">
        <v>53</v>
      </c>
      <c r="J14" s="42">
        <v>19.63</v>
      </c>
      <c r="K14" s="31">
        <v>0</v>
      </c>
      <c r="L14" s="140">
        <f t="shared" si="0"/>
        <v>0</v>
      </c>
      <c r="M14" s="140">
        <f t="shared" si="4"/>
        <v>0</v>
      </c>
      <c r="N14" s="141"/>
      <c r="O14" s="142">
        <f t="shared" si="1"/>
        <v>0</v>
      </c>
      <c r="P14" s="141"/>
      <c r="Q14" s="141"/>
      <c r="R14" s="141"/>
      <c r="S14" s="143">
        <f t="shared" si="2"/>
        <v>0</v>
      </c>
      <c r="T14" s="32" t="str">
        <f t="shared" si="3"/>
        <v>OK</v>
      </c>
      <c r="U14" s="82"/>
      <c r="V14" s="82"/>
      <c r="W14" s="84"/>
      <c r="X14" s="84"/>
      <c r="Y14" s="84"/>
      <c r="Z14" s="8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</row>
    <row r="15" spans="1:39" ht="22.7" customHeight="1" x14ac:dyDescent="0.2">
      <c r="A15" s="208"/>
      <c r="B15" s="210"/>
      <c r="C15" s="40">
        <v>12</v>
      </c>
      <c r="D15" s="212"/>
      <c r="E15" s="39" t="s">
        <v>52</v>
      </c>
      <c r="F15" s="41" t="s">
        <v>16</v>
      </c>
      <c r="G15" s="41" t="s">
        <v>17</v>
      </c>
      <c r="H15" s="41" t="s">
        <v>44</v>
      </c>
      <c r="I15" s="39" t="s">
        <v>24</v>
      </c>
      <c r="J15" s="42">
        <v>20.27</v>
      </c>
      <c r="K15" s="31">
        <v>0</v>
      </c>
      <c r="L15" s="140">
        <f t="shared" si="0"/>
        <v>0</v>
      </c>
      <c r="M15" s="140">
        <f t="shared" si="4"/>
        <v>0</v>
      </c>
      <c r="N15" s="141"/>
      <c r="O15" s="142">
        <f t="shared" si="1"/>
        <v>0</v>
      </c>
      <c r="P15" s="141"/>
      <c r="Q15" s="141"/>
      <c r="R15" s="141"/>
      <c r="S15" s="143">
        <f t="shared" si="2"/>
        <v>0</v>
      </c>
      <c r="T15" s="32" t="str">
        <f t="shared" si="3"/>
        <v>OK</v>
      </c>
      <c r="U15" s="82"/>
      <c r="V15" s="82"/>
      <c r="W15" s="84"/>
      <c r="X15" s="84"/>
      <c r="Y15" s="84"/>
      <c r="Z15" s="8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</row>
    <row r="16" spans="1:39" ht="45" customHeight="1" x14ac:dyDescent="0.2">
      <c r="A16" s="48">
        <v>5</v>
      </c>
      <c r="B16" s="28" t="s">
        <v>49</v>
      </c>
      <c r="C16" s="26">
        <v>13</v>
      </c>
      <c r="D16" s="49" t="s">
        <v>54</v>
      </c>
      <c r="E16" s="63" t="s">
        <v>55</v>
      </c>
      <c r="F16" s="50" t="s">
        <v>16</v>
      </c>
      <c r="G16" s="50" t="s">
        <v>17</v>
      </c>
      <c r="H16" s="29" t="s">
        <v>44</v>
      </c>
      <c r="I16" s="28" t="s">
        <v>53</v>
      </c>
      <c r="J16" s="30">
        <v>28.9</v>
      </c>
      <c r="K16" s="31">
        <v>150</v>
      </c>
      <c r="L16" s="140">
        <f t="shared" si="0"/>
        <v>91</v>
      </c>
      <c r="M16" s="140">
        <f t="shared" si="4"/>
        <v>91</v>
      </c>
      <c r="N16" s="141"/>
      <c r="O16" s="142">
        <f t="shared" si="1"/>
        <v>37</v>
      </c>
      <c r="P16" s="141"/>
      <c r="Q16" s="141"/>
      <c r="R16" s="141"/>
      <c r="S16" s="143">
        <f t="shared" si="2"/>
        <v>59</v>
      </c>
      <c r="T16" s="32" t="str">
        <f t="shared" si="3"/>
        <v>OK</v>
      </c>
      <c r="U16" s="82"/>
      <c r="V16" s="90">
        <v>20</v>
      </c>
      <c r="W16" s="84"/>
      <c r="X16" s="84"/>
      <c r="Y16" s="115">
        <v>8</v>
      </c>
      <c r="Z16" s="84"/>
      <c r="AA16" s="84">
        <v>13</v>
      </c>
      <c r="AB16" s="34"/>
      <c r="AC16" s="34"/>
      <c r="AD16" s="34"/>
      <c r="AE16" s="34"/>
      <c r="AF16" s="34"/>
      <c r="AG16" s="34"/>
      <c r="AH16" s="34"/>
      <c r="AI16" s="34"/>
      <c r="AJ16" s="84">
        <v>50</v>
      </c>
      <c r="AK16" s="84"/>
      <c r="AL16" s="84"/>
      <c r="AM16" s="34"/>
    </row>
    <row r="17" spans="1:39" ht="61.5" customHeight="1" x14ac:dyDescent="0.2">
      <c r="A17" s="38">
        <v>6</v>
      </c>
      <c r="B17" s="47" t="s">
        <v>49</v>
      </c>
      <c r="C17" s="40">
        <v>14</v>
      </c>
      <c r="D17" s="47" t="s">
        <v>57</v>
      </c>
      <c r="E17" s="39" t="s">
        <v>56</v>
      </c>
      <c r="F17" s="41" t="s">
        <v>16</v>
      </c>
      <c r="G17" s="41" t="s">
        <v>17</v>
      </c>
      <c r="H17" s="41" t="s">
        <v>44</v>
      </c>
      <c r="I17" s="39" t="s">
        <v>24</v>
      </c>
      <c r="J17" s="42">
        <v>9.5</v>
      </c>
      <c r="K17" s="31">
        <v>140</v>
      </c>
      <c r="L17" s="140">
        <f t="shared" si="0"/>
        <v>0</v>
      </c>
      <c r="M17" s="140">
        <f t="shared" si="4"/>
        <v>0</v>
      </c>
      <c r="N17" s="141"/>
      <c r="O17" s="142">
        <f t="shared" si="1"/>
        <v>35</v>
      </c>
      <c r="P17" s="141"/>
      <c r="Q17" s="141"/>
      <c r="R17" s="141"/>
      <c r="S17" s="143">
        <f t="shared" si="2"/>
        <v>140</v>
      </c>
      <c r="T17" s="32" t="str">
        <f t="shared" si="3"/>
        <v>OK</v>
      </c>
      <c r="U17" s="82"/>
      <c r="V17" s="82"/>
      <c r="W17" s="87"/>
      <c r="X17" s="84"/>
      <c r="Y17" s="84"/>
      <c r="Z17" s="8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</row>
    <row r="18" spans="1:39" ht="63.75" customHeight="1" x14ac:dyDescent="0.2">
      <c r="A18" s="65">
        <v>7</v>
      </c>
      <c r="B18" s="28" t="s">
        <v>49</v>
      </c>
      <c r="C18" s="64">
        <v>15</v>
      </c>
      <c r="D18" s="37" t="s">
        <v>58</v>
      </c>
      <c r="E18" s="61" t="s">
        <v>59</v>
      </c>
      <c r="F18" s="29" t="s">
        <v>16</v>
      </c>
      <c r="G18" s="29" t="s">
        <v>17</v>
      </c>
      <c r="H18" s="29" t="s">
        <v>44</v>
      </c>
      <c r="I18" s="28" t="s">
        <v>24</v>
      </c>
      <c r="J18" s="30">
        <v>197.76</v>
      </c>
      <c r="K18" s="31">
        <v>0</v>
      </c>
      <c r="L18" s="140">
        <f t="shared" si="0"/>
        <v>0</v>
      </c>
      <c r="M18" s="140">
        <f t="shared" si="4"/>
        <v>0</v>
      </c>
      <c r="N18" s="141"/>
      <c r="O18" s="142">
        <f t="shared" si="1"/>
        <v>0</v>
      </c>
      <c r="P18" s="141"/>
      <c r="Q18" s="141"/>
      <c r="R18" s="141"/>
      <c r="S18" s="143">
        <f t="shared" si="2"/>
        <v>0</v>
      </c>
      <c r="T18" s="32" t="str">
        <f t="shared" si="3"/>
        <v>OK</v>
      </c>
      <c r="U18" s="82"/>
      <c r="V18" s="82"/>
      <c r="W18" s="87"/>
      <c r="X18" s="84"/>
      <c r="Y18" s="84"/>
      <c r="Z18" s="8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</row>
    <row r="19" spans="1:39" ht="38.25" customHeight="1" x14ac:dyDescent="0.2">
      <c r="A19" s="188">
        <v>8</v>
      </c>
      <c r="B19" s="190" t="s">
        <v>49</v>
      </c>
      <c r="C19" s="40">
        <v>16</v>
      </c>
      <c r="D19" s="199" t="s">
        <v>12</v>
      </c>
      <c r="E19" s="39" t="s">
        <v>60</v>
      </c>
      <c r="F19" s="41" t="s">
        <v>16</v>
      </c>
      <c r="G19" s="41" t="s">
        <v>17</v>
      </c>
      <c r="H19" s="41" t="s">
        <v>44</v>
      </c>
      <c r="I19" s="39" t="s">
        <v>24</v>
      </c>
      <c r="J19" s="42">
        <v>22.35</v>
      </c>
      <c r="K19" s="31">
        <v>1</v>
      </c>
      <c r="L19" s="140">
        <f t="shared" si="0"/>
        <v>0</v>
      </c>
      <c r="M19" s="140">
        <f t="shared" si="4"/>
        <v>0</v>
      </c>
      <c r="N19" s="141"/>
      <c r="O19" s="142">
        <f t="shared" si="1"/>
        <v>0</v>
      </c>
      <c r="P19" s="141"/>
      <c r="Q19" s="141"/>
      <c r="R19" s="141"/>
      <c r="S19" s="143">
        <f t="shared" si="2"/>
        <v>1</v>
      </c>
      <c r="T19" s="32" t="str">
        <f t="shared" si="3"/>
        <v>OK</v>
      </c>
      <c r="U19" s="82"/>
      <c r="V19" s="82"/>
      <c r="W19" s="87"/>
      <c r="X19" s="84"/>
      <c r="Y19" s="84"/>
      <c r="Z19" s="8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</row>
    <row r="20" spans="1:39" ht="29.25" customHeight="1" x14ac:dyDescent="0.2">
      <c r="A20" s="189"/>
      <c r="B20" s="191"/>
      <c r="C20" s="40">
        <v>17</v>
      </c>
      <c r="D20" s="200"/>
      <c r="E20" s="39" t="s">
        <v>61</v>
      </c>
      <c r="F20" s="44" t="s">
        <v>16</v>
      </c>
      <c r="G20" s="44" t="s">
        <v>17</v>
      </c>
      <c r="H20" s="41" t="s">
        <v>44</v>
      </c>
      <c r="I20" s="39" t="s">
        <v>24</v>
      </c>
      <c r="J20" s="42">
        <v>4.5999999999999996</v>
      </c>
      <c r="K20" s="31">
        <v>0</v>
      </c>
      <c r="L20" s="140">
        <f t="shared" si="0"/>
        <v>0</v>
      </c>
      <c r="M20" s="140">
        <f t="shared" si="4"/>
        <v>0</v>
      </c>
      <c r="N20" s="141"/>
      <c r="O20" s="142">
        <f t="shared" si="1"/>
        <v>0</v>
      </c>
      <c r="P20" s="141"/>
      <c r="Q20" s="141"/>
      <c r="R20" s="141"/>
      <c r="S20" s="143">
        <f t="shared" si="2"/>
        <v>0</v>
      </c>
      <c r="T20" s="32" t="str">
        <f t="shared" si="3"/>
        <v>OK</v>
      </c>
      <c r="U20" s="82"/>
      <c r="V20" s="82"/>
      <c r="W20" s="87"/>
      <c r="X20" s="84"/>
      <c r="Y20" s="84"/>
      <c r="Z20" s="87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</row>
    <row r="21" spans="1:39" ht="36" customHeight="1" x14ac:dyDescent="0.2">
      <c r="A21" s="48">
        <v>9</v>
      </c>
      <c r="B21" s="28" t="s">
        <v>62</v>
      </c>
      <c r="C21" s="26">
        <v>18</v>
      </c>
      <c r="D21" s="27" t="s">
        <v>63</v>
      </c>
      <c r="E21" s="28" t="s">
        <v>64</v>
      </c>
      <c r="F21" s="50" t="s">
        <v>16</v>
      </c>
      <c r="G21" s="50" t="s">
        <v>17</v>
      </c>
      <c r="H21" s="29" t="s">
        <v>44</v>
      </c>
      <c r="I21" s="28" t="s">
        <v>24</v>
      </c>
      <c r="J21" s="30">
        <v>3.46</v>
      </c>
      <c r="K21" s="31">
        <v>0</v>
      </c>
      <c r="L21" s="140">
        <f t="shared" si="0"/>
        <v>0</v>
      </c>
      <c r="M21" s="140">
        <f t="shared" si="4"/>
        <v>0</v>
      </c>
      <c r="N21" s="141"/>
      <c r="O21" s="142">
        <f t="shared" si="1"/>
        <v>0</v>
      </c>
      <c r="P21" s="141"/>
      <c r="Q21" s="141"/>
      <c r="R21" s="141"/>
      <c r="S21" s="143">
        <f t="shared" si="2"/>
        <v>0</v>
      </c>
      <c r="T21" s="32" t="str">
        <f t="shared" si="3"/>
        <v>OK</v>
      </c>
      <c r="U21" s="82"/>
      <c r="V21" s="82"/>
      <c r="W21" s="87"/>
      <c r="X21" s="84"/>
      <c r="Y21" s="84"/>
      <c r="Z21" s="87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1:39" ht="45" customHeight="1" x14ac:dyDescent="0.2">
      <c r="A22" s="38">
        <v>10</v>
      </c>
      <c r="B22" s="47" t="s">
        <v>31</v>
      </c>
      <c r="C22" s="40">
        <v>19</v>
      </c>
      <c r="D22" s="47" t="s">
        <v>27</v>
      </c>
      <c r="E22" s="39" t="s">
        <v>23</v>
      </c>
      <c r="F22" s="44" t="s">
        <v>16</v>
      </c>
      <c r="G22" s="44" t="s">
        <v>17</v>
      </c>
      <c r="H22" s="41" t="s">
        <v>44</v>
      </c>
      <c r="I22" s="39" t="s">
        <v>24</v>
      </c>
      <c r="J22" s="42">
        <v>0.4</v>
      </c>
      <c r="K22" s="31">
        <v>0</v>
      </c>
      <c r="L22" s="140">
        <f t="shared" si="0"/>
        <v>0</v>
      </c>
      <c r="M22" s="140">
        <f t="shared" si="4"/>
        <v>0</v>
      </c>
      <c r="N22" s="141"/>
      <c r="O22" s="142">
        <f t="shared" si="1"/>
        <v>0</v>
      </c>
      <c r="P22" s="141"/>
      <c r="Q22" s="141"/>
      <c r="R22" s="141"/>
      <c r="S22" s="143">
        <f t="shared" si="2"/>
        <v>0</v>
      </c>
      <c r="T22" s="32" t="str">
        <f t="shared" si="3"/>
        <v>OK</v>
      </c>
      <c r="U22" s="82"/>
      <c r="V22" s="82"/>
      <c r="W22" s="87"/>
      <c r="X22" s="84"/>
      <c r="Y22" s="84"/>
      <c r="Z22" s="87"/>
      <c r="AA22" s="36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1:39" ht="28.15" customHeight="1" x14ac:dyDescent="0.2">
      <c r="A23" s="194">
        <v>11</v>
      </c>
      <c r="B23" s="196" t="s">
        <v>65</v>
      </c>
      <c r="C23" s="26">
        <v>20</v>
      </c>
      <c r="D23" s="201" t="s">
        <v>25</v>
      </c>
      <c r="E23" s="28" t="s">
        <v>19</v>
      </c>
      <c r="F23" s="50" t="s">
        <v>16</v>
      </c>
      <c r="G23" s="50" t="s">
        <v>17</v>
      </c>
      <c r="H23" s="29" t="s">
        <v>44</v>
      </c>
      <c r="I23" s="28" t="s">
        <v>24</v>
      </c>
      <c r="J23" s="30">
        <v>3.95</v>
      </c>
      <c r="K23" s="31">
        <v>0</v>
      </c>
      <c r="L23" s="140">
        <f t="shared" si="0"/>
        <v>0</v>
      </c>
      <c r="M23" s="140">
        <f t="shared" si="4"/>
        <v>0</v>
      </c>
      <c r="N23" s="141"/>
      <c r="O23" s="142">
        <f t="shared" si="1"/>
        <v>0</v>
      </c>
      <c r="P23" s="141"/>
      <c r="Q23" s="141"/>
      <c r="R23" s="141"/>
      <c r="S23" s="143">
        <f t="shared" si="2"/>
        <v>0</v>
      </c>
      <c r="T23" s="32" t="str">
        <f t="shared" si="3"/>
        <v>OK</v>
      </c>
      <c r="U23" s="82"/>
      <c r="V23" s="82"/>
      <c r="W23" s="87"/>
      <c r="X23" s="84"/>
      <c r="Y23" s="84"/>
      <c r="Z23" s="87"/>
      <c r="AA23" s="36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1:39" ht="25.15" customHeight="1" x14ac:dyDescent="0.2">
      <c r="A24" s="195"/>
      <c r="B24" s="197"/>
      <c r="C24" s="26">
        <v>21</v>
      </c>
      <c r="D24" s="202"/>
      <c r="E24" s="28" t="s">
        <v>20</v>
      </c>
      <c r="F24" s="50" t="s">
        <v>16</v>
      </c>
      <c r="G24" s="50" t="s">
        <v>17</v>
      </c>
      <c r="H24" s="29" t="s">
        <v>44</v>
      </c>
      <c r="I24" s="28" t="s">
        <v>24</v>
      </c>
      <c r="J24" s="30">
        <v>2.41</v>
      </c>
      <c r="K24" s="31">
        <f>600</f>
        <v>600</v>
      </c>
      <c r="L24" s="140">
        <f t="shared" si="0"/>
        <v>450</v>
      </c>
      <c r="M24" s="140">
        <f t="shared" si="4"/>
        <v>450</v>
      </c>
      <c r="N24" s="141">
        <f>-150-150+150</f>
        <v>-150</v>
      </c>
      <c r="O24" s="142">
        <f t="shared" si="1"/>
        <v>150</v>
      </c>
      <c r="P24" s="141"/>
      <c r="Q24" s="141"/>
      <c r="R24" s="141"/>
      <c r="S24" s="143">
        <f t="shared" si="2"/>
        <v>0</v>
      </c>
      <c r="T24" s="32" t="str">
        <f t="shared" si="3"/>
        <v>OK</v>
      </c>
      <c r="U24" s="82"/>
      <c r="V24" s="82"/>
      <c r="W24" s="115">
        <v>300</v>
      </c>
      <c r="X24" s="84"/>
      <c r="Y24" s="84"/>
      <c r="Z24" s="87"/>
      <c r="AA24" s="34"/>
      <c r="AB24" s="34"/>
      <c r="AC24" s="34"/>
      <c r="AD24" s="34"/>
      <c r="AE24" s="34"/>
      <c r="AF24" s="34"/>
      <c r="AG24" s="34">
        <v>150</v>
      </c>
      <c r="AH24" s="34"/>
      <c r="AI24" s="34"/>
      <c r="AJ24" s="34"/>
      <c r="AK24" s="34"/>
      <c r="AL24" s="34"/>
      <c r="AM24" s="34"/>
    </row>
    <row r="25" spans="1:39" ht="26.45" customHeight="1" x14ac:dyDescent="0.2">
      <c r="A25" s="188">
        <v>12</v>
      </c>
      <c r="B25" s="190" t="s">
        <v>62</v>
      </c>
      <c r="C25" s="40">
        <v>22</v>
      </c>
      <c r="D25" s="199" t="s">
        <v>26</v>
      </c>
      <c r="E25" s="39" t="s">
        <v>19</v>
      </c>
      <c r="F25" s="44" t="s">
        <v>16</v>
      </c>
      <c r="G25" s="44" t="s">
        <v>17</v>
      </c>
      <c r="H25" s="41" t="s">
        <v>44</v>
      </c>
      <c r="I25" s="39" t="s">
        <v>24</v>
      </c>
      <c r="J25" s="42">
        <v>2.48</v>
      </c>
      <c r="K25" s="31">
        <v>0</v>
      </c>
      <c r="L25" s="140">
        <f t="shared" si="0"/>
        <v>0</v>
      </c>
      <c r="M25" s="140">
        <f t="shared" si="4"/>
        <v>0</v>
      </c>
      <c r="N25" s="141"/>
      <c r="O25" s="142">
        <f t="shared" si="1"/>
        <v>0</v>
      </c>
      <c r="P25" s="141"/>
      <c r="Q25" s="141"/>
      <c r="R25" s="141"/>
      <c r="S25" s="143">
        <f t="shared" si="2"/>
        <v>0</v>
      </c>
      <c r="T25" s="32" t="str">
        <f t="shared" si="3"/>
        <v>OK</v>
      </c>
      <c r="U25" s="82"/>
      <c r="V25" s="82"/>
      <c r="W25" s="84"/>
      <c r="X25" s="84"/>
      <c r="Y25" s="84"/>
      <c r="Z25" s="87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1:39" ht="24.4" customHeight="1" x14ac:dyDescent="0.2">
      <c r="A26" s="189"/>
      <c r="B26" s="191"/>
      <c r="C26" s="40">
        <v>23</v>
      </c>
      <c r="D26" s="200"/>
      <c r="E26" s="43" t="s">
        <v>20</v>
      </c>
      <c r="F26" s="44" t="s">
        <v>16</v>
      </c>
      <c r="G26" s="44" t="s">
        <v>17</v>
      </c>
      <c r="H26" s="41" t="s">
        <v>44</v>
      </c>
      <c r="I26" s="39" t="s">
        <v>24</v>
      </c>
      <c r="J26" s="42">
        <v>1.2</v>
      </c>
      <c r="K26" s="31">
        <f>750</f>
        <v>750</v>
      </c>
      <c r="L26" s="140">
        <f t="shared" si="0"/>
        <v>0</v>
      </c>
      <c r="M26" s="140">
        <f t="shared" si="4"/>
        <v>0</v>
      </c>
      <c r="N26" s="141">
        <f>-600-150</f>
        <v>-750</v>
      </c>
      <c r="O26" s="142">
        <f t="shared" si="1"/>
        <v>187</v>
      </c>
      <c r="P26" s="141"/>
      <c r="Q26" s="141"/>
      <c r="R26" s="141"/>
      <c r="S26" s="143">
        <f t="shared" si="2"/>
        <v>0</v>
      </c>
      <c r="T26" s="32" t="str">
        <f t="shared" si="3"/>
        <v>OK</v>
      </c>
      <c r="U26" s="82"/>
      <c r="V26" s="82"/>
      <c r="W26" s="84"/>
      <c r="X26" s="84"/>
      <c r="Y26" s="84"/>
      <c r="Z26" s="87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1:39" ht="24" customHeight="1" x14ac:dyDescent="0.2">
      <c r="A27" s="194">
        <v>13</v>
      </c>
      <c r="B27" s="196" t="s">
        <v>65</v>
      </c>
      <c r="C27" s="26">
        <v>24</v>
      </c>
      <c r="D27" s="201" t="s">
        <v>66</v>
      </c>
      <c r="E27" s="28" t="s">
        <v>21</v>
      </c>
      <c r="F27" s="50" t="s">
        <v>16</v>
      </c>
      <c r="G27" s="29" t="s">
        <v>17</v>
      </c>
      <c r="H27" s="29" t="s">
        <v>44</v>
      </c>
      <c r="I27" s="28" t="s">
        <v>24</v>
      </c>
      <c r="J27" s="30">
        <v>0.33</v>
      </c>
      <c r="K27" s="31">
        <v>400</v>
      </c>
      <c r="L27" s="140">
        <f t="shared" si="0"/>
        <v>0</v>
      </c>
      <c r="M27" s="140">
        <f t="shared" si="4"/>
        <v>0</v>
      </c>
      <c r="N27" s="141"/>
      <c r="O27" s="142">
        <f t="shared" si="1"/>
        <v>100</v>
      </c>
      <c r="P27" s="141"/>
      <c r="Q27" s="141"/>
      <c r="R27" s="141"/>
      <c r="S27" s="143">
        <f t="shared" si="2"/>
        <v>400</v>
      </c>
      <c r="T27" s="32" t="str">
        <f t="shared" si="3"/>
        <v>OK</v>
      </c>
      <c r="U27" s="82"/>
      <c r="V27" s="82"/>
      <c r="W27" s="84"/>
      <c r="X27" s="84"/>
      <c r="Y27" s="84"/>
      <c r="Z27" s="87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1:39" ht="30.2" customHeight="1" x14ac:dyDescent="0.2">
      <c r="A28" s="195"/>
      <c r="B28" s="197"/>
      <c r="C28" s="26">
        <v>25</v>
      </c>
      <c r="D28" s="202"/>
      <c r="E28" s="28" t="s">
        <v>22</v>
      </c>
      <c r="F28" s="50" t="s">
        <v>16</v>
      </c>
      <c r="G28" s="50" t="s">
        <v>17</v>
      </c>
      <c r="H28" s="29" t="s">
        <v>44</v>
      </c>
      <c r="I28" s="28" t="s">
        <v>24</v>
      </c>
      <c r="J28" s="30">
        <v>0.15</v>
      </c>
      <c r="K28" s="31">
        <v>5000</v>
      </c>
      <c r="L28" s="140">
        <f t="shared" si="0"/>
        <v>5000</v>
      </c>
      <c r="M28" s="140">
        <f t="shared" si="4"/>
        <v>5000</v>
      </c>
      <c r="N28" s="141"/>
      <c r="O28" s="142">
        <f t="shared" si="1"/>
        <v>1250</v>
      </c>
      <c r="P28" s="141"/>
      <c r="Q28" s="141"/>
      <c r="R28" s="141"/>
      <c r="S28" s="143">
        <f t="shared" si="2"/>
        <v>0</v>
      </c>
      <c r="T28" s="32" t="str">
        <f t="shared" si="3"/>
        <v>OK</v>
      </c>
      <c r="U28" s="82"/>
      <c r="V28" s="82"/>
      <c r="W28" s="115">
        <v>2500</v>
      </c>
      <c r="X28" s="84"/>
      <c r="Y28" s="84"/>
      <c r="Z28" s="87"/>
      <c r="AA28" s="34"/>
      <c r="AB28" s="34"/>
      <c r="AC28" s="34"/>
      <c r="AD28" s="34"/>
      <c r="AE28" s="34"/>
      <c r="AF28" s="34">
        <v>2500</v>
      </c>
      <c r="AG28" s="34"/>
      <c r="AH28" s="34"/>
      <c r="AI28" s="34"/>
      <c r="AJ28" s="34"/>
      <c r="AK28" s="34"/>
      <c r="AL28" s="34"/>
      <c r="AM28" s="34"/>
    </row>
    <row r="29" spans="1:39" ht="26.45" customHeight="1" x14ac:dyDescent="0.2">
      <c r="A29" s="188">
        <v>14</v>
      </c>
      <c r="B29" s="190" t="s">
        <v>65</v>
      </c>
      <c r="C29" s="40">
        <v>26</v>
      </c>
      <c r="D29" s="192" t="s">
        <v>67</v>
      </c>
      <c r="E29" s="66" t="s">
        <v>21</v>
      </c>
      <c r="F29" s="44" t="s">
        <v>16</v>
      </c>
      <c r="G29" s="44" t="s">
        <v>17</v>
      </c>
      <c r="H29" s="41" t="s">
        <v>44</v>
      </c>
      <c r="I29" s="39" t="s">
        <v>24</v>
      </c>
      <c r="J29" s="42">
        <v>0.33</v>
      </c>
      <c r="K29" s="31">
        <v>0</v>
      </c>
      <c r="L29" s="140">
        <f t="shared" si="0"/>
        <v>0</v>
      </c>
      <c r="M29" s="140">
        <f t="shared" si="4"/>
        <v>0</v>
      </c>
      <c r="N29" s="141"/>
      <c r="O29" s="142">
        <f t="shared" si="1"/>
        <v>0</v>
      </c>
      <c r="P29" s="141"/>
      <c r="Q29" s="141"/>
      <c r="R29" s="141"/>
      <c r="S29" s="143">
        <f t="shared" si="2"/>
        <v>0</v>
      </c>
      <c r="T29" s="32" t="str">
        <f t="shared" si="3"/>
        <v>OK</v>
      </c>
      <c r="U29" s="82"/>
      <c r="V29" s="82"/>
      <c r="W29" s="87"/>
      <c r="X29" s="84"/>
      <c r="Y29" s="84"/>
      <c r="Z29" s="87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</row>
    <row r="30" spans="1:39" ht="33.950000000000003" customHeight="1" x14ac:dyDescent="0.2">
      <c r="A30" s="189"/>
      <c r="B30" s="191"/>
      <c r="C30" s="40">
        <v>27</v>
      </c>
      <c r="D30" s="193"/>
      <c r="E30" s="66" t="s">
        <v>22</v>
      </c>
      <c r="F30" s="44" t="s">
        <v>16</v>
      </c>
      <c r="G30" s="44" t="s">
        <v>17</v>
      </c>
      <c r="H30" s="41" t="s">
        <v>44</v>
      </c>
      <c r="I30" s="39" t="s">
        <v>24</v>
      </c>
      <c r="J30" s="42">
        <v>0.23</v>
      </c>
      <c r="K30" s="31">
        <f>15300</f>
        <v>15300</v>
      </c>
      <c r="L30" s="140">
        <f t="shared" si="0"/>
        <v>11992</v>
      </c>
      <c r="M30" s="140">
        <f t="shared" si="4"/>
        <v>11992</v>
      </c>
      <c r="N30" s="141">
        <v>-2008</v>
      </c>
      <c r="O30" s="142">
        <f t="shared" si="1"/>
        <v>3825</v>
      </c>
      <c r="P30" s="141"/>
      <c r="Q30" s="141"/>
      <c r="R30" s="141"/>
      <c r="S30" s="143">
        <f t="shared" si="2"/>
        <v>1300</v>
      </c>
      <c r="T30" s="32" t="str">
        <f t="shared" si="3"/>
        <v>OK</v>
      </c>
      <c r="U30" s="82"/>
      <c r="V30" s="82"/>
      <c r="W30" s="87"/>
      <c r="X30" s="84"/>
      <c r="Y30" s="84"/>
      <c r="Z30" s="87"/>
      <c r="AA30" s="34"/>
      <c r="AB30" s="34"/>
      <c r="AC30" s="34">
        <v>3000</v>
      </c>
      <c r="AD30" s="34"/>
      <c r="AE30" s="34"/>
      <c r="AF30" s="34"/>
      <c r="AG30" s="34"/>
      <c r="AH30" s="34">
        <v>5992</v>
      </c>
      <c r="AI30" s="34">
        <v>3000</v>
      </c>
      <c r="AJ30" s="34"/>
      <c r="AK30" s="34"/>
      <c r="AL30" s="34"/>
      <c r="AM30" s="34"/>
    </row>
    <row r="31" spans="1:39" ht="27" customHeight="1" x14ac:dyDescent="0.2">
      <c r="A31" s="194">
        <v>15</v>
      </c>
      <c r="B31" s="196" t="s">
        <v>31</v>
      </c>
      <c r="C31" s="68">
        <v>28</v>
      </c>
      <c r="D31" s="198" t="s">
        <v>68</v>
      </c>
      <c r="E31" s="28" t="s">
        <v>21</v>
      </c>
      <c r="F31" s="50" t="s">
        <v>16</v>
      </c>
      <c r="G31" s="50" t="s">
        <v>17</v>
      </c>
      <c r="H31" s="29" t="s">
        <v>44</v>
      </c>
      <c r="I31" s="28" t="s">
        <v>24</v>
      </c>
      <c r="J31" s="30">
        <v>0.4</v>
      </c>
      <c r="K31" s="31">
        <v>100</v>
      </c>
      <c r="L31" s="140">
        <f t="shared" si="0"/>
        <v>100</v>
      </c>
      <c r="M31" s="140">
        <f t="shared" si="4"/>
        <v>100</v>
      </c>
      <c r="N31" s="141"/>
      <c r="O31" s="142">
        <f t="shared" si="1"/>
        <v>25</v>
      </c>
      <c r="P31" s="141"/>
      <c r="Q31" s="141"/>
      <c r="R31" s="141"/>
      <c r="S31" s="143">
        <f t="shared" si="2"/>
        <v>0</v>
      </c>
      <c r="T31" s="32" t="str">
        <f t="shared" si="3"/>
        <v>OK</v>
      </c>
      <c r="U31" s="82"/>
      <c r="V31" s="82"/>
      <c r="W31" s="87"/>
      <c r="X31" s="84"/>
      <c r="Y31" s="84"/>
      <c r="Z31" s="87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>
        <v>100</v>
      </c>
      <c r="AL31" s="34"/>
      <c r="AM31" s="34"/>
    </row>
    <row r="32" spans="1:39" ht="29.25" customHeight="1" x14ac:dyDescent="0.2">
      <c r="A32" s="195"/>
      <c r="B32" s="197"/>
      <c r="C32" s="26">
        <v>29</v>
      </c>
      <c r="D32" s="198"/>
      <c r="E32" s="28" t="s">
        <v>22</v>
      </c>
      <c r="F32" s="50" t="s">
        <v>16</v>
      </c>
      <c r="G32" s="50" t="s">
        <v>17</v>
      </c>
      <c r="H32" s="29" t="s">
        <v>44</v>
      </c>
      <c r="I32" s="28" t="s">
        <v>24</v>
      </c>
      <c r="J32" s="30">
        <v>0.44</v>
      </c>
      <c r="K32" s="31">
        <v>4000</v>
      </c>
      <c r="L32" s="140">
        <f t="shared" si="0"/>
        <v>4000</v>
      </c>
      <c r="M32" s="140">
        <f t="shared" si="4"/>
        <v>4000</v>
      </c>
      <c r="N32" s="141"/>
      <c r="O32" s="142">
        <f t="shared" si="1"/>
        <v>1000</v>
      </c>
      <c r="P32" s="141"/>
      <c r="Q32" s="141"/>
      <c r="R32" s="141"/>
      <c r="S32" s="143">
        <f t="shared" si="2"/>
        <v>0</v>
      </c>
      <c r="T32" s="32" t="str">
        <f t="shared" si="3"/>
        <v>OK</v>
      </c>
      <c r="U32" s="82"/>
      <c r="V32" s="82"/>
      <c r="W32" s="84"/>
      <c r="X32" s="84"/>
      <c r="Y32" s="84"/>
      <c r="Z32" s="84"/>
      <c r="AA32" s="34"/>
      <c r="AB32" s="34"/>
      <c r="AC32" s="34"/>
      <c r="AD32" s="34"/>
      <c r="AE32" s="34">
        <v>2000</v>
      </c>
      <c r="AF32" s="34"/>
      <c r="AG32" s="34"/>
      <c r="AH32" s="34"/>
      <c r="AI32" s="34"/>
      <c r="AJ32" s="34"/>
      <c r="AK32" s="34">
        <v>650</v>
      </c>
      <c r="AL32" s="34">
        <v>1350</v>
      </c>
      <c r="AM32" s="34"/>
    </row>
    <row r="33" spans="11:39" x14ac:dyDescent="0.2">
      <c r="K33" s="56">
        <f>SUM(K4:K32)</f>
        <v>26588</v>
      </c>
      <c r="S33" s="56">
        <f t="shared" ref="S33" si="5">SUM(S4:S32)</f>
        <v>1997</v>
      </c>
      <c r="U33" s="123">
        <f t="shared" ref="U33:AL33" si="6">SUMPRODUCT($J$4:$J$32,U4:U32)</f>
        <v>121.5</v>
      </c>
      <c r="V33" s="124">
        <f t="shared" si="6"/>
        <v>578</v>
      </c>
      <c r="W33" s="124">
        <f t="shared" si="6"/>
        <v>1098</v>
      </c>
      <c r="X33" s="124">
        <f t="shared" si="6"/>
        <v>364.5</v>
      </c>
      <c r="Y33" s="124">
        <f t="shared" si="6"/>
        <v>231.2</v>
      </c>
      <c r="Z33" s="124">
        <f t="shared" si="6"/>
        <v>846</v>
      </c>
      <c r="AA33" s="111">
        <f t="shared" si="6"/>
        <v>375.7</v>
      </c>
      <c r="AB33" s="111">
        <f t="shared" si="6"/>
        <v>5499</v>
      </c>
      <c r="AC33" s="111">
        <f t="shared" si="6"/>
        <v>690</v>
      </c>
      <c r="AD33" s="111">
        <f t="shared" si="6"/>
        <v>607.5</v>
      </c>
      <c r="AE33" s="111">
        <f t="shared" si="6"/>
        <v>880</v>
      </c>
      <c r="AF33" s="111">
        <f t="shared" si="6"/>
        <v>375</v>
      </c>
      <c r="AG33" s="111">
        <f t="shared" si="6"/>
        <v>361.5</v>
      </c>
      <c r="AH33" s="111">
        <f t="shared" si="6"/>
        <v>1378.16</v>
      </c>
      <c r="AI33" s="111">
        <f t="shared" si="6"/>
        <v>690</v>
      </c>
      <c r="AJ33" s="111">
        <f t="shared" si="6"/>
        <v>1445</v>
      </c>
      <c r="AK33" s="111">
        <f t="shared" si="6"/>
        <v>326</v>
      </c>
      <c r="AL33" s="111">
        <f t="shared" si="6"/>
        <v>594</v>
      </c>
      <c r="AM33" s="59">
        <f t="shared" ref="AM33" si="7">SUMPRODUCT($J$4:$J$32,AM4:AM32)</f>
        <v>0</v>
      </c>
    </row>
    <row r="34" spans="11:39" x14ac:dyDescent="0.2">
      <c r="K34" s="148">
        <f>SUMPRODUCT($J$4:$J$32,K4:K32)</f>
        <v>30505.85</v>
      </c>
      <c r="L34" s="148">
        <f t="shared" ref="L34:M34" si="8">SUMPRODUCT($J$4:$J$32,L4:L32)</f>
        <v>16461.059999999998</v>
      </c>
      <c r="M34" s="148">
        <f t="shared" si="8"/>
        <v>16461.059999999998</v>
      </c>
    </row>
  </sheetData>
  <mergeCells count="54">
    <mergeCell ref="W1:W2"/>
    <mergeCell ref="A1:C1"/>
    <mergeCell ref="D1:J1"/>
    <mergeCell ref="K1:T1"/>
    <mergeCell ref="U1:U2"/>
    <mergeCell ref="V1:V2"/>
    <mergeCell ref="K2:T2"/>
    <mergeCell ref="A2:J2"/>
    <mergeCell ref="AM1:AM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4:A8"/>
    <mergeCell ref="B4:B8"/>
    <mergeCell ref="D4:D8"/>
    <mergeCell ref="A9:A10"/>
    <mergeCell ref="B9:B10"/>
    <mergeCell ref="D9:D10"/>
    <mergeCell ref="A11:A13"/>
    <mergeCell ref="B11:B13"/>
    <mergeCell ref="D11:D13"/>
    <mergeCell ref="A14:A15"/>
    <mergeCell ref="B14:B15"/>
    <mergeCell ref="D14:D15"/>
    <mergeCell ref="A19:A20"/>
    <mergeCell ref="B19:B20"/>
    <mergeCell ref="D19:D20"/>
    <mergeCell ref="A23:A24"/>
    <mergeCell ref="B23:B24"/>
    <mergeCell ref="D23:D24"/>
    <mergeCell ref="A25:A26"/>
    <mergeCell ref="B25:B26"/>
    <mergeCell ref="D25:D26"/>
    <mergeCell ref="A27:A28"/>
    <mergeCell ref="B27:B28"/>
    <mergeCell ref="D27:D28"/>
    <mergeCell ref="A29:A30"/>
    <mergeCell ref="B29:B30"/>
    <mergeCell ref="D29:D30"/>
    <mergeCell ref="A31:A32"/>
    <mergeCell ref="B31:B32"/>
    <mergeCell ref="D31:D32"/>
  </mergeCells>
  <conditionalFormatting sqref="AA4:AL32">
    <cfRule type="cellIs" dxfId="19" priority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2F5DF-C4DB-40AA-BD62-5C3CFA90FA4C}">
  <dimension ref="A1:AK34"/>
  <sheetViews>
    <sheetView topLeftCell="A19" zoomScale="90" zoomScaleNormal="90" workbookViewId="0">
      <selection activeCell="T19" sqref="T1:T1048576"/>
    </sheetView>
  </sheetViews>
  <sheetFormatPr defaultColWidth="9.7109375" defaultRowHeight="12.75" x14ac:dyDescent="0.2"/>
  <cols>
    <col min="1" max="1" width="7.7109375" style="53" customWidth="1"/>
    <col min="2" max="2" width="11.85546875" style="53" customWidth="1"/>
    <col min="3" max="3" width="5.5703125" style="53" bestFit="1" customWidth="1"/>
    <col min="4" max="4" width="21.28515625" style="54" customWidth="1"/>
    <col min="5" max="5" width="10.85546875" style="53" bestFit="1" customWidth="1"/>
    <col min="6" max="6" width="6.85546875" style="53" customWidth="1"/>
    <col min="7" max="7" width="8.28515625" style="53" customWidth="1"/>
    <col min="8" max="8" width="10.28515625" style="53" customWidth="1"/>
    <col min="9" max="9" width="9.42578125" style="53" customWidth="1"/>
    <col min="10" max="10" width="12.7109375" style="55" bestFit="1" customWidth="1"/>
    <col min="11" max="11" width="13.28515625" style="56" customWidth="1"/>
    <col min="12" max="13" width="14" style="56" bestFit="1" customWidth="1"/>
    <col min="14" max="14" width="12.7109375" style="56" customWidth="1"/>
    <col min="15" max="15" width="14" style="56" bestFit="1" customWidth="1"/>
    <col min="16" max="18" width="10.140625" style="56" customWidth="1"/>
    <col min="19" max="19" width="10.28515625" style="57" customWidth="1"/>
    <col min="20" max="20" width="12.5703125" style="58" customWidth="1"/>
    <col min="21" max="22" width="13.7109375" style="60" customWidth="1"/>
    <col min="23" max="37" width="13.7109375" style="18" customWidth="1"/>
    <col min="38" max="16384" width="9.7109375" style="18"/>
  </cols>
  <sheetData>
    <row r="1" spans="1:37" ht="34.5" customHeight="1" x14ac:dyDescent="0.2">
      <c r="A1" s="219" t="s">
        <v>69</v>
      </c>
      <c r="B1" s="220"/>
      <c r="C1" s="221"/>
      <c r="D1" s="220" t="s">
        <v>32</v>
      </c>
      <c r="E1" s="220"/>
      <c r="F1" s="220"/>
      <c r="G1" s="220"/>
      <c r="H1" s="220"/>
      <c r="I1" s="220"/>
      <c r="J1" s="221"/>
      <c r="K1" s="222" t="s">
        <v>33</v>
      </c>
      <c r="L1" s="223"/>
      <c r="M1" s="223"/>
      <c r="N1" s="223"/>
      <c r="O1" s="223"/>
      <c r="P1" s="223"/>
      <c r="Q1" s="223"/>
      <c r="R1" s="223"/>
      <c r="S1" s="223"/>
      <c r="T1" s="224"/>
      <c r="U1" s="218" t="s">
        <v>124</v>
      </c>
      <c r="V1" s="218" t="s">
        <v>125</v>
      </c>
      <c r="W1" s="218" t="s">
        <v>126</v>
      </c>
      <c r="X1" s="218" t="s">
        <v>127</v>
      </c>
      <c r="Y1" s="218" t="s">
        <v>128</v>
      </c>
      <c r="Z1" s="218" t="s">
        <v>129</v>
      </c>
      <c r="AA1" s="218" t="s">
        <v>130</v>
      </c>
      <c r="AB1" s="218" t="s">
        <v>131</v>
      </c>
      <c r="AC1" s="218" t="s">
        <v>267</v>
      </c>
      <c r="AD1" s="218" t="s">
        <v>268</v>
      </c>
      <c r="AE1" s="218" t="s">
        <v>269</v>
      </c>
      <c r="AF1" s="218" t="s">
        <v>270</v>
      </c>
      <c r="AG1" s="218" t="s">
        <v>271</v>
      </c>
      <c r="AH1" s="218" t="s">
        <v>272</v>
      </c>
      <c r="AI1" s="218" t="s">
        <v>273</v>
      </c>
      <c r="AJ1" s="218" t="s">
        <v>274</v>
      </c>
      <c r="AK1" s="218" t="s">
        <v>30</v>
      </c>
    </row>
    <row r="2" spans="1:37" ht="12.75" customHeight="1" x14ac:dyDescent="0.2">
      <c r="A2" s="252" t="s">
        <v>82</v>
      </c>
      <c r="B2" s="253"/>
      <c r="C2" s="253"/>
      <c r="D2" s="253"/>
      <c r="E2" s="253"/>
      <c r="F2" s="253"/>
      <c r="G2" s="253"/>
      <c r="H2" s="253"/>
      <c r="I2" s="253"/>
      <c r="J2" s="254"/>
      <c r="K2" s="225" t="s">
        <v>91</v>
      </c>
      <c r="L2" s="226"/>
      <c r="M2" s="226"/>
      <c r="N2" s="226"/>
      <c r="O2" s="226"/>
      <c r="P2" s="226"/>
      <c r="Q2" s="226"/>
      <c r="R2" s="226"/>
      <c r="S2" s="226"/>
      <c r="T2" s="227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</row>
    <row r="3" spans="1:37" s="25" customFormat="1" ht="51" x14ac:dyDescent="0.2">
      <c r="A3" s="19" t="s">
        <v>5</v>
      </c>
      <c r="B3" s="19" t="s">
        <v>18</v>
      </c>
      <c r="C3" s="69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43</v>
      </c>
      <c r="I3" s="20" t="s">
        <v>4</v>
      </c>
      <c r="J3" s="21" t="s">
        <v>28</v>
      </c>
      <c r="K3" s="22" t="s">
        <v>6</v>
      </c>
      <c r="L3" s="145" t="s">
        <v>185</v>
      </c>
      <c r="M3" s="145" t="s">
        <v>186</v>
      </c>
      <c r="N3" s="145" t="s">
        <v>187</v>
      </c>
      <c r="O3" s="145" t="s">
        <v>188</v>
      </c>
      <c r="P3" s="145" t="s">
        <v>189</v>
      </c>
      <c r="Q3" s="145" t="s">
        <v>190</v>
      </c>
      <c r="R3" s="145" t="s">
        <v>191</v>
      </c>
      <c r="S3" s="146" t="s">
        <v>0</v>
      </c>
      <c r="T3" s="23" t="s">
        <v>2</v>
      </c>
      <c r="U3" s="101" t="s">
        <v>132</v>
      </c>
      <c r="V3" s="101" t="s">
        <v>133</v>
      </c>
      <c r="W3" s="101" t="s">
        <v>134</v>
      </c>
      <c r="X3" s="101" t="s">
        <v>135</v>
      </c>
      <c r="Y3" s="101" t="s">
        <v>136</v>
      </c>
      <c r="Z3" s="101" t="s">
        <v>137</v>
      </c>
      <c r="AA3" s="101" t="s">
        <v>138</v>
      </c>
      <c r="AB3" s="101" t="s">
        <v>139</v>
      </c>
      <c r="AC3" s="101" t="s">
        <v>275</v>
      </c>
      <c r="AD3" s="101" t="s">
        <v>276</v>
      </c>
      <c r="AE3" s="101" t="s">
        <v>277</v>
      </c>
      <c r="AF3" s="101" t="s">
        <v>278</v>
      </c>
      <c r="AG3" s="101" t="s">
        <v>279</v>
      </c>
      <c r="AH3" s="101">
        <v>45595</v>
      </c>
      <c r="AI3" s="101">
        <v>45604</v>
      </c>
      <c r="AJ3" s="101">
        <v>45615</v>
      </c>
      <c r="AK3" s="24" t="s">
        <v>1</v>
      </c>
    </row>
    <row r="4" spans="1:37" ht="23.25" customHeight="1" x14ac:dyDescent="0.2">
      <c r="A4" s="203">
        <v>1</v>
      </c>
      <c r="B4" s="196" t="s">
        <v>31</v>
      </c>
      <c r="C4" s="26">
        <v>1</v>
      </c>
      <c r="D4" s="201" t="s">
        <v>34</v>
      </c>
      <c r="E4" s="28" t="s">
        <v>35</v>
      </c>
      <c r="F4" s="29" t="s">
        <v>16</v>
      </c>
      <c r="G4" s="29" t="s">
        <v>17</v>
      </c>
      <c r="H4" s="29" t="s">
        <v>44</v>
      </c>
      <c r="I4" s="28" t="s">
        <v>24</v>
      </c>
      <c r="J4" s="30">
        <v>12.15</v>
      </c>
      <c r="K4" s="31">
        <v>52</v>
      </c>
      <c r="L4" s="140">
        <f t="shared" ref="L4:L32" si="0">IF(SUM(U4:AN4)&gt;K4+N4,K4+N4,SUM(U4:AN4))</f>
        <v>0</v>
      </c>
      <c r="M4" s="140">
        <f t="shared" ref="M4:M32" si="1">(SUM(U4:AN4))</f>
        <v>0</v>
      </c>
      <c r="N4" s="141"/>
      <c r="O4" s="142">
        <f t="shared" ref="O4:O32" si="2">ROUND(IF(K4*0.25-0.5&lt;0,0,K4*0.25-0.5),0)-R4-P4</f>
        <v>13</v>
      </c>
      <c r="P4" s="141"/>
      <c r="Q4" s="141"/>
      <c r="R4" s="141"/>
      <c r="S4" s="143">
        <f t="shared" ref="S4:S32" si="3">K4+N4+P4+Q4-M4</f>
        <v>52</v>
      </c>
      <c r="T4" s="32" t="str">
        <f t="shared" ref="T4:T32" si="4">IF(S4&lt;0,"ATENÇÃO","OK")</f>
        <v>OK</v>
      </c>
      <c r="U4" s="33"/>
      <c r="V4" s="33"/>
      <c r="W4" s="34"/>
      <c r="X4" s="34"/>
      <c r="Y4" s="34"/>
      <c r="Z4" s="34"/>
      <c r="AA4" s="34"/>
      <c r="AB4" s="48"/>
      <c r="AC4" s="34"/>
      <c r="AD4" s="34"/>
      <c r="AE4" s="34"/>
      <c r="AF4" s="34"/>
      <c r="AG4" s="34"/>
      <c r="AH4" s="34"/>
      <c r="AI4" s="34"/>
      <c r="AJ4" s="34"/>
      <c r="AK4" s="34"/>
    </row>
    <row r="5" spans="1:37" ht="26.45" customHeight="1" x14ac:dyDescent="0.2">
      <c r="A5" s="204"/>
      <c r="B5" s="206"/>
      <c r="C5" s="26">
        <v>2</v>
      </c>
      <c r="D5" s="207"/>
      <c r="E5" s="28" t="s">
        <v>36</v>
      </c>
      <c r="F5" s="29" t="s">
        <v>16</v>
      </c>
      <c r="G5" s="29" t="s">
        <v>17</v>
      </c>
      <c r="H5" s="29" t="s">
        <v>44</v>
      </c>
      <c r="I5" s="28" t="s">
        <v>24</v>
      </c>
      <c r="J5" s="30">
        <v>40.5</v>
      </c>
      <c r="K5" s="31">
        <v>158</v>
      </c>
      <c r="L5" s="140">
        <f t="shared" si="0"/>
        <v>40</v>
      </c>
      <c r="M5" s="140">
        <f t="shared" si="1"/>
        <v>40</v>
      </c>
      <c r="N5" s="141"/>
      <c r="O5" s="142">
        <f t="shared" si="2"/>
        <v>39</v>
      </c>
      <c r="P5" s="141"/>
      <c r="Q5" s="141"/>
      <c r="R5" s="141"/>
      <c r="S5" s="143">
        <f t="shared" si="3"/>
        <v>118</v>
      </c>
      <c r="T5" s="32" t="str">
        <f t="shared" si="4"/>
        <v>OK</v>
      </c>
      <c r="U5" s="33"/>
      <c r="V5" s="109">
        <v>15</v>
      </c>
      <c r="W5" s="36"/>
      <c r="X5" s="34"/>
      <c r="Y5" s="34"/>
      <c r="Z5" s="34"/>
      <c r="AA5" s="34"/>
      <c r="AB5" s="48"/>
      <c r="AC5" s="34"/>
      <c r="AD5" s="34"/>
      <c r="AE5" s="34"/>
      <c r="AF5" s="48">
        <v>8</v>
      </c>
      <c r="AG5" s="48"/>
      <c r="AH5" s="48">
        <v>5</v>
      </c>
      <c r="AI5" s="48">
        <v>12</v>
      </c>
      <c r="AJ5" s="48"/>
      <c r="AK5" s="34"/>
    </row>
    <row r="6" spans="1:37" ht="24" customHeight="1" x14ac:dyDescent="0.2">
      <c r="A6" s="204"/>
      <c r="B6" s="206"/>
      <c r="C6" s="26">
        <v>3</v>
      </c>
      <c r="D6" s="207"/>
      <c r="E6" s="28" t="s">
        <v>37</v>
      </c>
      <c r="F6" s="29" t="s">
        <v>16</v>
      </c>
      <c r="G6" s="29" t="s">
        <v>17</v>
      </c>
      <c r="H6" s="29" t="s">
        <v>44</v>
      </c>
      <c r="I6" s="28" t="s">
        <v>24</v>
      </c>
      <c r="J6" s="30">
        <v>49.5</v>
      </c>
      <c r="K6" s="31">
        <v>102</v>
      </c>
      <c r="L6" s="140">
        <f t="shared" si="0"/>
        <v>4</v>
      </c>
      <c r="M6" s="140">
        <f t="shared" si="1"/>
        <v>4</v>
      </c>
      <c r="N6" s="141"/>
      <c r="O6" s="142">
        <f t="shared" si="2"/>
        <v>25</v>
      </c>
      <c r="P6" s="141"/>
      <c r="Q6" s="141"/>
      <c r="R6" s="141"/>
      <c r="S6" s="143">
        <f t="shared" si="3"/>
        <v>98</v>
      </c>
      <c r="T6" s="32" t="str">
        <f t="shared" si="4"/>
        <v>OK</v>
      </c>
      <c r="U6" s="33"/>
      <c r="V6" s="35"/>
      <c r="W6" s="36"/>
      <c r="X6" s="34"/>
      <c r="Y6" s="109">
        <v>4</v>
      </c>
      <c r="Z6" s="34"/>
      <c r="AA6" s="34"/>
      <c r="AB6" s="48"/>
      <c r="AC6" s="34"/>
      <c r="AD6" s="34"/>
      <c r="AE6" s="34"/>
      <c r="AF6" s="34"/>
      <c r="AG6" s="34"/>
      <c r="AH6" s="34"/>
      <c r="AI6" s="34"/>
      <c r="AJ6" s="34"/>
      <c r="AK6" s="34"/>
    </row>
    <row r="7" spans="1:37" ht="24" customHeight="1" x14ac:dyDescent="0.2">
      <c r="A7" s="204"/>
      <c r="B7" s="206"/>
      <c r="C7" s="26">
        <v>4</v>
      </c>
      <c r="D7" s="207"/>
      <c r="E7" s="28" t="s">
        <v>38</v>
      </c>
      <c r="F7" s="29" t="s">
        <v>16</v>
      </c>
      <c r="G7" s="29" t="s">
        <v>17</v>
      </c>
      <c r="H7" s="29" t="s">
        <v>44</v>
      </c>
      <c r="I7" s="28" t="s">
        <v>24</v>
      </c>
      <c r="J7" s="30">
        <v>53</v>
      </c>
      <c r="K7" s="31">
        <v>56</v>
      </c>
      <c r="L7" s="140">
        <f t="shared" si="0"/>
        <v>7</v>
      </c>
      <c r="M7" s="140">
        <f t="shared" si="1"/>
        <v>7</v>
      </c>
      <c r="N7" s="141">
        <v>-20</v>
      </c>
      <c r="O7" s="142">
        <f t="shared" si="2"/>
        <v>14</v>
      </c>
      <c r="P7" s="141"/>
      <c r="Q7" s="141"/>
      <c r="R7" s="141"/>
      <c r="S7" s="143">
        <f t="shared" si="3"/>
        <v>29</v>
      </c>
      <c r="T7" s="32" t="str">
        <f t="shared" si="4"/>
        <v>OK</v>
      </c>
      <c r="U7" s="33"/>
      <c r="V7" s="33"/>
      <c r="W7" s="34"/>
      <c r="X7" s="34"/>
      <c r="Y7" s="34"/>
      <c r="Z7" s="116">
        <v>6</v>
      </c>
      <c r="AA7" s="117">
        <v>1</v>
      </c>
      <c r="AB7" s="117"/>
      <c r="AC7" s="48"/>
      <c r="AD7" s="34"/>
      <c r="AE7" s="34"/>
      <c r="AF7" s="34"/>
      <c r="AG7" s="34"/>
      <c r="AH7" s="34"/>
      <c r="AI7" s="34"/>
      <c r="AJ7" s="34"/>
      <c r="AK7" s="34"/>
    </row>
    <row r="8" spans="1:37" ht="19.5" customHeight="1" x14ac:dyDescent="0.2">
      <c r="A8" s="205"/>
      <c r="B8" s="197"/>
      <c r="C8" s="26">
        <v>5</v>
      </c>
      <c r="D8" s="202"/>
      <c r="E8" s="28" t="s">
        <v>39</v>
      </c>
      <c r="F8" s="29" t="s">
        <v>16</v>
      </c>
      <c r="G8" s="29" t="s">
        <v>17</v>
      </c>
      <c r="H8" s="29" t="s">
        <v>44</v>
      </c>
      <c r="I8" s="28" t="s">
        <v>24</v>
      </c>
      <c r="J8" s="30">
        <v>30.4</v>
      </c>
      <c r="K8" s="31">
        <v>196</v>
      </c>
      <c r="L8" s="140">
        <f t="shared" si="0"/>
        <v>174</v>
      </c>
      <c r="M8" s="140">
        <f t="shared" si="1"/>
        <v>174</v>
      </c>
      <c r="N8" s="141"/>
      <c r="O8" s="142">
        <f t="shared" si="2"/>
        <v>49</v>
      </c>
      <c r="P8" s="141"/>
      <c r="Q8" s="141"/>
      <c r="R8" s="141"/>
      <c r="S8" s="143">
        <f t="shared" si="3"/>
        <v>22</v>
      </c>
      <c r="T8" s="32" t="str">
        <f t="shared" si="4"/>
        <v>OK</v>
      </c>
      <c r="U8" s="109">
        <v>36</v>
      </c>
      <c r="V8" s="109">
        <v>2</v>
      </c>
      <c r="W8" s="34"/>
      <c r="X8" s="34"/>
      <c r="Y8" s="109">
        <v>4</v>
      </c>
      <c r="Z8" s="116">
        <v>2</v>
      </c>
      <c r="AA8" s="117">
        <v>20</v>
      </c>
      <c r="AB8" s="117"/>
      <c r="AC8" s="48">
        <v>15</v>
      </c>
      <c r="AD8" s="34"/>
      <c r="AE8" s="48">
        <v>10</v>
      </c>
      <c r="AF8" s="34"/>
      <c r="AG8" s="34"/>
      <c r="AH8" s="48">
        <v>22</v>
      </c>
      <c r="AI8" s="48"/>
      <c r="AJ8" s="48">
        <v>63</v>
      </c>
      <c r="AK8" s="34"/>
    </row>
    <row r="9" spans="1:37" ht="21.75" customHeight="1" x14ac:dyDescent="0.2">
      <c r="A9" s="216">
        <v>2</v>
      </c>
      <c r="B9" s="190" t="s">
        <v>31</v>
      </c>
      <c r="C9" s="40">
        <v>6</v>
      </c>
      <c r="D9" s="199" t="s">
        <v>40</v>
      </c>
      <c r="E9" s="39" t="s">
        <v>35</v>
      </c>
      <c r="F9" s="41" t="s">
        <v>16</v>
      </c>
      <c r="G9" s="41" t="s">
        <v>17</v>
      </c>
      <c r="H9" s="41" t="s">
        <v>44</v>
      </c>
      <c r="I9" s="39" t="s">
        <v>24</v>
      </c>
      <c r="J9" s="42">
        <v>14.21</v>
      </c>
      <c r="K9" s="31">
        <v>10</v>
      </c>
      <c r="L9" s="140">
        <f t="shared" si="0"/>
        <v>0</v>
      </c>
      <c r="M9" s="140">
        <f t="shared" si="1"/>
        <v>0</v>
      </c>
      <c r="N9" s="141"/>
      <c r="O9" s="142">
        <f t="shared" si="2"/>
        <v>2</v>
      </c>
      <c r="P9" s="141"/>
      <c r="Q9" s="141"/>
      <c r="R9" s="141"/>
      <c r="S9" s="143">
        <f t="shared" si="3"/>
        <v>10</v>
      </c>
      <c r="T9" s="32" t="str">
        <f t="shared" si="4"/>
        <v>OK</v>
      </c>
      <c r="U9" s="33"/>
      <c r="V9" s="33"/>
      <c r="W9" s="34"/>
      <c r="X9" s="34"/>
      <c r="Y9" s="34"/>
      <c r="Z9" s="34"/>
      <c r="AA9" s="34"/>
      <c r="AB9" s="48"/>
      <c r="AC9" s="34"/>
      <c r="AD9" s="34"/>
      <c r="AE9" s="34"/>
      <c r="AF9" s="34"/>
      <c r="AG9" s="34"/>
      <c r="AH9" s="34"/>
      <c r="AI9" s="34"/>
      <c r="AJ9" s="34"/>
      <c r="AK9" s="34"/>
    </row>
    <row r="10" spans="1:37" ht="20.25" customHeight="1" x14ac:dyDescent="0.2">
      <c r="A10" s="217"/>
      <c r="B10" s="191"/>
      <c r="C10" s="40">
        <v>7</v>
      </c>
      <c r="D10" s="200"/>
      <c r="E10" s="39" t="s">
        <v>41</v>
      </c>
      <c r="F10" s="41" t="s">
        <v>16</v>
      </c>
      <c r="G10" s="41" t="s">
        <v>17</v>
      </c>
      <c r="H10" s="41" t="s">
        <v>44</v>
      </c>
      <c r="I10" s="39" t="s">
        <v>24</v>
      </c>
      <c r="J10" s="42">
        <v>20.9</v>
      </c>
      <c r="K10" s="31">
        <v>24</v>
      </c>
      <c r="L10" s="140">
        <f t="shared" si="0"/>
        <v>0</v>
      </c>
      <c r="M10" s="140">
        <f t="shared" si="1"/>
        <v>0</v>
      </c>
      <c r="N10" s="141"/>
      <c r="O10" s="142">
        <f t="shared" si="2"/>
        <v>6</v>
      </c>
      <c r="P10" s="141"/>
      <c r="Q10" s="141"/>
      <c r="R10" s="141"/>
      <c r="S10" s="143">
        <f t="shared" si="3"/>
        <v>24</v>
      </c>
      <c r="T10" s="32" t="str">
        <f t="shared" si="4"/>
        <v>OK</v>
      </c>
      <c r="U10" s="35"/>
      <c r="V10" s="33"/>
      <c r="W10" s="34"/>
      <c r="X10" s="34"/>
      <c r="Y10" s="34"/>
      <c r="Z10" s="34"/>
      <c r="AA10" s="34"/>
      <c r="AB10" s="48"/>
      <c r="AC10" s="34"/>
      <c r="AD10" s="34"/>
      <c r="AE10" s="34"/>
      <c r="AF10" s="34"/>
      <c r="AG10" s="34"/>
      <c r="AH10" s="34"/>
      <c r="AI10" s="34"/>
      <c r="AJ10" s="34"/>
      <c r="AK10" s="34"/>
    </row>
    <row r="11" spans="1:37" ht="25.5" x14ac:dyDescent="0.2">
      <c r="A11" s="203">
        <v>3</v>
      </c>
      <c r="B11" s="196" t="s">
        <v>42</v>
      </c>
      <c r="C11" s="26">
        <v>8</v>
      </c>
      <c r="D11" s="201" t="s">
        <v>45</v>
      </c>
      <c r="E11" s="28" t="s">
        <v>46</v>
      </c>
      <c r="F11" s="29" t="s">
        <v>16</v>
      </c>
      <c r="G11" s="29" t="s">
        <v>17</v>
      </c>
      <c r="H11" s="29" t="s">
        <v>44</v>
      </c>
      <c r="I11" s="28" t="s">
        <v>24</v>
      </c>
      <c r="J11" s="30">
        <v>423</v>
      </c>
      <c r="K11" s="31">
        <v>7</v>
      </c>
      <c r="L11" s="140">
        <f t="shared" si="0"/>
        <v>0</v>
      </c>
      <c r="M11" s="140">
        <f t="shared" si="1"/>
        <v>0</v>
      </c>
      <c r="N11" s="141"/>
      <c r="O11" s="142">
        <f t="shared" si="2"/>
        <v>1</v>
      </c>
      <c r="P11" s="141"/>
      <c r="Q11" s="141"/>
      <c r="R11" s="141"/>
      <c r="S11" s="143">
        <f t="shared" si="3"/>
        <v>7</v>
      </c>
      <c r="T11" s="32" t="str">
        <f t="shared" si="4"/>
        <v>OK</v>
      </c>
      <c r="U11" s="33"/>
      <c r="V11" s="33"/>
      <c r="W11" s="34"/>
      <c r="X11" s="34"/>
      <c r="Y11" s="34"/>
      <c r="Z11" s="34"/>
      <c r="AA11" s="34"/>
      <c r="AB11" s="48"/>
      <c r="AC11" s="34"/>
      <c r="AD11" s="34"/>
      <c r="AE11" s="34"/>
      <c r="AF11" s="34"/>
      <c r="AG11" s="34"/>
      <c r="AH11" s="34"/>
      <c r="AI11" s="34"/>
      <c r="AJ11" s="34"/>
      <c r="AK11" s="34"/>
    </row>
    <row r="12" spans="1:37" ht="21.2" customHeight="1" x14ac:dyDescent="0.2">
      <c r="A12" s="204"/>
      <c r="B12" s="206"/>
      <c r="C12" s="26">
        <v>9</v>
      </c>
      <c r="D12" s="207"/>
      <c r="E12" s="28" t="s">
        <v>47</v>
      </c>
      <c r="F12" s="29" t="s">
        <v>16</v>
      </c>
      <c r="G12" s="29" t="s">
        <v>17</v>
      </c>
      <c r="H12" s="29" t="s">
        <v>44</v>
      </c>
      <c r="I12" s="28" t="s">
        <v>24</v>
      </c>
      <c r="J12" s="30">
        <v>1613</v>
      </c>
      <c r="K12" s="31">
        <v>3</v>
      </c>
      <c r="L12" s="140">
        <f t="shared" si="0"/>
        <v>0</v>
      </c>
      <c r="M12" s="140">
        <f t="shared" si="1"/>
        <v>0</v>
      </c>
      <c r="N12" s="141"/>
      <c r="O12" s="142">
        <f t="shared" si="2"/>
        <v>0</v>
      </c>
      <c r="P12" s="141"/>
      <c r="Q12" s="141"/>
      <c r="R12" s="141"/>
      <c r="S12" s="143">
        <f t="shared" si="3"/>
        <v>3</v>
      </c>
      <c r="T12" s="32" t="str">
        <f t="shared" si="4"/>
        <v>OK</v>
      </c>
      <c r="U12" s="33"/>
      <c r="V12" s="33"/>
      <c r="W12" s="34"/>
      <c r="X12" s="34"/>
      <c r="Y12" s="34"/>
      <c r="Z12" s="34"/>
      <c r="AA12" s="34"/>
      <c r="AB12" s="48"/>
      <c r="AC12" s="34"/>
      <c r="AD12" s="34"/>
      <c r="AE12" s="34"/>
      <c r="AF12" s="34"/>
      <c r="AG12" s="34"/>
      <c r="AH12" s="34"/>
      <c r="AI12" s="34"/>
      <c r="AJ12" s="34"/>
      <c r="AK12" s="34"/>
    </row>
    <row r="13" spans="1:37" ht="19.5" customHeight="1" x14ac:dyDescent="0.2">
      <c r="A13" s="205"/>
      <c r="B13" s="197"/>
      <c r="C13" s="26">
        <v>10</v>
      </c>
      <c r="D13" s="202"/>
      <c r="E13" s="28" t="s">
        <v>48</v>
      </c>
      <c r="F13" s="29" t="s">
        <v>16</v>
      </c>
      <c r="G13" s="29" t="s">
        <v>17</v>
      </c>
      <c r="H13" s="29" t="s">
        <v>44</v>
      </c>
      <c r="I13" s="28" t="s">
        <v>24</v>
      </c>
      <c r="J13" s="30">
        <v>1749</v>
      </c>
      <c r="K13" s="31">
        <f>3</f>
        <v>3</v>
      </c>
      <c r="L13" s="140">
        <f t="shared" si="0"/>
        <v>0</v>
      </c>
      <c r="M13" s="140">
        <f t="shared" si="1"/>
        <v>0</v>
      </c>
      <c r="N13" s="141">
        <v>-3</v>
      </c>
      <c r="O13" s="142">
        <f t="shared" si="2"/>
        <v>0</v>
      </c>
      <c r="P13" s="141"/>
      <c r="Q13" s="141"/>
      <c r="R13" s="141"/>
      <c r="S13" s="143">
        <f t="shared" si="3"/>
        <v>0</v>
      </c>
      <c r="T13" s="32" t="str">
        <f t="shared" si="4"/>
        <v>OK</v>
      </c>
      <c r="U13" s="33"/>
      <c r="V13" s="33"/>
      <c r="W13" s="34"/>
      <c r="X13" s="34"/>
      <c r="Y13" s="34"/>
      <c r="Z13" s="34"/>
      <c r="AA13" s="34"/>
      <c r="AB13" s="48"/>
      <c r="AC13" s="34"/>
      <c r="AD13" s="34"/>
      <c r="AE13" s="34"/>
      <c r="AF13" s="34"/>
      <c r="AG13" s="34"/>
      <c r="AH13" s="34"/>
      <c r="AI13" s="34"/>
      <c r="AJ13" s="34"/>
      <c r="AK13" s="34"/>
    </row>
    <row r="14" spans="1:37" ht="25.15" customHeight="1" x14ac:dyDescent="0.2">
      <c r="A14" s="208">
        <v>4</v>
      </c>
      <c r="B14" s="209" t="s">
        <v>49</v>
      </c>
      <c r="C14" s="40">
        <v>11</v>
      </c>
      <c r="D14" s="211" t="s">
        <v>50</v>
      </c>
      <c r="E14" s="39" t="s">
        <v>51</v>
      </c>
      <c r="F14" s="41" t="s">
        <v>16</v>
      </c>
      <c r="G14" s="41" t="s">
        <v>17</v>
      </c>
      <c r="H14" s="41" t="s">
        <v>44</v>
      </c>
      <c r="I14" s="39" t="s">
        <v>53</v>
      </c>
      <c r="J14" s="42">
        <v>19.63</v>
      </c>
      <c r="K14" s="31">
        <v>103</v>
      </c>
      <c r="L14" s="140">
        <f t="shared" si="0"/>
        <v>3</v>
      </c>
      <c r="M14" s="140">
        <f t="shared" si="1"/>
        <v>3</v>
      </c>
      <c r="N14" s="141"/>
      <c r="O14" s="142">
        <f t="shared" si="2"/>
        <v>25</v>
      </c>
      <c r="P14" s="141"/>
      <c r="Q14" s="141"/>
      <c r="R14" s="141"/>
      <c r="S14" s="143">
        <f t="shared" si="3"/>
        <v>100</v>
      </c>
      <c r="T14" s="32" t="str">
        <f t="shared" si="4"/>
        <v>OK</v>
      </c>
      <c r="U14" s="33"/>
      <c r="V14" s="33"/>
      <c r="W14" s="34"/>
      <c r="X14" s="34"/>
      <c r="Y14" s="36"/>
      <c r="Z14" s="36"/>
      <c r="AA14" s="36"/>
      <c r="AB14" s="48">
        <v>3</v>
      </c>
      <c r="AC14" s="34"/>
      <c r="AD14" s="34"/>
      <c r="AE14" s="34"/>
      <c r="AF14" s="34"/>
      <c r="AG14" s="34"/>
      <c r="AH14" s="34"/>
      <c r="AI14" s="34"/>
      <c r="AJ14" s="34"/>
      <c r="AK14" s="34"/>
    </row>
    <row r="15" spans="1:37" ht="22.7" customHeight="1" x14ac:dyDescent="0.2">
      <c r="A15" s="208"/>
      <c r="B15" s="210"/>
      <c r="C15" s="40">
        <v>12</v>
      </c>
      <c r="D15" s="212"/>
      <c r="E15" s="39" t="s">
        <v>52</v>
      </c>
      <c r="F15" s="41" t="s">
        <v>16</v>
      </c>
      <c r="G15" s="41" t="s">
        <v>17</v>
      </c>
      <c r="H15" s="41" t="s">
        <v>44</v>
      </c>
      <c r="I15" s="39" t="s">
        <v>24</v>
      </c>
      <c r="J15" s="42">
        <v>20.27</v>
      </c>
      <c r="K15" s="31">
        <v>51</v>
      </c>
      <c r="L15" s="140">
        <f t="shared" si="0"/>
        <v>15</v>
      </c>
      <c r="M15" s="140">
        <f t="shared" si="1"/>
        <v>15</v>
      </c>
      <c r="N15" s="141"/>
      <c r="O15" s="142">
        <f t="shared" si="2"/>
        <v>12</v>
      </c>
      <c r="P15" s="141"/>
      <c r="Q15" s="141"/>
      <c r="R15" s="141"/>
      <c r="S15" s="143">
        <f t="shared" si="3"/>
        <v>36</v>
      </c>
      <c r="T15" s="32" t="str">
        <f t="shared" si="4"/>
        <v>OK</v>
      </c>
      <c r="U15" s="33"/>
      <c r="V15" s="33"/>
      <c r="W15" s="109">
        <v>15</v>
      </c>
      <c r="X15" s="34"/>
      <c r="Y15" s="34"/>
      <c r="Z15" s="34"/>
      <c r="AA15" s="34"/>
      <c r="AB15" s="48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7" ht="45" customHeight="1" x14ac:dyDescent="0.2">
      <c r="A16" s="48">
        <v>5</v>
      </c>
      <c r="B16" s="28" t="s">
        <v>49</v>
      </c>
      <c r="C16" s="26">
        <v>13</v>
      </c>
      <c r="D16" s="49" t="s">
        <v>54</v>
      </c>
      <c r="E16" s="63" t="s">
        <v>55</v>
      </c>
      <c r="F16" s="50" t="s">
        <v>16</v>
      </c>
      <c r="G16" s="50" t="s">
        <v>17</v>
      </c>
      <c r="H16" s="29" t="s">
        <v>44</v>
      </c>
      <c r="I16" s="28" t="s">
        <v>53</v>
      </c>
      <c r="J16" s="30">
        <v>28.9</v>
      </c>
      <c r="K16" s="31">
        <v>53</v>
      </c>
      <c r="L16" s="140">
        <f t="shared" si="0"/>
        <v>0</v>
      </c>
      <c r="M16" s="140">
        <f t="shared" si="1"/>
        <v>0</v>
      </c>
      <c r="N16" s="141"/>
      <c r="O16" s="142">
        <f t="shared" si="2"/>
        <v>13</v>
      </c>
      <c r="P16" s="141"/>
      <c r="Q16" s="141"/>
      <c r="R16" s="141"/>
      <c r="S16" s="143">
        <f t="shared" si="3"/>
        <v>53</v>
      </c>
      <c r="T16" s="32" t="str">
        <f t="shared" si="4"/>
        <v>OK</v>
      </c>
      <c r="U16" s="33"/>
      <c r="V16" s="33"/>
      <c r="W16" s="34"/>
      <c r="X16" s="34"/>
      <c r="Y16" s="34"/>
      <c r="Z16" s="34"/>
      <c r="AA16" s="34"/>
      <c r="AB16" s="48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37" ht="48" customHeight="1" x14ac:dyDescent="0.2">
      <c r="A17" s="38">
        <v>6</v>
      </c>
      <c r="B17" s="47" t="s">
        <v>49</v>
      </c>
      <c r="C17" s="40">
        <v>14</v>
      </c>
      <c r="D17" s="47" t="s">
        <v>57</v>
      </c>
      <c r="E17" s="39" t="s">
        <v>56</v>
      </c>
      <c r="F17" s="41" t="s">
        <v>16</v>
      </c>
      <c r="G17" s="41" t="s">
        <v>17</v>
      </c>
      <c r="H17" s="41" t="s">
        <v>44</v>
      </c>
      <c r="I17" s="39" t="s">
        <v>24</v>
      </c>
      <c r="J17" s="42">
        <v>9.5</v>
      </c>
      <c r="K17" s="31">
        <v>600</v>
      </c>
      <c r="L17" s="140">
        <f t="shared" si="0"/>
        <v>0</v>
      </c>
      <c r="M17" s="140">
        <f t="shared" si="1"/>
        <v>0</v>
      </c>
      <c r="N17" s="141"/>
      <c r="O17" s="142">
        <f t="shared" si="2"/>
        <v>150</v>
      </c>
      <c r="P17" s="141"/>
      <c r="Q17" s="141"/>
      <c r="R17" s="141"/>
      <c r="S17" s="143">
        <f t="shared" si="3"/>
        <v>600</v>
      </c>
      <c r="T17" s="32" t="str">
        <f t="shared" si="4"/>
        <v>OK</v>
      </c>
      <c r="U17" s="33"/>
      <c r="V17" s="35"/>
      <c r="W17" s="45"/>
      <c r="X17" s="34"/>
      <c r="Y17" s="34"/>
      <c r="Z17" s="36"/>
      <c r="AA17" s="36"/>
      <c r="AB17" s="48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37" ht="63.75" customHeight="1" x14ac:dyDescent="0.2">
      <c r="A18" s="65">
        <v>7</v>
      </c>
      <c r="B18" s="28" t="s">
        <v>49</v>
      </c>
      <c r="C18" s="64">
        <v>15</v>
      </c>
      <c r="D18" s="37" t="s">
        <v>58</v>
      </c>
      <c r="E18" s="61" t="s">
        <v>59</v>
      </c>
      <c r="F18" s="29" t="s">
        <v>16</v>
      </c>
      <c r="G18" s="29" t="s">
        <v>17</v>
      </c>
      <c r="H18" s="29" t="s">
        <v>44</v>
      </c>
      <c r="I18" s="28" t="s">
        <v>24</v>
      </c>
      <c r="J18" s="30">
        <v>197.76</v>
      </c>
      <c r="K18" s="31">
        <v>11</v>
      </c>
      <c r="L18" s="140">
        <f t="shared" si="0"/>
        <v>0</v>
      </c>
      <c r="M18" s="140">
        <f t="shared" si="1"/>
        <v>0</v>
      </c>
      <c r="N18" s="141"/>
      <c r="O18" s="142">
        <f t="shared" si="2"/>
        <v>2</v>
      </c>
      <c r="P18" s="141"/>
      <c r="Q18" s="141"/>
      <c r="R18" s="141"/>
      <c r="S18" s="143">
        <f t="shared" si="3"/>
        <v>11</v>
      </c>
      <c r="T18" s="32" t="str">
        <f t="shared" si="4"/>
        <v>OK</v>
      </c>
      <c r="U18" s="33"/>
      <c r="V18" s="35"/>
      <c r="W18" s="45"/>
      <c r="X18" s="34"/>
      <c r="Y18" s="34"/>
      <c r="Z18" s="36"/>
      <c r="AA18" s="36"/>
      <c r="AB18" s="48"/>
      <c r="AC18" s="34"/>
      <c r="AD18" s="34"/>
      <c r="AE18" s="34"/>
      <c r="AF18" s="34"/>
      <c r="AG18" s="34"/>
      <c r="AH18" s="34"/>
      <c r="AI18" s="34"/>
      <c r="AJ18" s="34"/>
      <c r="AK18" s="34"/>
    </row>
    <row r="19" spans="1:37" ht="38.25" customHeight="1" x14ac:dyDescent="0.2">
      <c r="A19" s="188">
        <v>8</v>
      </c>
      <c r="B19" s="190" t="s">
        <v>49</v>
      </c>
      <c r="C19" s="40">
        <v>16</v>
      </c>
      <c r="D19" s="199" t="s">
        <v>12</v>
      </c>
      <c r="E19" s="39" t="s">
        <v>60</v>
      </c>
      <c r="F19" s="41" t="s">
        <v>16</v>
      </c>
      <c r="G19" s="41" t="s">
        <v>17</v>
      </c>
      <c r="H19" s="41" t="s">
        <v>44</v>
      </c>
      <c r="I19" s="39" t="s">
        <v>24</v>
      </c>
      <c r="J19" s="42">
        <v>22.35</v>
      </c>
      <c r="K19" s="31">
        <v>89</v>
      </c>
      <c r="L19" s="140">
        <f t="shared" si="0"/>
        <v>6</v>
      </c>
      <c r="M19" s="140">
        <f t="shared" si="1"/>
        <v>6</v>
      </c>
      <c r="N19" s="141"/>
      <c r="O19" s="142">
        <f t="shared" si="2"/>
        <v>22</v>
      </c>
      <c r="P19" s="141"/>
      <c r="Q19" s="141"/>
      <c r="R19" s="141"/>
      <c r="S19" s="143">
        <f t="shared" si="3"/>
        <v>83</v>
      </c>
      <c r="T19" s="32" t="str">
        <f t="shared" si="4"/>
        <v>OK</v>
      </c>
      <c r="U19" s="33"/>
      <c r="V19" s="35"/>
      <c r="W19" s="45"/>
      <c r="X19" s="34"/>
      <c r="Y19" s="34"/>
      <c r="Z19" s="36"/>
      <c r="AA19" s="36"/>
      <c r="AB19" s="48"/>
      <c r="AC19" s="34"/>
      <c r="AD19" s="34"/>
      <c r="AE19" s="34"/>
      <c r="AF19" s="34"/>
      <c r="AG19" s="118">
        <v>6</v>
      </c>
      <c r="AH19" s="118"/>
      <c r="AI19" s="118"/>
      <c r="AJ19" s="118"/>
      <c r="AK19" s="34"/>
    </row>
    <row r="20" spans="1:37" ht="45" customHeight="1" x14ac:dyDescent="0.2">
      <c r="A20" s="189"/>
      <c r="B20" s="191"/>
      <c r="C20" s="40">
        <v>17</v>
      </c>
      <c r="D20" s="200"/>
      <c r="E20" s="39" t="s">
        <v>61</v>
      </c>
      <c r="F20" s="44" t="s">
        <v>16</v>
      </c>
      <c r="G20" s="44" t="s">
        <v>17</v>
      </c>
      <c r="H20" s="41" t="s">
        <v>44</v>
      </c>
      <c r="I20" s="39" t="s">
        <v>24</v>
      </c>
      <c r="J20" s="42">
        <v>4.5999999999999996</v>
      </c>
      <c r="K20" s="31">
        <v>995</v>
      </c>
      <c r="L20" s="140">
        <f t="shared" si="0"/>
        <v>450</v>
      </c>
      <c r="M20" s="140">
        <f t="shared" si="1"/>
        <v>450</v>
      </c>
      <c r="N20" s="141"/>
      <c r="O20" s="142">
        <f t="shared" si="2"/>
        <v>248</v>
      </c>
      <c r="P20" s="141"/>
      <c r="Q20" s="141"/>
      <c r="R20" s="141"/>
      <c r="S20" s="143">
        <f t="shared" si="3"/>
        <v>545</v>
      </c>
      <c r="T20" s="32" t="str">
        <f t="shared" si="4"/>
        <v>OK</v>
      </c>
      <c r="U20" s="33"/>
      <c r="V20" s="35"/>
      <c r="W20" s="45"/>
      <c r="X20" s="36"/>
      <c r="Y20" s="34"/>
      <c r="Z20" s="45"/>
      <c r="AA20" s="45"/>
      <c r="AB20" s="118">
        <v>200</v>
      </c>
      <c r="AC20" s="34"/>
      <c r="AD20" s="34"/>
      <c r="AE20" s="34"/>
      <c r="AF20" s="34"/>
      <c r="AG20" s="118">
        <v>250</v>
      </c>
      <c r="AH20" s="118"/>
      <c r="AI20" s="118"/>
      <c r="AJ20" s="118"/>
      <c r="AK20" s="34"/>
    </row>
    <row r="21" spans="1:37" ht="58.7" customHeight="1" x14ac:dyDescent="0.2">
      <c r="A21" s="48">
        <v>9</v>
      </c>
      <c r="B21" s="28" t="s">
        <v>62</v>
      </c>
      <c r="C21" s="26">
        <v>18</v>
      </c>
      <c r="D21" s="27" t="s">
        <v>63</v>
      </c>
      <c r="E21" s="28" t="s">
        <v>64</v>
      </c>
      <c r="F21" s="50" t="s">
        <v>16</v>
      </c>
      <c r="G21" s="50" t="s">
        <v>17</v>
      </c>
      <c r="H21" s="29" t="s">
        <v>44</v>
      </c>
      <c r="I21" s="28" t="s">
        <v>24</v>
      </c>
      <c r="J21" s="30">
        <v>3.46</v>
      </c>
      <c r="K21" s="31">
        <v>98</v>
      </c>
      <c r="L21" s="140">
        <f t="shared" si="0"/>
        <v>0</v>
      </c>
      <c r="M21" s="140">
        <f t="shared" si="1"/>
        <v>0</v>
      </c>
      <c r="N21" s="141"/>
      <c r="O21" s="142">
        <f t="shared" si="2"/>
        <v>24</v>
      </c>
      <c r="P21" s="141"/>
      <c r="Q21" s="141"/>
      <c r="R21" s="141"/>
      <c r="S21" s="143">
        <f t="shared" si="3"/>
        <v>98</v>
      </c>
      <c r="T21" s="32" t="str">
        <f t="shared" si="4"/>
        <v>OK</v>
      </c>
      <c r="U21" s="35"/>
      <c r="V21" s="33"/>
      <c r="W21" s="45"/>
      <c r="X21" s="36"/>
      <c r="Y21" s="34"/>
      <c r="Z21" s="45"/>
      <c r="AA21" s="45"/>
      <c r="AB21" s="119"/>
      <c r="AC21" s="34"/>
      <c r="AD21" s="34"/>
      <c r="AE21" s="34"/>
      <c r="AF21" s="34"/>
      <c r="AG21" s="34"/>
      <c r="AH21" s="34"/>
      <c r="AI21" s="34"/>
      <c r="AJ21" s="34"/>
      <c r="AK21" s="34"/>
    </row>
    <row r="22" spans="1:37" ht="45" customHeight="1" x14ac:dyDescent="0.2">
      <c r="A22" s="38">
        <v>10</v>
      </c>
      <c r="B22" s="47" t="s">
        <v>31</v>
      </c>
      <c r="C22" s="40">
        <v>19</v>
      </c>
      <c r="D22" s="47" t="s">
        <v>27</v>
      </c>
      <c r="E22" s="39" t="s">
        <v>23</v>
      </c>
      <c r="F22" s="44" t="s">
        <v>16</v>
      </c>
      <c r="G22" s="44" t="s">
        <v>17</v>
      </c>
      <c r="H22" s="41" t="s">
        <v>44</v>
      </c>
      <c r="I22" s="39" t="s">
        <v>24</v>
      </c>
      <c r="J22" s="42">
        <v>0.4</v>
      </c>
      <c r="K22" s="31">
        <v>1500</v>
      </c>
      <c r="L22" s="140">
        <f t="shared" si="0"/>
        <v>0</v>
      </c>
      <c r="M22" s="140">
        <f t="shared" si="1"/>
        <v>0</v>
      </c>
      <c r="N22" s="141"/>
      <c r="O22" s="142">
        <f t="shared" si="2"/>
        <v>375</v>
      </c>
      <c r="P22" s="141"/>
      <c r="Q22" s="141"/>
      <c r="R22" s="141"/>
      <c r="S22" s="143">
        <f t="shared" si="3"/>
        <v>1500</v>
      </c>
      <c r="T22" s="32" t="str">
        <f t="shared" si="4"/>
        <v>OK</v>
      </c>
      <c r="U22" s="35"/>
      <c r="V22" s="33"/>
      <c r="W22" s="45"/>
      <c r="X22" s="36"/>
      <c r="Y22" s="34"/>
      <c r="Z22" s="45"/>
      <c r="AA22" s="45"/>
      <c r="AB22" s="119"/>
      <c r="AC22" s="34"/>
      <c r="AD22" s="34"/>
      <c r="AE22" s="34"/>
      <c r="AF22" s="34"/>
      <c r="AG22" s="34"/>
      <c r="AH22" s="34"/>
      <c r="AI22" s="34"/>
      <c r="AJ22" s="34"/>
      <c r="AK22" s="34"/>
    </row>
    <row r="23" spans="1:37" ht="28.15" customHeight="1" x14ac:dyDescent="0.2">
      <c r="A23" s="194">
        <v>11</v>
      </c>
      <c r="B23" s="196" t="s">
        <v>65</v>
      </c>
      <c r="C23" s="26">
        <v>20</v>
      </c>
      <c r="D23" s="201" t="s">
        <v>25</v>
      </c>
      <c r="E23" s="28" t="s">
        <v>19</v>
      </c>
      <c r="F23" s="50" t="s">
        <v>16</v>
      </c>
      <c r="G23" s="50" t="s">
        <v>17</v>
      </c>
      <c r="H23" s="29" t="s">
        <v>44</v>
      </c>
      <c r="I23" s="28" t="s">
        <v>24</v>
      </c>
      <c r="J23" s="30">
        <v>3.95</v>
      </c>
      <c r="K23" s="31">
        <f>660</f>
        <v>660</v>
      </c>
      <c r="L23" s="140">
        <f t="shared" si="0"/>
        <v>0</v>
      </c>
      <c r="M23" s="140">
        <f t="shared" si="1"/>
        <v>0</v>
      </c>
      <c r="N23" s="141">
        <v>-660</v>
      </c>
      <c r="O23" s="142">
        <f t="shared" si="2"/>
        <v>165</v>
      </c>
      <c r="P23" s="141"/>
      <c r="Q23" s="141"/>
      <c r="R23" s="141"/>
      <c r="S23" s="143">
        <f t="shared" si="3"/>
        <v>0</v>
      </c>
      <c r="T23" s="32" t="str">
        <f t="shared" si="4"/>
        <v>OK</v>
      </c>
      <c r="U23" s="35"/>
      <c r="V23" s="33"/>
      <c r="W23" s="45"/>
      <c r="X23" s="34"/>
      <c r="Y23" s="34"/>
      <c r="Z23" s="45"/>
      <c r="AA23" s="45"/>
      <c r="AB23" s="119"/>
      <c r="AC23" s="34"/>
      <c r="AD23" s="34"/>
      <c r="AE23" s="34"/>
      <c r="AF23" s="34"/>
      <c r="AG23" s="34"/>
      <c r="AH23" s="34"/>
      <c r="AI23" s="34"/>
      <c r="AJ23" s="34"/>
      <c r="AK23" s="34"/>
    </row>
    <row r="24" spans="1:37" ht="25.15" customHeight="1" x14ac:dyDescent="0.2">
      <c r="A24" s="195"/>
      <c r="B24" s="197"/>
      <c r="C24" s="26">
        <v>21</v>
      </c>
      <c r="D24" s="202"/>
      <c r="E24" s="28" t="s">
        <v>20</v>
      </c>
      <c r="F24" s="50" t="s">
        <v>16</v>
      </c>
      <c r="G24" s="50" t="s">
        <v>17</v>
      </c>
      <c r="H24" s="29" t="s">
        <v>44</v>
      </c>
      <c r="I24" s="28" t="s">
        <v>24</v>
      </c>
      <c r="J24" s="30">
        <v>2.41</v>
      </c>
      <c r="K24" s="31">
        <f>1000</f>
        <v>1000</v>
      </c>
      <c r="L24" s="140">
        <f t="shared" si="0"/>
        <v>0</v>
      </c>
      <c r="M24" s="140">
        <f t="shared" si="1"/>
        <v>0</v>
      </c>
      <c r="N24" s="141">
        <v>-1000</v>
      </c>
      <c r="O24" s="142">
        <f t="shared" si="2"/>
        <v>250</v>
      </c>
      <c r="P24" s="141"/>
      <c r="Q24" s="141"/>
      <c r="R24" s="141"/>
      <c r="S24" s="143">
        <f t="shared" si="3"/>
        <v>0</v>
      </c>
      <c r="T24" s="32" t="str">
        <f t="shared" si="4"/>
        <v>OK</v>
      </c>
      <c r="U24" s="33"/>
      <c r="V24" s="33"/>
      <c r="W24" s="45"/>
      <c r="X24" s="34"/>
      <c r="Y24" s="34"/>
      <c r="Z24" s="45"/>
      <c r="AA24" s="45"/>
      <c r="AB24" s="119"/>
      <c r="AC24" s="34"/>
      <c r="AD24" s="34"/>
      <c r="AE24" s="34"/>
      <c r="AF24" s="34"/>
      <c r="AG24" s="34"/>
      <c r="AH24" s="34"/>
      <c r="AI24" s="34"/>
      <c r="AJ24" s="34"/>
      <c r="AK24" s="34"/>
    </row>
    <row r="25" spans="1:37" ht="26.45" customHeight="1" x14ac:dyDescent="0.2">
      <c r="A25" s="188">
        <v>12</v>
      </c>
      <c r="B25" s="190" t="s">
        <v>62</v>
      </c>
      <c r="C25" s="40">
        <v>22</v>
      </c>
      <c r="D25" s="199" t="s">
        <v>26</v>
      </c>
      <c r="E25" s="39" t="s">
        <v>19</v>
      </c>
      <c r="F25" s="44" t="s">
        <v>16</v>
      </c>
      <c r="G25" s="44" t="s">
        <v>17</v>
      </c>
      <c r="H25" s="41" t="s">
        <v>44</v>
      </c>
      <c r="I25" s="39" t="s">
        <v>24</v>
      </c>
      <c r="J25" s="42">
        <v>2.48</v>
      </c>
      <c r="K25" s="31">
        <v>1301</v>
      </c>
      <c r="L25" s="140">
        <f t="shared" si="0"/>
        <v>0</v>
      </c>
      <c r="M25" s="140">
        <f t="shared" si="1"/>
        <v>0</v>
      </c>
      <c r="N25" s="141">
        <v>-1301</v>
      </c>
      <c r="O25" s="142">
        <f t="shared" si="2"/>
        <v>325</v>
      </c>
      <c r="P25" s="141"/>
      <c r="Q25" s="141"/>
      <c r="R25" s="141"/>
      <c r="S25" s="143">
        <f t="shared" si="3"/>
        <v>0</v>
      </c>
      <c r="T25" s="32" t="str">
        <f t="shared" si="4"/>
        <v>OK</v>
      </c>
      <c r="U25" s="33"/>
      <c r="V25" s="33"/>
      <c r="W25" s="45"/>
      <c r="X25" s="36"/>
      <c r="Y25" s="34"/>
      <c r="Z25" s="45"/>
      <c r="AA25" s="45"/>
      <c r="AB25" s="119"/>
      <c r="AC25" s="34"/>
      <c r="AD25" s="34"/>
      <c r="AE25" s="34"/>
      <c r="AF25" s="34"/>
      <c r="AG25" s="34"/>
      <c r="AH25" s="34"/>
      <c r="AI25" s="34"/>
      <c r="AJ25" s="34"/>
      <c r="AK25" s="34"/>
    </row>
    <row r="26" spans="1:37" ht="24.4" customHeight="1" x14ac:dyDescent="0.2">
      <c r="A26" s="189"/>
      <c r="B26" s="191"/>
      <c r="C26" s="40">
        <v>23</v>
      </c>
      <c r="D26" s="200"/>
      <c r="E26" s="43" t="s">
        <v>20</v>
      </c>
      <c r="F26" s="44" t="s">
        <v>16</v>
      </c>
      <c r="G26" s="44" t="s">
        <v>17</v>
      </c>
      <c r="H26" s="41" t="s">
        <v>44</v>
      </c>
      <c r="I26" s="39" t="s">
        <v>24</v>
      </c>
      <c r="J26" s="42">
        <v>1.2</v>
      </c>
      <c r="K26" s="31">
        <v>2000</v>
      </c>
      <c r="L26" s="140">
        <f t="shared" si="0"/>
        <v>0</v>
      </c>
      <c r="M26" s="140">
        <f t="shared" si="1"/>
        <v>0</v>
      </c>
      <c r="N26" s="141">
        <v>-2000</v>
      </c>
      <c r="O26" s="142">
        <f t="shared" si="2"/>
        <v>500</v>
      </c>
      <c r="P26" s="141"/>
      <c r="Q26" s="141"/>
      <c r="R26" s="141"/>
      <c r="S26" s="143">
        <f t="shared" si="3"/>
        <v>0</v>
      </c>
      <c r="T26" s="32" t="str">
        <f t="shared" si="4"/>
        <v>OK</v>
      </c>
      <c r="U26" s="33"/>
      <c r="V26" s="33"/>
      <c r="W26" s="45"/>
      <c r="X26" s="34"/>
      <c r="Y26" s="34"/>
      <c r="Z26" s="45"/>
      <c r="AA26" s="45"/>
      <c r="AB26" s="119"/>
      <c r="AC26" s="34"/>
      <c r="AD26" s="34"/>
      <c r="AE26" s="34"/>
      <c r="AF26" s="34"/>
      <c r="AG26" s="34"/>
      <c r="AH26" s="34"/>
      <c r="AI26" s="34"/>
      <c r="AJ26" s="34"/>
      <c r="AK26" s="34"/>
    </row>
    <row r="27" spans="1:37" ht="36" customHeight="1" x14ac:dyDescent="0.2">
      <c r="A27" s="250">
        <v>13</v>
      </c>
      <c r="B27" s="235" t="s">
        <v>65</v>
      </c>
      <c r="C27" s="26">
        <v>24</v>
      </c>
      <c r="D27" s="201" t="s">
        <v>66</v>
      </c>
      <c r="E27" s="28" t="s">
        <v>21</v>
      </c>
      <c r="F27" s="50" t="s">
        <v>16</v>
      </c>
      <c r="G27" s="29" t="s">
        <v>17</v>
      </c>
      <c r="H27" s="29" t="s">
        <v>44</v>
      </c>
      <c r="I27" s="28" t="s">
        <v>24</v>
      </c>
      <c r="J27" s="30">
        <v>0.33</v>
      </c>
      <c r="K27" s="31">
        <f>5000</f>
        <v>5000</v>
      </c>
      <c r="L27" s="140">
        <f t="shared" si="0"/>
        <v>0</v>
      </c>
      <c r="M27" s="140">
        <f t="shared" si="1"/>
        <v>0</v>
      </c>
      <c r="N27" s="141">
        <v>-5000</v>
      </c>
      <c r="O27" s="142">
        <f t="shared" si="2"/>
        <v>1250</v>
      </c>
      <c r="P27" s="141"/>
      <c r="Q27" s="141"/>
      <c r="R27" s="141"/>
      <c r="S27" s="143">
        <f t="shared" si="3"/>
        <v>0</v>
      </c>
      <c r="T27" s="32" t="str">
        <f t="shared" si="4"/>
        <v>OK</v>
      </c>
      <c r="U27" s="33"/>
      <c r="V27" s="33"/>
      <c r="W27" s="45"/>
      <c r="X27" s="34"/>
      <c r="Y27" s="34"/>
      <c r="Z27" s="45"/>
      <c r="AA27" s="45"/>
      <c r="AB27" s="119"/>
      <c r="AC27" s="34"/>
      <c r="AD27" s="34"/>
      <c r="AE27" s="34"/>
      <c r="AF27" s="34"/>
      <c r="AG27" s="34"/>
      <c r="AH27" s="34"/>
      <c r="AI27" s="34"/>
      <c r="AJ27" s="34"/>
      <c r="AK27" s="34"/>
    </row>
    <row r="28" spans="1:37" ht="39.75" customHeight="1" x14ac:dyDescent="0.2">
      <c r="A28" s="251"/>
      <c r="B28" s="237"/>
      <c r="C28" s="26">
        <v>25</v>
      </c>
      <c r="D28" s="202"/>
      <c r="E28" s="28" t="s">
        <v>22</v>
      </c>
      <c r="F28" s="50" t="s">
        <v>16</v>
      </c>
      <c r="G28" s="50" t="s">
        <v>17</v>
      </c>
      <c r="H28" s="29" t="s">
        <v>44</v>
      </c>
      <c r="I28" s="28" t="s">
        <v>24</v>
      </c>
      <c r="J28" s="30">
        <v>0.15</v>
      </c>
      <c r="K28" s="31">
        <f>6001</f>
        <v>6001</v>
      </c>
      <c r="L28" s="140">
        <f t="shared" si="0"/>
        <v>0</v>
      </c>
      <c r="M28" s="140">
        <f t="shared" si="1"/>
        <v>0</v>
      </c>
      <c r="N28" s="141">
        <v>-6001</v>
      </c>
      <c r="O28" s="142">
        <f t="shared" si="2"/>
        <v>1500</v>
      </c>
      <c r="P28" s="141"/>
      <c r="Q28" s="141"/>
      <c r="R28" s="141"/>
      <c r="S28" s="143">
        <f t="shared" si="3"/>
        <v>0</v>
      </c>
      <c r="T28" s="32" t="str">
        <f t="shared" si="4"/>
        <v>OK</v>
      </c>
      <c r="U28" s="33"/>
      <c r="V28" s="33"/>
      <c r="W28" s="45"/>
      <c r="X28" s="34"/>
      <c r="Y28" s="34"/>
      <c r="Z28" s="45"/>
      <c r="AA28" s="45"/>
      <c r="AB28" s="119"/>
      <c r="AC28" s="34"/>
      <c r="AD28" s="34"/>
      <c r="AE28" s="34"/>
      <c r="AF28" s="34"/>
      <c r="AG28" s="34"/>
      <c r="AH28" s="34"/>
      <c r="AI28" s="34"/>
      <c r="AJ28" s="34"/>
      <c r="AK28" s="34"/>
    </row>
    <row r="29" spans="1:37" ht="26.45" customHeight="1" x14ac:dyDescent="0.2">
      <c r="A29" s="188">
        <v>14</v>
      </c>
      <c r="B29" s="190" t="s">
        <v>65</v>
      </c>
      <c r="C29" s="40">
        <v>26</v>
      </c>
      <c r="D29" s="192" t="s">
        <v>67</v>
      </c>
      <c r="E29" s="66" t="s">
        <v>21</v>
      </c>
      <c r="F29" s="44" t="s">
        <v>16</v>
      </c>
      <c r="G29" s="44" t="s">
        <v>17</v>
      </c>
      <c r="H29" s="41" t="s">
        <v>44</v>
      </c>
      <c r="I29" s="39" t="s">
        <v>24</v>
      </c>
      <c r="J29" s="42">
        <v>0.33</v>
      </c>
      <c r="K29" s="31">
        <v>4100</v>
      </c>
      <c r="L29" s="140">
        <f t="shared" si="0"/>
        <v>1000</v>
      </c>
      <c r="M29" s="140">
        <f t="shared" si="1"/>
        <v>1000</v>
      </c>
      <c r="N29" s="141"/>
      <c r="O29" s="142">
        <f t="shared" si="2"/>
        <v>1025</v>
      </c>
      <c r="P29" s="141"/>
      <c r="Q29" s="141"/>
      <c r="R29" s="141"/>
      <c r="S29" s="143">
        <f t="shared" si="3"/>
        <v>3100</v>
      </c>
      <c r="T29" s="32" t="str">
        <f t="shared" si="4"/>
        <v>OK</v>
      </c>
      <c r="U29" s="33"/>
      <c r="V29" s="33"/>
      <c r="W29" s="45"/>
      <c r="X29" s="116">
        <v>1000</v>
      </c>
      <c r="Y29" s="34"/>
      <c r="Z29" s="45"/>
      <c r="AA29" s="45"/>
      <c r="AB29" s="119"/>
      <c r="AC29" s="34"/>
      <c r="AD29" s="34"/>
      <c r="AE29" s="34"/>
      <c r="AF29" s="34"/>
      <c r="AG29" s="34"/>
      <c r="AH29" s="34"/>
      <c r="AI29" s="34"/>
      <c r="AJ29" s="34"/>
      <c r="AK29" s="34"/>
    </row>
    <row r="30" spans="1:37" ht="33.950000000000003" customHeight="1" x14ac:dyDescent="0.2">
      <c r="A30" s="189"/>
      <c r="B30" s="191"/>
      <c r="C30" s="40">
        <v>27</v>
      </c>
      <c r="D30" s="193"/>
      <c r="E30" s="66" t="s">
        <v>22</v>
      </c>
      <c r="F30" s="44" t="s">
        <v>16</v>
      </c>
      <c r="G30" s="44" t="s">
        <v>17</v>
      </c>
      <c r="H30" s="41" t="s">
        <v>44</v>
      </c>
      <c r="I30" s="39" t="s">
        <v>24</v>
      </c>
      <c r="J30" s="42">
        <v>0.23</v>
      </c>
      <c r="K30" s="31">
        <v>10000</v>
      </c>
      <c r="L30" s="140">
        <f t="shared" si="0"/>
        <v>2000</v>
      </c>
      <c r="M30" s="140">
        <f t="shared" si="1"/>
        <v>2000</v>
      </c>
      <c r="N30" s="141"/>
      <c r="O30" s="142">
        <f t="shared" si="2"/>
        <v>2500</v>
      </c>
      <c r="P30" s="141"/>
      <c r="Q30" s="141"/>
      <c r="R30" s="141"/>
      <c r="S30" s="143">
        <f t="shared" si="3"/>
        <v>8000</v>
      </c>
      <c r="T30" s="32" t="str">
        <f t="shared" si="4"/>
        <v>OK</v>
      </c>
      <c r="U30" s="33"/>
      <c r="V30" s="33"/>
      <c r="W30" s="45"/>
      <c r="X30" s="34"/>
      <c r="Y30" s="34"/>
      <c r="Z30" s="45"/>
      <c r="AA30" s="45"/>
      <c r="AB30" s="119"/>
      <c r="AC30" s="34"/>
      <c r="AD30" s="116">
        <v>2000</v>
      </c>
      <c r="AE30" s="34"/>
      <c r="AF30" s="34"/>
      <c r="AG30" s="34"/>
      <c r="AH30" s="34"/>
      <c r="AI30" s="34"/>
      <c r="AJ30" s="34"/>
      <c r="AK30" s="34"/>
    </row>
    <row r="31" spans="1:37" ht="27" customHeight="1" x14ac:dyDescent="0.2">
      <c r="A31" s="194">
        <v>15</v>
      </c>
      <c r="B31" s="196" t="s">
        <v>31</v>
      </c>
      <c r="C31" s="68">
        <v>28</v>
      </c>
      <c r="D31" s="198" t="s">
        <v>68</v>
      </c>
      <c r="E31" s="28" t="s">
        <v>21</v>
      </c>
      <c r="F31" s="50" t="s">
        <v>16</v>
      </c>
      <c r="G31" s="50" t="s">
        <v>17</v>
      </c>
      <c r="H31" s="29" t="s">
        <v>44</v>
      </c>
      <c r="I31" s="28" t="s">
        <v>24</v>
      </c>
      <c r="J31" s="30">
        <v>0.4</v>
      </c>
      <c r="K31" s="31">
        <v>1300</v>
      </c>
      <c r="L31" s="140">
        <f t="shared" si="0"/>
        <v>0</v>
      </c>
      <c r="M31" s="140">
        <f t="shared" si="1"/>
        <v>0</v>
      </c>
      <c r="N31" s="141"/>
      <c r="O31" s="142">
        <f t="shared" si="2"/>
        <v>325</v>
      </c>
      <c r="P31" s="141"/>
      <c r="Q31" s="141"/>
      <c r="R31" s="141"/>
      <c r="S31" s="143">
        <f t="shared" si="3"/>
        <v>1300</v>
      </c>
      <c r="T31" s="32" t="str">
        <f t="shared" si="4"/>
        <v>OK</v>
      </c>
      <c r="U31" s="33"/>
      <c r="V31" s="35"/>
      <c r="W31" s="45"/>
      <c r="X31" s="36"/>
      <c r="Y31" s="34"/>
      <c r="Z31" s="45"/>
      <c r="AA31" s="45"/>
      <c r="AB31" s="119"/>
      <c r="AC31" s="34"/>
      <c r="AD31" s="34"/>
      <c r="AE31" s="34"/>
      <c r="AF31" s="34"/>
      <c r="AG31" s="34"/>
      <c r="AH31" s="34"/>
      <c r="AI31" s="34"/>
      <c r="AJ31" s="34"/>
      <c r="AK31" s="34"/>
    </row>
    <row r="32" spans="1:37" ht="29.25" customHeight="1" x14ac:dyDescent="0.2">
      <c r="A32" s="195"/>
      <c r="B32" s="197"/>
      <c r="C32" s="26">
        <v>29</v>
      </c>
      <c r="D32" s="198"/>
      <c r="E32" s="28" t="s">
        <v>22</v>
      </c>
      <c r="F32" s="50" t="s">
        <v>16</v>
      </c>
      <c r="G32" s="50" t="s">
        <v>17</v>
      </c>
      <c r="H32" s="29" t="s">
        <v>44</v>
      </c>
      <c r="I32" s="28" t="s">
        <v>24</v>
      </c>
      <c r="J32" s="30">
        <v>0.44</v>
      </c>
      <c r="K32" s="31">
        <v>10300</v>
      </c>
      <c r="L32" s="140">
        <f t="shared" si="0"/>
        <v>0</v>
      </c>
      <c r="M32" s="140">
        <f t="shared" si="1"/>
        <v>0</v>
      </c>
      <c r="N32" s="141"/>
      <c r="O32" s="142">
        <f t="shared" si="2"/>
        <v>2575</v>
      </c>
      <c r="P32" s="141"/>
      <c r="Q32" s="141"/>
      <c r="R32" s="141"/>
      <c r="S32" s="143">
        <f t="shared" si="3"/>
        <v>10300</v>
      </c>
      <c r="T32" s="32" t="str">
        <f t="shared" si="4"/>
        <v>OK</v>
      </c>
      <c r="U32" s="33"/>
      <c r="V32" s="33"/>
      <c r="W32" s="34"/>
      <c r="X32" s="34"/>
      <c r="Y32" s="34"/>
      <c r="Z32" s="34"/>
      <c r="AA32" s="34"/>
      <c r="AB32" s="48"/>
      <c r="AC32" s="34"/>
      <c r="AD32" s="34"/>
      <c r="AE32" s="34"/>
      <c r="AF32" s="34"/>
      <c r="AG32" s="34"/>
      <c r="AH32" s="34"/>
      <c r="AI32" s="34"/>
      <c r="AJ32" s="34"/>
      <c r="AK32" s="34"/>
    </row>
    <row r="33" spans="11:37" x14ac:dyDescent="0.2">
      <c r="K33" s="56">
        <f>SUM(K4:K32)</f>
        <v>45773</v>
      </c>
      <c r="S33" s="56">
        <f t="shared" ref="S33" si="5">SUM(S4:S32)</f>
        <v>26089</v>
      </c>
      <c r="U33" s="110">
        <f>SUMPRODUCT($J$4:$J$32,U4:U32)</f>
        <v>1094.3999999999999</v>
      </c>
      <c r="V33" s="110">
        <f t="shared" ref="V33:AK33" si="6">SUMPRODUCT($J$4:$J$32,V4:V32)</f>
        <v>668.3</v>
      </c>
      <c r="W33" s="110">
        <f t="shared" si="6"/>
        <v>304.05</v>
      </c>
      <c r="X33" s="110">
        <f t="shared" si="6"/>
        <v>330</v>
      </c>
      <c r="Y33" s="110">
        <f t="shared" si="6"/>
        <v>319.60000000000002</v>
      </c>
      <c r="Z33" s="110">
        <f t="shared" si="6"/>
        <v>378.8</v>
      </c>
      <c r="AA33" s="110">
        <f t="shared" si="6"/>
        <v>661</v>
      </c>
      <c r="AB33" s="110">
        <f t="shared" si="6"/>
        <v>978.88999999999987</v>
      </c>
      <c r="AC33" s="110">
        <f t="shared" si="6"/>
        <v>456</v>
      </c>
      <c r="AD33" s="110">
        <f t="shared" si="6"/>
        <v>460</v>
      </c>
      <c r="AE33" s="110">
        <f t="shared" si="6"/>
        <v>304</v>
      </c>
      <c r="AF33" s="110">
        <f t="shared" si="6"/>
        <v>324</v>
      </c>
      <c r="AG33" s="110">
        <f t="shared" si="6"/>
        <v>1284.0999999999999</v>
      </c>
      <c r="AH33" s="110">
        <f t="shared" si="6"/>
        <v>871.3</v>
      </c>
      <c r="AI33" s="110">
        <f t="shared" si="6"/>
        <v>486</v>
      </c>
      <c r="AJ33" s="110">
        <f t="shared" si="6"/>
        <v>1915.1999999999998</v>
      </c>
      <c r="AK33" s="110">
        <f t="shared" si="6"/>
        <v>0</v>
      </c>
    </row>
    <row r="34" spans="11:37" x14ac:dyDescent="0.2">
      <c r="K34" s="148">
        <f>SUMPRODUCT($J$4:$J$32,K4:K32)</f>
        <v>76563.479999999981</v>
      </c>
      <c r="L34" s="148">
        <f t="shared" ref="L34:M34" si="7">SUMPRODUCT($J$4:$J$32,L4:L32)</f>
        <v>10835.64</v>
      </c>
      <c r="M34" s="148">
        <f t="shared" si="7"/>
        <v>10835.64</v>
      </c>
    </row>
  </sheetData>
  <mergeCells count="52">
    <mergeCell ref="W1:W2"/>
    <mergeCell ref="A1:C1"/>
    <mergeCell ref="D1:J1"/>
    <mergeCell ref="K1:T1"/>
    <mergeCell ref="U1:U2"/>
    <mergeCell ref="V1:V2"/>
    <mergeCell ref="K2:T2"/>
    <mergeCell ref="A2:J2"/>
    <mergeCell ref="AK1:AK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4:A8"/>
    <mergeCell ref="B4:B8"/>
    <mergeCell ref="D4:D8"/>
    <mergeCell ref="A9:A10"/>
    <mergeCell ref="B9:B10"/>
    <mergeCell ref="D9:D10"/>
    <mergeCell ref="A11:A13"/>
    <mergeCell ref="B11:B13"/>
    <mergeCell ref="D11:D13"/>
    <mergeCell ref="A14:A15"/>
    <mergeCell ref="B14:B15"/>
    <mergeCell ref="D14:D15"/>
    <mergeCell ref="A19:A20"/>
    <mergeCell ref="B19:B20"/>
    <mergeCell ref="D19:D20"/>
    <mergeCell ref="A23:A24"/>
    <mergeCell ref="B23:B24"/>
    <mergeCell ref="D23:D24"/>
    <mergeCell ref="A25:A26"/>
    <mergeCell ref="B25:B26"/>
    <mergeCell ref="D25:D26"/>
    <mergeCell ref="A27:A28"/>
    <mergeCell ref="B27:B28"/>
    <mergeCell ref="D27:D28"/>
    <mergeCell ref="A29:A30"/>
    <mergeCell ref="B29:B30"/>
    <mergeCell ref="D29:D30"/>
    <mergeCell ref="A31:A32"/>
    <mergeCell ref="B31:B32"/>
    <mergeCell ref="D31:D32"/>
  </mergeCells>
  <conditionalFormatting sqref="AA7:AA8">
    <cfRule type="cellIs" dxfId="18" priority="19" operator="greaterThan">
      <formula>0</formula>
    </cfRule>
  </conditionalFormatting>
  <conditionalFormatting sqref="AB7:AB8">
    <cfRule type="cellIs" dxfId="17" priority="18" operator="greaterThan">
      <formula>0</formula>
    </cfRule>
  </conditionalFormatting>
  <conditionalFormatting sqref="AB14">
    <cfRule type="cellIs" dxfId="16" priority="17" operator="greaterThan">
      <formula>0</formula>
    </cfRule>
  </conditionalFormatting>
  <conditionalFormatting sqref="AB20">
    <cfRule type="cellIs" dxfId="15" priority="16" operator="greaterThan">
      <formula>0</formula>
    </cfRule>
  </conditionalFormatting>
  <conditionalFormatting sqref="AC7">
    <cfRule type="cellIs" dxfId="14" priority="15" operator="greaterThan">
      <formula>0</formula>
    </cfRule>
  </conditionalFormatting>
  <conditionalFormatting sqref="AC8">
    <cfRule type="cellIs" dxfId="13" priority="14" operator="greaterThan">
      <formula>0</formula>
    </cfRule>
  </conditionalFormatting>
  <conditionalFormatting sqref="AE8">
    <cfRule type="cellIs" dxfId="12" priority="13" operator="greaterThan">
      <formula>0</formula>
    </cfRule>
  </conditionalFormatting>
  <conditionalFormatting sqref="AF5">
    <cfRule type="cellIs" dxfId="11" priority="12" operator="greaterThan">
      <formula>0</formula>
    </cfRule>
  </conditionalFormatting>
  <conditionalFormatting sqref="AG5">
    <cfRule type="cellIs" dxfId="10" priority="11" operator="greaterThan">
      <formula>0</formula>
    </cfRule>
  </conditionalFormatting>
  <conditionalFormatting sqref="AG19">
    <cfRule type="cellIs" dxfId="9" priority="10" operator="greaterThan">
      <formula>0</formula>
    </cfRule>
  </conditionalFormatting>
  <conditionalFormatting sqref="AG20">
    <cfRule type="cellIs" dxfId="8" priority="9" operator="greaterThan">
      <formula>0</formula>
    </cfRule>
  </conditionalFormatting>
  <conditionalFormatting sqref="AH5">
    <cfRule type="cellIs" dxfId="7" priority="8" operator="greaterThan">
      <formula>0</formula>
    </cfRule>
  </conditionalFormatting>
  <conditionalFormatting sqref="AH19">
    <cfRule type="cellIs" dxfId="6" priority="7" operator="greaterThan">
      <formula>0</formula>
    </cfRule>
  </conditionalFormatting>
  <conditionalFormatting sqref="AH20">
    <cfRule type="cellIs" dxfId="5" priority="6" operator="greaterThan">
      <formula>0</formula>
    </cfRule>
  </conditionalFormatting>
  <conditionalFormatting sqref="AH8">
    <cfRule type="cellIs" dxfId="4" priority="5" operator="greaterThan">
      <formula>0</formula>
    </cfRule>
  </conditionalFormatting>
  <conditionalFormatting sqref="AI5:AJ5">
    <cfRule type="cellIs" dxfId="3" priority="4" operator="greaterThan">
      <formula>0</formula>
    </cfRule>
  </conditionalFormatting>
  <conditionalFormatting sqref="AI19:AJ19">
    <cfRule type="cellIs" dxfId="2" priority="3" operator="greaterThan">
      <formula>0</formula>
    </cfRule>
  </conditionalFormatting>
  <conditionalFormatting sqref="AI20:AJ20">
    <cfRule type="cellIs" dxfId="1" priority="2" operator="greaterThan">
      <formula>0</formula>
    </cfRule>
  </conditionalFormatting>
  <conditionalFormatting sqref="AI8:AJ8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15330-9B26-4EF4-ABF5-837A47D78F32}">
  <dimension ref="A1:AI34"/>
  <sheetViews>
    <sheetView topLeftCell="A20" zoomScale="90" zoomScaleNormal="90" workbookViewId="0">
      <selection activeCell="J55" sqref="J55"/>
    </sheetView>
  </sheetViews>
  <sheetFormatPr defaultColWidth="9.7109375" defaultRowHeight="12.75" x14ac:dyDescent="0.2"/>
  <cols>
    <col min="1" max="1" width="7.7109375" style="53" customWidth="1"/>
    <col min="2" max="2" width="10.28515625" style="53" customWidth="1"/>
    <col min="3" max="3" width="5.5703125" style="53" bestFit="1" customWidth="1"/>
    <col min="4" max="4" width="21.42578125" style="54" customWidth="1"/>
    <col min="5" max="5" width="10.85546875" style="53" bestFit="1" customWidth="1"/>
    <col min="6" max="6" width="12.28515625" style="53" customWidth="1"/>
    <col min="7" max="7" width="12.140625" style="53" customWidth="1"/>
    <col min="8" max="8" width="14.85546875" style="53" customWidth="1"/>
    <col min="9" max="9" width="9.42578125" style="53" customWidth="1"/>
    <col min="10" max="10" width="12.7109375" style="55" bestFit="1" customWidth="1"/>
    <col min="11" max="11" width="13.28515625" style="56" customWidth="1"/>
    <col min="12" max="13" width="14" style="56" bestFit="1" customWidth="1"/>
    <col min="14" max="14" width="14.7109375" style="56" bestFit="1" customWidth="1"/>
    <col min="15" max="15" width="14" style="56" bestFit="1" customWidth="1"/>
    <col min="16" max="18" width="10.140625" style="56" customWidth="1"/>
    <col min="19" max="19" width="10.28515625" style="57" customWidth="1"/>
    <col min="20" max="20" width="12.5703125" style="58" customWidth="1"/>
    <col min="21" max="22" width="13.7109375" style="60" customWidth="1"/>
    <col min="23" max="35" width="13.7109375" style="18" customWidth="1"/>
    <col min="36" max="16384" width="9.7109375" style="18"/>
  </cols>
  <sheetData>
    <row r="1" spans="1:35" ht="34.5" customHeight="1" x14ac:dyDescent="0.2">
      <c r="A1" s="219" t="s">
        <v>69</v>
      </c>
      <c r="B1" s="220"/>
      <c r="C1" s="221"/>
      <c r="D1" s="220" t="s">
        <v>32</v>
      </c>
      <c r="E1" s="220"/>
      <c r="F1" s="220"/>
      <c r="G1" s="220"/>
      <c r="H1" s="220"/>
      <c r="I1" s="220"/>
      <c r="J1" s="221"/>
      <c r="K1" s="222" t="s">
        <v>33</v>
      </c>
      <c r="L1" s="223"/>
      <c r="M1" s="223"/>
      <c r="N1" s="223"/>
      <c r="O1" s="223"/>
      <c r="P1" s="223"/>
      <c r="Q1" s="223"/>
      <c r="R1" s="223"/>
      <c r="S1" s="223"/>
      <c r="T1" s="224"/>
      <c r="U1" s="218" t="s">
        <v>258</v>
      </c>
      <c r="V1" s="218" t="s">
        <v>259</v>
      </c>
      <c r="W1" s="218" t="s">
        <v>260</v>
      </c>
      <c r="X1" s="218" t="s">
        <v>30</v>
      </c>
      <c r="Y1" s="218" t="s">
        <v>30</v>
      </c>
      <c r="Z1" s="218" t="s">
        <v>30</v>
      </c>
      <c r="AA1" s="218" t="s">
        <v>30</v>
      </c>
      <c r="AB1" s="218" t="s">
        <v>30</v>
      </c>
      <c r="AC1" s="218" t="s">
        <v>30</v>
      </c>
      <c r="AD1" s="218" t="s">
        <v>30</v>
      </c>
      <c r="AE1" s="218" t="s">
        <v>30</v>
      </c>
      <c r="AF1" s="218" t="s">
        <v>30</v>
      </c>
      <c r="AG1" s="218" t="s">
        <v>30</v>
      </c>
      <c r="AH1" s="218" t="s">
        <v>30</v>
      </c>
      <c r="AI1" s="218" t="s">
        <v>30</v>
      </c>
    </row>
    <row r="2" spans="1:35" ht="18.75" customHeight="1" x14ac:dyDescent="0.2">
      <c r="A2" s="219" t="s">
        <v>83</v>
      </c>
      <c r="B2" s="220"/>
      <c r="C2" s="220"/>
      <c r="D2" s="220"/>
      <c r="E2" s="220"/>
      <c r="F2" s="220"/>
      <c r="G2" s="220"/>
      <c r="H2" s="220"/>
      <c r="I2" s="220"/>
      <c r="J2" s="221"/>
      <c r="K2" s="225" t="s">
        <v>91</v>
      </c>
      <c r="L2" s="226"/>
      <c r="M2" s="226"/>
      <c r="N2" s="226"/>
      <c r="O2" s="226"/>
      <c r="P2" s="226"/>
      <c r="Q2" s="226"/>
      <c r="R2" s="226"/>
      <c r="S2" s="226"/>
      <c r="T2" s="227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</row>
    <row r="3" spans="1:35" s="25" customFormat="1" ht="38.25" x14ac:dyDescent="0.2">
      <c r="A3" s="19" t="s">
        <v>5</v>
      </c>
      <c r="B3" s="19" t="s">
        <v>18</v>
      </c>
      <c r="C3" s="69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43</v>
      </c>
      <c r="I3" s="20" t="s">
        <v>4</v>
      </c>
      <c r="J3" s="21" t="s">
        <v>28</v>
      </c>
      <c r="K3" s="22" t="s">
        <v>6</v>
      </c>
      <c r="L3" s="145" t="s">
        <v>185</v>
      </c>
      <c r="M3" s="145" t="s">
        <v>186</v>
      </c>
      <c r="N3" s="145" t="s">
        <v>187</v>
      </c>
      <c r="O3" s="145" t="s">
        <v>188</v>
      </c>
      <c r="P3" s="145" t="s">
        <v>189</v>
      </c>
      <c r="Q3" s="145" t="s">
        <v>190</v>
      </c>
      <c r="R3" s="145" t="s">
        <v>191</v>
      </c>
      <c r="S3" s="146" t="s">
        <v>0</v>
      </c>
      <c r="T3" s="23" t="s">
        <v>2</v>
      </c>
      <c r="U3" s="74">
        <v>45553</v>
      </c>
      <c r="V3" s="74">
        <v>45594</v>
      </c>
      <c r="W3" s="74">
        <v>45594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  <c r="AG3" s="24" t="s">
        <v>1</v>
      </c>
      <c r="AH3" s="24" t="s">
        <v>1</v>
      </c>
      <c r="AI3" s="24" t="s">
        <v>1</v>
      </c>
    </row>
    <row r="4" spans="1:35" ht="23.25" customHeight="1" x14ac:dyDescent="0.2">
      <c r="A4" s="203">
        <v>1</v>
      </c>
      <c r="B4" s="196" t="s">
        <v>31</v>
      </c>
      <c r="C4" s="26">
        <v>1</v>
      </c>
      <c r="D4" s="201" t="s">
        <v>34</v>
      </c>
      <c r="E4" s="28" t="s">
        <v>35</v>
      </c>
      <c r="F4" s="29" t="s">
        <v>16</v>
      </c>
      <c r="G4" s="29" t="s">
        <v>17</v>
      </c>
      <c r="H4" s="29" t="s">
        <v>44</v>
      </c>
      <c r="I4" s="28" t="s">
        <v>24</v>
      </c>
      <c r="J4" s="30">
        <v>12.15</v>
      </c>
      <c r="K4" s="31">
        <v>22</v>
      </c>
      <c r="L4" s="140">
        <f t="shared" ref="L4:L32" si="0">IF(SUM(U4:AL4)&gt;K4+N4,K4+N4,SUM(U4:AL4))</f>
        <v>22</v>
      </c>
      <c r="M4" s="140">
        <f t="shared" ref="M4:M32" si="1">(SUM(U4:AL4))</f>
        <v>22</v>
      </c>
      <c r="N4" s="141"/>
      <c r="O4" s="142">
        <f t="shared" ref="O4:O32" si="2">ROUND(IF(K4*0.25-0.5&lt;0,0,K4*0.25-0.5),0)-R4-P4</f>
        <v>5</v>
      </c>
      <c r="P4" s="141"/>
      <c r="Q4" s="141"/>
      <c r="R4" s="141"/>
      <c r="S4" s="143">
        <f t="shared" ref="S4:S32" si="3">K4+N4+P4+Q4-M4</f>
        <v>0</v>
      </c>
      <c r="T4" s="32" t="str">
        <f t="shared" ref="T4:T32" si="4">IF(S4&lt;0,"ATENÇÃO","OK")</f>
        <v>OK</v>
      </c>
      <c r="U4" s="33"/>
      <c r="V4" s="90">
        <v>22</v>
      </c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</row>
    <row r="5" spans="1:35" ht="26.45" customHeight="1" x14ac:dyDescent="0.2">
      <c r="A5" s="204"/>
      <c r="B5" s="206"/>
      <c r="C5" s="26">
        <v>2</v>
      </c>
      <c r="D5" s="207"/>
      <c r="E5" s="28" t="s">
        <v>36</v>
      </c>
      <c r="F5" s="29" t="s">
        <v>16</v>
      </c>
      <c r="G5" s="29" t="s">
        <v>17</v>
      </c>
      <c r="H5" s="29" t="s">
        <v>44</v>
      </c>
      <c r="I5" s="28" t="s">
        <v>24</v>
      </c>
      <c r="J5" s="30">
        <v>40.5</v>
      </c>
      <c r="K5" s="31">
        <v>2</v>
      </c>
      <c r="L5" s="140">
        <f t="shared" si="0"/>
        <v>0</v>
      </c>
      <c r="M5" s="140">
        <f t="shared" si="1"/>
        <v>0</v>
      </c>
      <c r="N5" s="141"/>
      <c r="O5" s="142">
        <f t="shared" si="2"/>
        <v>0</v>
      </c>
      <c r="P5" s="141"/>
      <c r="Q5" s="141"/>
      <c r="R5" s="141"/>
      <c r="S5" s="143">
        <f t="shared" si="3"/>
        <v>2</v>
      </c>
      <c r="T5" s="32" t="str">
        <f t="shared" si="4"/>
        <v>OK</v>
      </c>
      <c r="U5" s="33"/>
      <c r="V5" s="33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</row>
    <row r="6" spans="1:35" ht="24" customHeight="1" x14ac:dyDescent="0.2">
      <c r="A6" s="204"/>
      <c r="B6" s="206"/>
      <c r="C6" s="26">
        <v>3</v>
      </c>
      <c r="D6" s="207"/>
      <c r="E6" s="28" t="s">
        <v>37</v>
      </c>
      <c r="F6" s="29" t="s">
        <v>16</v>
      </c>
      <c r="G6" s="29" t="s">
        <v>17</v>
      </c>
      <c r="H6" s="29" t="s">
        <v>44</v>
      </c>
      <c r="I6" s="28" t="s">
        <v>24</v>
      </c>
      <c r="J6" s="30">
        <v>49.5</v>
      </c>
      <c r="K6" s="31">
        <f>2</f>
        <v>2</v>
      </c>
      <c r="L6" s="140">
        <f t="shared" si="0"/>
        <v>7</v>
      </c>
      <c r="M6" s="140">
        <f t="shared" si="1"/>
        <v>7</v>
      </c>
      <c r="N6" s="141">
        <v>5</v>
      </c>
      <c r="O6" s="142">
        <f t="shared" si="2"/>
        <v>0</v>
      </c>
      <c r="P6" s="141"/>
      <c r="Q6" s="141"/>
      <c r="R6" s="141"/>
      <c r="S6" s="143">
        <f t="shared" si="3"/>
        <v>0</v>
      </c>
      <c r="T6" s="32" t="str">
        <f t="shared" si="4"/>
        <v>OK</v>
      </c>
      <c r="U6" s="90">
        <v>7</v>
      </c>
      <c r="V6" s="35"/>
      <c r="W6" s="36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</row>
    <row r="7" spans="1:35" ht="24" customHeight="1" x14ac:dyDescent="0.2">
      <c r="A7" s="204"/>
      <c r="B7" s="206"/>
      <c r="C7" s="26">
        <v>4</v>
      </c>
      <c r="D7" s="207"/>
      <c r="E7" s="28" t="s">
        <v>38</v>
      </c>
      <c r="F7" s="29" t="s">
        <v>16</v>
      </c>
      <c r="G7" s="29" t="s">
        <v>17</v>
      </c>
      <c r="H7" s="29" t="s">
        <v>44</v>
      </c>
      <c r="I7" s="28" t="s">
        <v>24</v>
      </c>
      <c r="J7" s="30">
        <v>53</v>
      </c>
      <c r="K7" s="31">
        <v>2</v>
      </c>
      <c r="L7" s="140">
        <f t="shared" si="0"/>
        <v>1</v>
      </c>
      <c r="M7" s="140">
        <f t="shared" si="1"/>
        <v>1</v>
      </c>
      <c r="N7" s="141"/>
      <c r="O7" s="142">
        <f t="shared" si="2"/>
        <v>0</v>
      </c>
      <c r="P7" s="141"/>
      <c r="Q7" s="141"/>
      <c r="R7" s="141"/>
      <c r="S7" s="143">
        <f t="shared" si="3"/>
        <v>1</v>
      </c>
      <c r="T7" s="32" t="str">
        <f t="shared" si="4"/>
        <v>OK</v>
      </c>
      <c r="U7" s="33"/>
      <c r="V7" s="90">
        <v>1</v>
      </c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</row>
    <row r="8" spans="1:35" ht="19.5" customHeight="1" x14ac:dyDescent="0.2">
      <c r="A8" s="205"/>
      <c r="B8" s="197"/>
      <c r="C8" s="26">
        <v>5</v>
      </c>
      <c r="D8" s="202"/>
      <c r="E8" s="28" t="s">
        <v>39</v>
      </c>
      <c r="F8" s="29" t="s">
        <v>16</v>
      </c>
      <c r="G8" s="29" t="s">
        <v>17</v>
      </c>
      <c r="H8" s="29" t="s">
        <v>44</v>
      </c>
      <c r="I8" s="28" t="s">
        <v>24</v>
      </c>
      <c r="J8" s="30">
        <v>30.4</v>
      </c>
      <c r="K8" s="31">
        <v>2</v>
      </c>
      <c r="L8" s="140">
        <f t="shared" si="0"/>
        <v>0</v>
      </c>
      <c r="M8" s="140">
        <f t="shared" si="1"/>
        <v>0</v>
      </c>
      <c r="N8" s="141"/>
      <c r="O8" s="142">
        <f t="shared" si="2"/>
        <v>0</v>
      </c>
      <c r="P8" s="141"/>
      <c r="Q8" s="141"/>
      <c r="R8" s="141"/>
      <c r="S8" s="143">
        <f t="shared" si="3"/>
        <v>2</v>
      </c>
      <c r="T8" s="32" t="str">
        <f t="shared" si="4"/>
        <v>OK</v>
      </c>
      <c r="U8" s="33"/>
      <c r="V8" s="33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</row>
    <row r="9" spans="1:35" ht="21.75" customHeight="1" x14ac:dyDescent="0.2">
      <c r="A9" s="216">
        <v>2</v>
      </c>
      <c r="B9" s="190" t="s">
        <v>31</v>
      </c>
      <c r="C9" s="40">
        <v>6</v>
      </c>
      <c r="D9" s="199" t="s">
        <v>40</v>
      </c>
      <c r="E9" s="39" t="s">
        <v>35</v>
      </c>
      <c r="F9" s="41" t="s">
        <v>16</v>
      </c>
      <c r="G9" s="41" t="s">
        <v>17</v>
      </c>
      <c r="H9" s="41" t="s">
        <v>44</v>
      </c>
      <c r="I9" s="39" t="s">
        <v>24</v>
      </c>
      <c r="J9" s="42">
        <v>14.21</v>
      </c>
      <c r="K9" s="31">
        <v>0</v>
      </c>
      <c r="L9" s="140">
        <f t="shared" si="0"/>
        <v>0</v>
      </c>
      <c r="M9" s="140">
        <f t="shared" si="1"/>
        <v>0</v>
      </c>
      <c r="N9" s="141"/>
      <c r="O9" s="142">
        <f t="shared" si="2"/>
        <v>0</v>
      </c>
      <c r="P9" s="141"/>
      <c r="Q9" s="141"/>
      <c r="R9" s="141"/>
      <c r="S9" s="143">
        <f t="shared" si="3"/>
        <v>0</v>
      </c>
      <c r="T9" s="32" t="str">
        <f t="shared" si="4"/>
        <v>OK</v>
      </c>
      <c r="U9" s="33"/>
      <c r="V9" s="33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</row>
    <row r="10" spans="1:35" ht="20.25" customHeight="1" x14ac:dyDescent="0.2">
      <c r="A10" s="217"/>
      <c r="B10" s="191"/>
      <c r="C10" s="40">
        <v>7</v>
      </c>
      <c r="D10" s="200"/>
      <c r="E10" s="39" t="s">
        <v>41</v>
      </c>
      <c r="F10" s="41" t="s">
        <v>16</v>
      </c>
      <c r="G10" s="41" t="s">
        <v>17</v>
      </c>
      <c r="H10" s="41" t="s">
        <v>44</v>
      </c>
      <c r="I10" s="39" t="s">
        <v>24</v>
      </c>
      <c r="J10" s="42">
        <v>20.9</v>
      </c>
      <c r="K10" s="31">
        <v>0</v>
      </c>
      <c r="L10" s="140">
        <f t="shared" si="0"/>
        <v>0</v>
      </c>
      <c r="M10" s="140">
        <f t="shared" si="1"/>
        <v>0</v>
      </c>
      <c r="N10" s="141"/>
      <c r="O10" s="142">
        <f t="shared" si="2"/>
        <v>0</v>
      </c>
      <c r="P10" s="141"/>
      <c r="Q10" s="141"/>
      <c r="R10" s="141"/>
      <c r="S10" s="143">
        <f t="shared" si="3"/>
        <v>0</v>
      </c>
      <c r="T10" s="32" t="str">
        <f t="shared" si="4"/>
        <v>OK</v>
      </c>
      <c r="U10" s="35"/>
      <c r="V10" s="33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</row>
    <row r="11" spans="1:35" ht="25.5" x14ac:dyDescent="0.2">
      <c r="A11" s="203">
        <v>3</v>
      </c>
      <c r="B11" s="196" t="s">
        <v>42</v>
      </c>
      <c r="C11" s="26">
        <v>8</v>
      </c>
      <c r="D11" s="201" t="s">
        <v>45</v>
      </c>
      <c r="E11" s="28" t="s">
        <v>46</v>
      </c>
      <c r="F11" s="29" t="s">
        <v>16</v>
      </c>
      <c r="G11" s="29" t="s">
        <v>17</v>
      </c>
      <c r="H11" s="29" t="s">
        <v>44</v>
      </c>
      <c r="I11" s="28" t="s">
        <v>24</v>
      </c>
      <c r="J11" s="30">
        <v>423</v>
      </c>
      <c r="K11" s="31">
        <v>1</v>
      </c>
      <c r="L11" s="140">
        <f t="shared" si="0"/>
        <v>0</v>
      </c>
      <c r="M11" s="140">
        <f t="shared" si="1"/>
        <v>0</v>
      </c>
      <c r="N11" s="141"/>
      <c r="O11" s="142">
        <f t="shared" si="2"/>
        <v>0</v>
      </c>
      <c r="P11" s="141"/>
      <c r="Q11" s="141"/>
      <c r="R11" s="141"/>
      <c r="S11" s="143">
        <f t="shared" si="3"/>
        <v>1</v>
      </c>
      <c r="T11" s="32" t="str">
        <f t="shared" si="4"/>
        <v>OK</v>
      </c>
      <c r="U11" s="33"/>
      <c r="V11" s="33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</row>
    <row r="12" spans="1:35" ht="21.2" customHeight="1" x14ac:dyDescent="0.2">
      <c r="A12" s="204"/>
      <c r="B12" s="206"/>
      <c r="C12" s="26">
        <v>9</v>
      </c>
      <c r="D12" s="207"/>
      <c r="E12" s="28" t="s">
        <v>47</v>
      </c>
      <c r="F12" s="29" t="s">
        <v>16</v>
      </c>
      <c r="G12" s="29" t="s">
        <v>17</v>
      </c>
      <c r="H12" s="29" t="s">
        <v>44</v>
      </c>
      <c r="I12" s="28" t="s">
        <v>24</v>
      </c>
      <c r="J12" s="30">
        <v>1613</v>
      </c>
      <c r="K12" s="31">
        <v>1</v>
      </c>
      <c r="L12" s="140">
        <f t="shared" si="0"/>
        <v>0</v>
      </c>
      <c r="M12" s="140">
        <f t="shared" si="1"/>
        <v>0</v>
      </c>
      <c r="N12" s="141"/>
      <c r="O12" s="142">
        <f t="shared" si="2"/>
        <v>0</v>
      </c>
      <c r="P12" s="141"/>
      <c r="Q12" s="141"/>
      <c r="R12" s="141"/>
      <c r="S12" s="143">
        <f t="shared" si="3"/>
        <v>1</v>
      </c>
      <c r="T12" s="32" t="str">
        <f t="shared" si="4"/>
        <v>OK</v>
      </c>
      <c r="U12" s="33"/>
      <c r="V12" s="33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</row>
    <row r="13" spans="1:35" ht="19.5" customHeight="1" x14ac:dyDescent="0.2">
      <c r="A13" s="205"/>
      <c r="B13" s="197"/>
      <c r="C13" s="26">
        <v>10</v>
      </c>
      <c r="D13" s="202"/>
      <c r="E13" s="28" t="s">
        <v>48</v>
      </c>
      <c r="F13" s="29" t="s">
        <v>16</v>
      </c>
      <c r="G13" s="29" t="s">
        <v>17</v>
      </c>
      <c r="H13" s="29" t="s">
        <v>44</v>
      </c>
      <c r="I13" s="28" t="s">
        <v>24</v>
      </c>
      <c r="J13" s="30">
        <v>1749</v>
      </c>
      <c r="K13" s="31">
        <v>1</v>
      </c>
      <c r="L13" s="140">
        <f t="shared" si="0"/>
        <v>0</v>
      </c>
      <c r="M13" s="140">
        <f t="shared" si="1"/>
        <v>0</v>
      </c>
      <c r="N13" s="141"/>
      <c r="O13" s="142">
        <f t="shared" si="2"/>
        <v>0</v>
      </c>
      <c r="P13" s="141"/>
      <c r="Q13" s="141"/>
      <c r="R13" s="141"/>
      <c r="S13" s="143">
        <f t="shared" si="3"/>
        <v>1</v>
      </c>
      <c r="T13" s="32" t="str">
        <f t="shared" si="4"/>
        <v>OK</v>
      </c>
      <c r="U13" s="33"/>
      <c r="V13" s="33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</row>
    <row r="14" spans="1:35" ht="25.15" customHeight="1" x14ac:dyDescent="0.2">
      <c r="A14" s="208">
        <v>4</v>
      </c>
      <c r="B14" s="209" t="s">
        <v>49</v>
      </c>
      <c r="C14" s="40">
        <v>11</v>
      </c>
      <c r="D14" s="211" t="s">
        <v>50</v>
      </c>
      <c r="E14" s="39" t="s">
        <v>51</v>
      </c>
      <c r="F14" s="41" t="s">
        <v>16</v>
      </c>
      <c r="G14" s="41" t="s">
        <v>17</v>
      </c>
      <c r="H14" s="41" t="s">
        <v>44</v>
      </c>
      <c r="I14" s="39" t="s">
        <v>53</v>
      </c>
      <c r="J14" s="42">
        <v>19.63</v>
      </c>
      <c r="K14" s="31">
        <v>300</v>
      </c>
      <c r="L14" s="140">
        <f t="shared" si="0"/>
        <v>0</v>
      </c>
      <c r="M14" s="140">
        <f t="shared" si="1"/>
        <v>0</v>
      </c>
      <c r="N14" s="141"/>
      <c r="O14" s="142">
        <f t="shared" si="2"/>
        <v>75</v>
      </c>
      <c r="P14" s="141"/>
      <c r="Q14" s="141"/>
      <c r="R14" s="141"/>
      <c r="S14" s="143">
        <f t="shared" si="3"/>
        <v>300</v>
      </c>
      <c r="T14" s="32" t="str">
        <f t="shared" si="4"/>
        <v>OK</v>
      </c>
      <c r="U14" s="33"/>
      <c r="V14" s="33"/>
      <c r="W14" s="34"/>
      <c r="X14" s="34"/>
      <c r="Y14" s="36"/>
      <c r="Z14" s="36"/>
      <c r="AA14" s="34"/>
      <c r="AB14" s="34"/>
      <c r="AC14" s="34"/>
      <c r="AD14" s="34"/>
      <c r="AE14" s="34"/>
      <c r="AF14" s="34"/>
      <c r="AG14" s="34"/>
      <c r="AH14" s="34"/>
      <c r="AI14" s="34"/>
    </row>
    <row r="15" spans="1:35" ht="22.7" customHeight="1" x14ac:dyDescent="0.2">
      <c r="A15" s="208"/>
      <c r="B15" s="210"/>
      <c r="C15" s="40">
        <v>12</v>
      </c>
      <c r="D15" s="212"/>
      <c r="E15" s="39" t="s">
        <v>52</v>
      </c>
      <c r="F15" s="41" t="s">
        <v>16</v>
      </c>
      <c r="G15" s="41" t="s">
        <v>17</v>
      </c>
      <c r="H15" s="41" t="s">
        <v>44</v>
      </c>
      <c r="I15" s="39" t="s">
        <v>24</v>
      </c>
      <c r="J15" s="42">
        <v>20.27</v>
      </c>
      <c r="K15" s="31">
        <v>310</v>
      </c>
      <c r="L15" s="140">
        <f t="shared" si="0"/>
        <v>0</v>
      </c>
      <c r="M15" s="140">
        <f t="shared" si="1"/>
        <v>0</v>
      </c>
      <c r="N15" s="141"/>
      <c r="O15" s="142">
        <f t="shared" si="2"/>
        <v>77</v>
      </c>
      <c r="P15" s="141"/>
      <c r="Q15" s="141"/>
      <c r="R15" s="141"/>
      <c r="S15" s="143">
        <f t="shared" si="3"/>
        <v>310</v>
      </c>
      <c r="T15" s="32" t="str">
        <f t="shared" si="4"/>
        <v>OK</v>
      </c>
      <c r="U15" s="33"/>
      <c r="V15" s="33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</row>
    <row r="16" spans="1:35" ht="45" customHeight="1" x14ac:dyDescent="0.2">
      <c r="A16" s="48">
        <v>5</v>
      </c>
      <c r="B16" s="28" t="s">
        <v>49</v>
      </c>
      <c r="C16" s="26">
        <v>13</v>
      </c>
      <c r="D16" s="49" t="s">
        <v>54</v>
      </c>
      <c r="E16" s="63" t="s">
        <v>55</v>
      </c>
      <c r="F16" s="50" t="s">
        <v>16</v>
      </c>
      <c r="G16" s="50" t="s">
        <v>17</v>
      </c>
      <c r="H16" s="29" t="s">
        <v>44</v>
      </c>
      <c r="I16" s="28" t="s">
        <v>53</v>
      </c>
      <c r="J16" s="30">
        <v>28.9</v>
      </c>
      <c r="K16" s="31">
        <v>150</v>
      </c>
      <c r="L16" s="140">
        <f t="shared" si="0"/>
        <v>0</v>
      </c>
      <c r="M16" s="140">
        <f t="shared" si="1"/>
        <v>0</v>
      </c>
      <c r="N16" s="141"/>
      <c r="O16" s="142">
        <f t="shared" si="2"/>
        <v>37</v>
      </c>
      <c r="P16" s="141"/>
      <c r="Q16" s="141"/>
      <c r="R16" s="141"/>
      <c r="S16" s="143">
        <f t="shared" si="3"/>
        <v>150</v>
      </c>
      <c r="T16" s="32" t="str">
        <f t="shared" si="4"/>
        <v>OK</v>
      </c>
      <c r="U16" s="33"/>
      <c r="V16" s="33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</row>
    <row r="17" spans="1:35" ht="40.5" customHeight="1" x14ac:dyDescent="0.2">
      <c r="A17" s="38">
        <v>6</v>
      </c>
      <c r="B17" s="47" t="s">
        <v>49</v>
      </c>
      <c r="C17" s="40">
        <v>14</v>
      </c>
      <c r="D17" s="47" t="s">
        <v>57</v>
      </c>
      <c r="E17" s="39" t="s">
        <v>56</v>
      </c>
      <c r="F17" s="41" t="s">
        <v>16</v>
      </c>
      <c r="G17" s="41" t="s">
        <v>17</v>
      </c>
      <c r="H17" s="41" t="s">
        <v>44</v>
      </c>
      <c r="I17" s="39" t="s">
        <v>24</v>
      </c>
      <c r="J17" s="42">
        <v>9.5</v>
      </c>
      <c r="K17" s="31">
        <f>150</f>
        <v>150</v>
      </c>
      <c r="L17" s="140">
        <f t="shared" si="0"/>
        <v>60</v>
      </c>
      <c r="M17" s="140">
        <f t="shared" si="1"/>
        <v>60</v>
      </c>
      <c r="N17" s="141">
        <v>-60</v>
      </c>
      <c r="O17" s="142">
        <f t="shared" si="2"/>
        <v>37</v>
      </c>
      <c r="P17" s="141"/>
      <c r="Q17" s="141"/>
      <c r="R17" s="141"/>
      <c r="S17" s="143">
        <f t="shared" si="3"/>
        <v>30</v>
      </c>
      <c r="T17" s="32" t="str">
        <f t="shared" si="4"/>
        <v>OK</v>
      </c>
      <c r="U17" s="33"/>
      <c r="V17" s="35"/>
      <c r="W17" s="115">
        <v>60</v>
      </c>
      <c r="X17" s="34"/>
      <c r="Y17" s="34"/>
      <c r="Z17" s="36"/>
      <c r="AA17" s="34"/>
      <c r="AB17" s="34"/>
      <c r="AC17" s="34"/>
      <c r="AD17" s="34"/>
      <c r="AE17" s="34"/>
      <c r="AF17" s="34"/>
      <c r="AG17" s="34"/>
      <c r="AH17" s="34"/>
      <c r="AI17" s="34"/>
    </row>
    <row r="18" spans="1:35" ht="42.75" customHeight="1" x14ac:dyDescent="0.2">
      <c r="A18" s="65">
        <v>7</v>
      </c>
      <c r="B18" s="28" t="s">
        <v>49</v>
      </c>
      <c r="C18" s="64">
        <v>15</v>
      </c>
      <c r="D18" s="37" t="s">
        <v>58</v>
      </c>
      <c r="E18" s="61" t="s">
        <v>59</v>
      </c>
      <c r="F18" s="29" t="s">
        <v>16</v>
      </c>
      <c r="G18" s="29" t="s">
        <v>17</v>
      </c>
      <c r="H18" s="29" t="s">
        <v>44</v>
      </c>
      <c r="I18" s="28" t="s">
        <v>24</v>
      </c>
      <c r="J18" s="30">
        <v>197.76</v>
      </c>
      <c r="K18" s="31">
        <v>100</v>
      </c>
      <c r="L18" s="140">
        <f t="shared" si="0"/>
        <v>0</v>
      </c>
      <c r="M18" s="140">
        <f t="shared" si="1"/>
        <v>0</v>
      </c>
      <c r="N18" s="141"/>
      <c r="O18" s="142">
        <f t="shared" si="2"/>
        <v>25</v>
      </c>
      <c r="P18" s="141"/>
      <c r="Q18" s="141"/>
      <c r="R18" s="141"/>
      <c r="S18" s="143">
        <f t="shared" si="3"/>
        <v>100</v>
      </c>
      <c r="T18" s="32" t="str">
        <f t="shared" si="4"/>
        <v>OK</v>
      </c>
      <c r="U18" s="33"/>
      <c r="V18" s="35"/>
      <c r="W18" s="45"/>
      <c r="X18" s="34"/>
      <c r="Y18" s="34"/>
      <c r="Z18" s="36"/>
      <c r="AA18" s="34"/>
      <c r="AB18" s="34"/>
      <c r="AC18" s="34"/>
      <c r="AD18" s="34"/>
      <c r="AE18" s="34"/>
      <c r="AF18" s="34"/>
      <c r="AG18" s="34"/>
      <c r="AH18" s="34"/>
      <c r="AI18" s="34"/>
    </row>
    <row r="19" spans="1:35" ht="38.25" customHeight="1" x14ac:dyDescent="0.2">
      <c r="A19" s="188">
        <v>8</v>
      </c>
      <c r="B19" s="190" t="s">
        <v>49</v>
      </c>
      <c r="C19" s="40">
        <v>16</v>
      </c>
      <c r="D19" s="199" t="s">
        <v>12</v>
      </c>
      <c r="E19" s="39" t="s">
        <v>60</v>
      </c>
      <c r="F19" s="41" t="s">
        <v>16</v>
      </c>
      <c r="G19" s="41" t="s">
        <v>17</v>
      </c>
      <c r="H19" s="41" t="s">
        <v>44</v>
      </c>
      <c r="I19" s="39" t="s">
        <v>24</v>
      </c>
      <c r="J19" s="42">
        <v>22.35</v>
      </c>
      <c r="K19" s="31">
        <v>200</v>
      </c>
      <c r="L19" s="140">
        <f t="shared" si="0"/>
        <v>0</v>
      </c>
      <c r="M19" s="140">
        <f t="shared" si="1"/>
        <v>0</v>
      </c>
      <c r="N19" s="141"/>
      <c r="O19" s="142">
        <f t="shared" si="2"/>
        <v>50</v>
      </c>
      <c r="P19" s="141"/>
      <c r="Q19" s="141"/>
      <c r="R19" s="141"/>
      <c r="S19" s="143">
        <f t="shared" si="3"/>
        <v>200</v>
      </c>
      <c r="T19" s="32" t="str">
        <f t="shared" si="4"/>
        <v>OK</v>
      </c>
      <c r="U19" s="33"/>
      <c r="V19" s="35"/>
      <c r="W19" s="45"/>
      <c r="X19" s="34"/>
      <c r="Y19" s="34"/>
      <c r="Z19" s="36"/>
      <c r="AA19" s="34"/>
      <c r="AB19" s="34"/>
      <c r="AC19" s="34"/>
      <c r="AD19" s="34"/>
      <c r="AE19" s="34"/>
      <c r="AF19" s="34"/>
      <c r="AG19" s="34"/>
      <c r="AH19" s="34"/>
      <c r="AI19" s="34"/>
    </row>
    <row r="20" spans="1:35" ht="45" customHeight="1" x14ac:dyDescent="0.2">
      <c r="A20" s="189"/>
      <c r="B20" s="191"/>
      <c r="C20" s="40">
        <v>17</v>
      </c>
      <c r="D20" s="200"/>
      <c r="E20" s="39" t="s">
        <v>61</v>
      </c>
      <c r="F20" s="44" t="s">
        <v>16</v>
      </c>
      <c r="G20" s="44" t="s">
        <v>17</v>
      </c>
      <c r="H20" s="41" t="s">
        <v>44</v>
      </c>
      <c r="I20" s="39" t="s">
        <v>24</v>
      </c>
      <c r="J20" s="42">
        <v>4.5999999999999996</v>
      </c>
      <c r="K20" s="31">
        <v>200</v>
      </c>
      <c r="L20" s="140">
        <f t="shared" si="0"/>
        <v>0</v>
      </c>
      <c r="M20" s="140">
        <f t="shared" si="1"/>
        <v>0</v>
      </c>
      <c r="N20" s="141"/>
      <c r="O20" s="142">
        <f t="shared" si="2"/>
        <v>50</v>
      </c>
      <c r="P20" s="141"/>
      <c r="Q20" s="141"/>
      <c r="R20" s="141"/>
      <c r="S20" s="143">
        <f t="shared" si="3"/>
        <v>200</v>
      </c>
      <c r="T20" s="32" t="str">
        <f t="shared" si="4"/>
        <v>OK</v>
      </c>
      <c r="U20" s="33"/>
      <c r="V20" s="35"/>
      <c r="W20" s="45"/>
      <c r="X20" s="36"/>
      <c r="Y20" s="34"/>
      <c r="Z20" s="45"/>
      <c r="AA20" s="34"/>
      <c r="AB20" s="34"/>
      <c r="AC20" s="34"/>
      <c r="AD20" s="34"/>
      <c r="AE20" s="34"/>
      <c r="AF20" s="34"/>
      <c r="AG20" s="34"/>
      <c r="AH20" s="34"/>
      <c r="AI20" s="34"/>
    </row>
    <row r="21" spans="1:35" ht="43.5" customHeight="1" x14ac:dyDescent="0.2">
      <c r="A21" s="48">
        <v>9</v>
      </c>
      <c r="B21" s="28" t="s">
        <v>62</v>
      </c>
      <c r="C21" s="26">
        <v>18</v>
      </c>
      <c r="D21" s="27" t="s">
        <v>63</v>
      </c>
      <c r="E21" s="28" t="s">
        <v>64</v>
      </c>
      <c r="F21" s="50" t="s">
        <v>16</v>
      </c>
      <c r="G21" s="50" t="s">
        <v>17</v>
      </c>
      <c r="H21" s="29" t="s">
        <v>44</v>
      </c>
      <c r="I21" s="28" t="s">
        <v>24</v>
      </c>
      <c r="J21" s="30">
        <v>3.46</v>
      </c>
      <c r="K21" s="31">
        <v>0</v>
      </c>
      <c r="L21" s="140">
        <f t="shared" si="0"/>
        <v>0</v>
      </c>
      <c r="M21" s="140">
        <f t="shared" si="1"/>
        <v>0</v>
      </c>
      <c r="N21" s="141"/>
      <c r="O21" s="142">
        <f t="shared" si="2"/>
        <v>0</v>
      </c>
      <c r="P21" s="141"/>
      <c r="Q21" s="141"/>
      <c r="R21" s="141"/>
      <c r="S21" s="143">
        <f t="shared" si="3"/>
        <v>0</v>
      </c>
      <c r="T21" s="32" t="str">
        <f t="shared" si="4"/>
        <v>OK</v>
      </c>
      <c r="U21" s="35"/>
      <c r="V21" s="33"/>
      <c r="W21" s="45"/>
      <c r="X21" s="36"/>
      <c r="Y21" s="34"/>
      <c r="Z21" s="45"/>
      <c r="AA21" s="34"/>
      <c r="AB21" s="34"/>
      <c r="AC21" s="34"/>
      <c r="AD21" s="34"/>
      <c r="AE21" s="34"/>
      <c r="AF21" s="34"/>
      <c r="AG21" s="34"/>
      <c r="AH21" s="34"/>
      <c r="AI21" s="34"/>
    </row>
    <row r="22" spans="1:35" ht="45" customHeight="1" x14ac:dyDescent="0.2">
      <c r="A22" s="38">
        <v>10</v>
      </c>
      <c r="B22" s="47" t="s">
        <v>31</v>
      </c>
      <c r="C22" s="40">
        <v>19</v>
      </c>
      <c r="D22" s="47" t="s">
        <v>27</v>
      </c>
      <c r="E22" s="39" t="s">
        <v>23</v>
      </c>
      <c r="F22" s="44" t="s">
        <v>16</v>
      </c>
      <c r="G22" s="44" t="s">
        <v>17</v>
      </c>
      <c r="H22" s="41" t="s">
        <v>44</v>
      </c>
      <c r="I22" s="39" t="s">
        <v>24</v>
      </c>
      <c r="J22" s="42">
        <v>0.4</v>
      </c>
      <c r="K22" s="31">
        <v>0</v>
      </c>
      <c r="L22" s="140">
        <f t="shared" si="0"/>
        <v>0</v>
      </c>
      <c r="M22" s="140">
        <f t="shared" si="1"/>
        <v>0</v>
      </c>
      <c r="N22" s="141"/>
      <c r="O22" s="142">
        <f t="shared" si="2"/>
        <v>0</v>
      </c>
      <c r="P22" s="141"/>
      <c r="Q22" s="141"/>
      <c r="R22" s="141"/>
      <c r="S22" s="143">
        <f t="shared" si="3"/>
        <v>0</v>
      </c>
      <c r="T22" s="32" t="str">
        <f t="shared" si="4"/>
        <v>OK</v>
      </c>
      <c r="U22" s="35"/>
      <c r="V22" s="33"/>
      <c r="W22" s="45"/>
      <c r="X22" s="36"/>
      <c r="Y22" s="34"/>
      <c r="Z22" s="45"/>
      <c r="AA22" s="36"/>
      <c r="AB22" s="34"/>
      <c r="AC22" s="34"/>
      <c r="AD22" s="34"/>
      <c r="AE22" s="34"/>
      <c r="AF22" s="34"/>
      <c r="AG22" s="34"/>
      <c r="AH22" s="34"/>
      <c r="AI22" s="34"/>
    </row>
    <row r="23" spans="1:35" ht="28.15" customHeight="1" x14ac:dyDescent="0.2">
      <c r="A23" s="194">
        <v>11</v>
      </c>
      <c r="B23" s="196" t="s">
        <v>65</v>
      </c>
      <c r="C23" s="26">
        <v>20</v>
      </c>
      <c r="D23" s="201" t="s">
        <v>25</v>
      </c>
      <c r="E23" s="28" t="s">
        <v>19</v>
      </c>
      <c r="F23" s="50" t="s">
        <v>16</v>
      </c>
      <c r="G23" s="50" t="s">
        <v>17</v>
      </c>
      <c r="H23" s="29" t="s">
        <v>44</v>
      </c>
      <c r="I23" s="28" t="s">
        <v>24</v>
      </c>
      <c r="J23" s="30">
        <v>3.95</v>
      </c>
      <c r="K23" s="31">
        <v>10</v>
      </c>
      <c r="L23" s="140">
        <f t="shared" si="0"/>
        <v>0</v>
      </c>
      <c r="M23" s="140">
        <f t="shared" si="1"/>
        <v>0</v>
      </c>
      <c r="N23" s="141"/>
      <c r="O23" s="142">
        <f t="shared" si="2"/>
        <v>2</v>
      </c>
      <c r="P23" s="141"/>
      <c r="Q23" s="141"/>
      <c r="R23" s="141"/>
      <c r="S23" s="143">
        <f t="shared" si="3"/>
        <v>10</v>
      </c>
      <c r="T23" s="32" t="str">
        <f t="shared" si="4"/>
        <v>OK</v>
      </c>
      <c r="U23" s="35"/>
      <c r="V23" s="33"/>
      <c r="W23" s="45"/>
      <c r="X23" s="34"/>
      <c r="Y23" s="34"/>
      <c r="Z23" s="45"/>
      <c r="AA23" s="36"/>
      <c r="AB23" s="34"/>
      <c r="AC23" s="34"/>
      <c r="AD23" s="34"/>
      <c r="AE23" s="34"/>
      <c r="AF23" s="34"/>
      <c r="AG23" s="34"/>
      <c r="AH23" s="34"/>
      <c r="AI23" s="34"/>
    </row>
    <row r="24" spans="1:35" ht="25.15" customHeight="1" x14ac:dyDescent="0.2">
      <c r="A24" s="195"/>
      <c r="B24" s="197"/>
      <c r="C24" s="26">
        <v>21</v>
      </c>
      <c r="D24" s="202"/>
      <c r="E24" s="28" t="s">
        <v>20</v>
      </c>
      <c r="F24" s="50" t="s">
        <v>16</v>
      </c>
      <c r="G24" s="50" t="s">
        <v>17</v>
      </c>
      <c r="H24" s="29" t="s">
        <v>44</v>
      </c>
      <c r="I24" s="28" t="s">
        <v>24</v>
      </c>
      <c r="J24" s="30">
        <v>2.41</v>
      </c>
      <c r="K24" s="31">
        <v>0</v>
      </c>
      <c r="L24" s="140">
        <f t="shared" si="0"/>
        <v>0</v>
      </c>
      <c r="M24" s="140">
        <f t="shared" si="1"/>
        <v>0</v>
      </c>
      <c r="N24" s="141"/>
      <c r="O24" s="142">
        <f t="shared" si="2"/>
        <v>0</v>
      </c>
      <c r="P24" s="141"/>
      <c r="Q24" s="141"/>
      <c r="R24" s="141"/>
      <c r="S24" s="143">
        <f t="shared" si="3"/>
        <v>0</v>
      </c>
      <c r="T24" s="32" t="str">
        <f t="shared" si="4"/>
        <v>OK</v>
      </c>
      <c r="U24" s="33"/>
      <c r="V24" s="33"/>
      <c r="W24" s="45"/>
      <c r="X24" s="34"/>
      <c r="Y24" s="34"/>
      <c r="Z24" s="45"/>
      <c r="AA24" s="34"/>
      <c r="AB24" s="34"/>
      <c r="AC24" s="34"/>
      <c r="AD24" s="34"/>
      <c r="AE24" s="34"/>
      <c r="AF24" s="34"/>
      <c r="AG24" s="34"/>
      <c r="AH24" s="34"/>
      <c r="AI24" s="34"/>
    </row>
    <row r="25" spans="1:35" ht="26.45" customHeight="1" x14ac:dyDescent="0.2">
      <c r="A25" s="188">
        <v>12</v>
      </c>
      <c r="B25" s="190" t="s">
        <v>62</v>
      </c>
      <c r="C25" s="40">
        <v>22</v>
      </c>
      <c r="D25" s="199" t="s">
        <v>26</v>
      </c>
      <c r="E25" s="39" t="s">
        <v>19</v>
      </c>
      <c r="F25" s="44" t="s">
        <v>16</v>
      </c>
      <c r="G25" s="44" t="s">
        <v>17</v>
      </c>
      <c r="H25" s="41" t="s">
        <v>44</v>
      </c>
      <c r="I25" s="39" t="s">
        <v>24</v>
      </c>
      <c r="J25" s="42">
        <v>2.48</v>
      </c>
      <c r="K25" s="31">
        <v>15</v>
      </c>
      <c r="L25" s="140">
        <f t="shared" si="0"/>
        <v>0</v>
      </c>
      <c r="M25" s="140">
        <f t="shared" si="1"/>
        <v>0</v>
      </c>
      <c r="N25" s="141"/>
      <c r="O25" s="142">
        <f t="shared" si="2"/>
        <v>3</v>
      </c>
      <c r="P25" s="141"/>
      <c r="Q25" s="141"/>
      <c r="R25" s="141"/>
      <c r="S25" s="143">
        <f t="shared" si="3"/>
        <v>15</v>
      </c>
      <c r="T25" s="32" t="str">
        <f t="shared" si="4"/>
        <v>OK</v>
      </c>
      <c r="U25" s="33"/>
      <c r="V25" s="33"/>
      <c r="W25" s="45"/>
      <c r="X25" s="36"/>
      <c r="Y25" s="34"/>
      <c r="Z25" s="45"/>
      <c r="AA25" s="34"/>
      <c r="AB25" s="34"/>
      <c r="AC25" s="34"/>
      <c r="AD25" s="34"/>
      <c r="AE25" s="34"/>
      <c r="AF25" s="34"/>
      <c r="AG25" s="34"/>
      <c r="AH25" s="34"/>
      <c r="AI25" s="34"/>
    </row>
    <row r="26" spans="1:35" ht="24.4" customHeight="1" x14ac:dyDescent="0.2">
      <c r="A26" s="189"/>
      <c r="B26" s="191"/>
      <c r="C26" s="40">
        <v>23</v>
      </c>
      <c r="D26" s="200"/>
      <c r="E26" s="43" t="s">
        <v>20</v>
      </c>
      <c r="F26" s="44" t="s">
        <v>16</v>
      </c>
      <c r="G26" s="44" t="s">
        <v>17</v>
      </c>
      <c r="H26" s="41" t="s">
        <v>44</v>
      </c>
      <c r="I26" s="39" t="s">
        <v>24</v>
      </c>
      <c r="J26" s="42">
        <v>1.2</v>
      </c>
      <c r="K26" s="31">
        <v>0</v>
      </c>
      <c r="L26" s="140">
        <f t="shared" si="0"/>
        <v>0</v>
      </c>
      <c r="M26" s="140">
        <f t="shared" si="1"/>
        <v>0</v>
      </c>
      <c r="N26" s="141"/>
      <c r="O26" s="142">
        <f t="shared" si="2"/>
        <v>0</v>
      </c>
      <c r="P26" s="141"/>
      <c r="Q26" s="141"/>
      <c r="R26" s="141"/>
      <c r="S26" s="143">
        <f t="shared" si="3"/>
        <v>0</v>
      </c>
      <c r="T26" s="32" t="str">
        <f t="shared" si="4"/>
        <v>OK</v>
      </c>
      <c r="U26" s="33"/>
      <c r="V26" s="33"/>
      <c r="W26" s="45"/>
      <c r="X26" s="34"/>
      <c r="Y26" s="34"/>
      <c r="Z26" s="45"/>
      <c r="AA26" s="34"/>
      <c r="AB26" s="34"/>
      <c r="AC26" s="34"/>
      <c r="AD26" s="34"/>
      <c r="AE26" s="34"/>
      <c r="AF26" s="34"/>
      <c r="AG26" s="34"/>
      <c r="AH26" s="34"/>
      <c r="AI26" s="34"/>
    </row>
    <row r="27" spans="1:35" ht="24" customHeight="1" x14ac:dyDescent="0.2">
      <c r="A27" s="194">
        <v>13</v>
      </c>
      <c r="B27" s="196" t="s">
        <v>65</v>
      </c>
      <c r="C27" s="26">
        <v>24</v>
      </c>
      <c r="D27" s="201" t="s">
        <v>66</v>
      </c>
      <c r="E27" s="28" t="s">
        <v>21</v>
      </c>
      <c r="F27" s="50" t="s">
        <v>16</v>
      </c>
      <c r="G27" s="29" t="s">
        <v>17</v>
      </c>
      <c r="H27" s="29" t="s">
        <v>44</v>
      </c>
      <c r="I27" s="28" t="s">
        <v>24</v>
      </c>
      <c r="J27" s="30">
        <v>0.33</v>
      </c>
      <c r="K27" s="31">
        <f>500</f>
        <v>500</v>
      </c>
      <c r="L27" s="140">
        <f t="shared" si="0"/>
        <v>0</v>
      </c>
      <c r="M27" s="140">
        <f t="shared" si="1"/>
        <v>0</v>
      </c>
      <c r="N27" s="141">
        <v>-500</v>
      </c>
      <c r="O27" s="142">
        <f t="shared" si="2"/>
        <v>125</v>
      </c>
      <c r="P27" s="141"/>
      <c r="Q27" s="141"/>
      <c r="R27" s="141"/>
      <c r="S27" s="143">
        <f t="shared" si="3"/>
        <v>0</v>
      </c>
      <c r="T27" s="32" t="str">
        <f t="shared" si="4"/>
        <v>OK</v>
      </c>
      <c r="U27" s="33"/>
      <c r="V27" s="33"/>
      <c r="W27" s="45"/>
      <c r="X27" s="34"/>
      <c r="Y27" s="34"/>
      <c r="Z27" s="45"/>
      <c r="AA27" s="34"/>
      <c r="AB27" s="34"/>
      <c r="AC27" s="34"/>
      <c r="AD27" s="34"/>
      <c r="AE27" s="34"/>
      <c r="AF27" s="34"/>
      <c r="AG27" s="34"/>
      <c r="AH27" s="34"/>
      <c r="AI27" s="34"/>
    </row>
    <row r="28" spans="1:35" ht="30.2" customHeight="1" x14ac:dyDescent="0.2">
      <c r="A28" s="195"/>
      <c r="B28" s="197"/>
      <c r="C28" s="26">
        <v>25</v>
      </c>
      <c r="D28" s="202"/>
      <c r="E28" s="28" t="s">
        <v>22</v>
      </c>
      <c r="F28" s="50" t="s">
        <v>16</v>
      </c>
      <c r="G28" s="50" t="s">
        <v>17</v>
      </c>
      <c r="H28" s="29" t="s">
        <v>44</v>
      </c>
      <c r="I28" s="28" t="s">
        <v>24</v>
      </c>
      <c r="J28" s="30">
        <v>0.15</v>
      </c>
      <c r="K28" s="31">
        <v>0</v>
      </c>
      <c r="L28" s="140">
        <f t="shared" si="0"/>
        <v>0</v>
      </c>
      <c r="M28" s="140">
        <f t="shared" si="1"/>
        <v>0</v>
      </c>
      <c r="N28" s="141"/>
      <c r="O28" s="142">
        <f t="shared" si="2"/>
        <v>0</v>
      </c>
      <c r="P28" s="141"/>
      <c r="Q28" s="141"/>
      <c r="R28" s="141"/>
      <c r="S28" s="143">
        <f t="shared" si="3"/>
        <v>0</v>
      </c>
      <c r="T28" s="32" t="str">
        <f t="shared" si="4"/>
        <v>OK</v>
      </c>
      <c r="U28" s="33"/>
      <c r="V28" s="33"/>
      <c r="W28" s="45"/>
      <c r="X28" s="34"/>
      <c r="Y28" s="34"/>
      <c r="Z28" s="45"/>
      <c r="AA28" s="34"/>
      <c r="AB28" s="34"/>
      <c r="AC28" s="34"/>
      <c r="AD28" s="34"/>
      <c r="AE28" s="34"/>
      <c r="AF28" s="34"/>
      <c r="AG28" s="34"/>
      <c r="AH28" s="34"/>
      <c r="AI28" s="34"/>
    </row>
    <row r="29" spans="1:35" ht="26.45" customHeight="1" x14ac:dyDescent="0.2">
      <c r="A29" s="188">
        <v>14</v>
      </c>
      <c r="B29" s="190" t="s">
        <v>65</v>
      </c>
      <c r="C29" s="40">
        <v>26</v>
      </c>
      <c r="D29" s="192" t="s">
        <v>67</v>
      </c>
      <c r="E29" s="66" t="s">
        <v>21</v>
      </c>
      <c r="F29" s="44" t="s">
        <v>16</v>
      </c>
      <c r="G29" s="44" t="s">
        <v>17</v>
      </c>
      <c r="H29" s="41" t="s">
        <v>44</v>
      </c>
      <c r="I29" s="39" t="s">
        <v>24</v>
      </c>
      <c r="J29" s="42">
        <v>0.33</v>
      </c>
      <c r="K29" s="31">
        <v>1000</v>
      </c>
      <c r="L29" s="140">
        <f t="shared" si="0"/>
        <v>0</v>
      </c>
      <c r="M29" s="140">
        <f t="shared" si="1"/>
        <v>0</v>
      </c>
      <c r="N29" s="141"/>
      <c r="O29" s="142">
        <f t="shared" si="2"/>
        <v>250</v>
      </c>
      <c r="P29" s="141"/>
      <c r="Q29" s="141"/>
      <c r="R29" s="141"/>
      <c r="S29" s="143">
        <f t="shared" si="3"/>
        <v>1000</v>
      </c>
      <c r="T29" s="32" t="str">
        <f t="shared" si="4"/>
        <v>OK</v>
      </c>
      <c r="U29" s="33"/>
      <c r="V29" s="33"/>
      <c r="W29" s="45"/>
      <c r="X29" s="34"/>
      <c r="Y29" s="34"/>
      <c r="Z29" s="45"/>
      <c r="AA29" s="34"/>
      <c r="AB29" s="34"/>
      <c r="AC29" s="34"/>
      <c r="AD29" s="34"/>
      <c r="AE29" s="34"/>
      <c r="AF29" s="34"/>
      <c r="AG29" s="34"/>
      <c r="AH29" s="34"/>
      <c r="AI29" s="34"/>
    </row>
    <row r="30" spans="1:35" ht="33.950000000000003" customHeight="1" x14ac:dyDescent="0.2">
      <c r="A30" s="189"/>
      <c r="B30" s="191"/>
      <c r="C30" s="40">
        <v>27</v>
      </c>
      <c r="D30" s="193"/>
      <c r="E30" s="66" t="s">
        <v>22</v>
      </c>
      <c r="F30" s="44" t="s">
        <v>16</v>
      </c>
      <c r="G30" s="44" t="s">
        <v>17</v>
      </c>
      <c r="H30" s="41" t="s">
        <v>44</v>
      </c>
      <c r="I30" s="39" t="s">
        <v>24</v>
      </c>
      <c r="J30" s="42">
        <v>0.23</v>
      </c>
      <c r="K30" s="31">
        <v>1000</v>
      </c>
      <c r="L30" s="140">
        <f t="shared" si="0"/>
        <v>0</v>
      </c>
      <c r="M30" s="140">
        <f t="shared" si="1"/>
        <v>0</v>
      </c>
      <c r="N30" s="141"/>
      <c r="O30" s="142">
        <f t="shared" si="2"/>
        <v>250</v>
      </c>
      <c r="P30" s="141"/>
      <c r="Q30" s="141"/>
      <c r="R30" s="141"/>
      <c r="S30" s="143">
        <f t="shared" si="3"/>
        <v>1000</v>
      </c>
      <c r="T30" s="32" t="str">
        <f t="shared" si="4"/>
        <v>OK</v>
      </c>
      <c r="U30" s="33"/>
      <c r="V30" s="33"/>
      <c r="W30" s="45"/>
      <c r="X30" s="34"/>
      <c r="Y30" s="34"/>
      <c r="Z30" s="45"/>
      <c r="AA30" s="34"/>
      <c r="AB30" s="34"/>
      <c r="AC30" s="34"/>
      <c r="AD30" s="34"/>
      <c r="AE30" s="34"/>
      <c r="AF30" s="34"/>
      <c r="AG30" s="34"/>
      <c r="AH30" s="34"/>
      <c r="AI30" s="34"/>
    </row>
    <row r="31" spans="1:35" ht="27" customHeight="1" x14ac:dyDescent="0.2">
      <c r="A31" s="194">
        <v>15</v>
      </c>
      <c r="B31" s="196" t="s">
        <v>31</v>
      </c>
      <c r="C31" s="68">
        <v>28</v>
      </c>
      <c r="D31" s="198" t="s">
        <v>68</v>
      </c>
      <c r="E31" s="28" t="s">
        <v>21</v>
      </c>
      <c r="F31" s="50" t="s">
        <v>16</v>
      </c>
      <c r="G31" s="50" t="s">
        <v>17</v>
      </c>
      <c r="H31" s="29" t="s">
        <v>44</v>
      </c>
      <c r="I31" s="28" t="s">
        <v>24</v>
      </c>
      <c r="J31" s="30">
        <v>0.4</v>
      </c>
      <c r="K31" s="31">
        <v>1000</v>
      </c>
      <c r="L31" s="140">
        <f t="shared" si="0"/>
        <v>0</v>
      </c>
      <c r="M31" s="140">
        <f t="shared" si="1"/>
        <v>0</v>
      </c>
      <c r="N31" s="141"/>
      <c r="O31" s="142">
        <f t="shared" si="2"/>
        <v>250</v>
      </c>
      <c r="P31" s="141"/>
      <c r="Q31" s="141"/>
      <c r="R31" s="141"/>
      <c r="S31" s="143">
        <f t="shared" si="3"/>
        <v>1000</v>
      </c>
      <c r="T31" s="32" t="str">
        <f t="shared" si="4"/>
        <v>OK</v>
      </c>
      <c r="U31" s="33"/>
      <c r="V31" s="35"/>
      <c r="W31" s="45"/>
      <c r="X31" s="36"/>
      <c r="Y31" s="34"/>
      <c r="Z31" s="45"/>
      <c r="AA31" s="34"/>
      <c r="AB31" s="34"/>
      <c r="AC31" s="34"/>
      <c r="AD31" s="34"/>
      <c r="AE31" s="34"/>
      <c r="AF31" s="34"/>
      <c r="AG31" s="34"/>
      <c r="AH31" s="34"/>
      <c r="AI31" s="34"/>
    </row>
    <row r="32" spans="1:35" ht="29.25" customHeight="1" x14ac:dyDescent="0.2">
      <c r="A32" s="195"/>
      <c r="B32" s="197"/>
      <c r="C32" s="26">
        <v>29</v>
      </c>
      <c r="D32" s="198"/>
      <c r="E32" s="28" t="s">
        <v>22</v>
      </c>
      <c r="F32" s="50" t="s">
        <v>16</v>
      </c>
      <c r="G32" s="50" t="s">
        <v>17</v>
      </c>
      <c r="H32" s="29" t="s">
        <v>44</v>
      </c>
      <c r="I32" s="28" t="s">
        <v>24</v>
      </c>
      <c r="J32" s="30">
        <v>0.44</v>
      </c>
      <c r="K32" s="31">
        <v>1000</v>
      </c>
      <c r="L32" s="140">
        <f t="shared" si="0"/>
        <v>0</v>
      </c>
      <c r="M32" s="140">
        <f t="shared" si="1"/>
        <v>0</v>
      </c>
      <c r="N32" s="141"/>
      <c r="O32" s="142">
        <f t="shared" si="2"/>
        <v>250</v>
      </c>
      <c r="P32" s="141"/>
      <c r="Q32" s="141"/>
      <c r="R32" s="141"/>
      <c r="S32" s="143">
        <f t="shared" si="3"/>
        <v>1000</v>
      </c>
      <c r="T32" s="32" t="str">
        <f t="shared" si="4"/>
        <v>OK</v>
      </c>
      <c r="U32" s="33"/>
      <c r="V32" s="33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</row>
    <row r="33" spans="11:35" x14ac:dyDescent="0.2">
      <c r="K33" s="56">
        <f>SUM(K4:K32)</f>
        <v>5968</v>
      </c>
      <c r="S33" s="56">
        <f t="shared" ref="S33" si="5">SUM(S4:S32)</f>
        <v>5323</v>
      </c>
      <c r="U33" s="110">
        <f>SUMPRODUCT($J$4:$J$32,U4:U32)</f>
        <v>346.5</v>
      </c>
      <c r="V33" s="110">
        <f t="shared" ref="V33:AI33" si="6">SUMPRODUCT($J$4:$J$32,V4:V32)</f>
        <v>320.3</v>
      </c>
      <c r="W33" s="110">
        <f t="shared" si="6"/>
        <v>570</v>
      </c>
      <c r="X33" s="110">
        <f t="shared" si="6"/>
        <v>0</v>
      </c>
      <c r="Y33" s="110">
        <f t="shared" si="6"/>
        <v>0</v>
      </c>
      <c r="Z33" s="110">
        <f t="shared" si="6"/>
        <v>0</v>
      </c>
      <c r="AA33" s="110">
        <f t="shared" si="6"/>
        <v>0</v>
      </c>
      <c r="AB33" s="110">
        <f t="shared" si="6"/>
        <v>0</v>
      </c>
      <c r="AC33" s="110">
        <f t="shared" si="6"/>
        <v>0</v>
      </c>
      <c r="AD33" s="110">
        <f t="shared" si="6"/>
        <v>0</v>
      </c>
      <c r="AE33" s="110">
        <f t="shared" si="6"/>
        <v>0</v>
      </c>
      <c r="AF33" s="110">
        <f t="shared" si="6"/>
        <v>0</v>
      </c>
      <c r="AG33" s="110">
        <f t="shared" si="6"/>
        <v>0</v>
      </c>
      <c r="AH33" s="110">
        <f t="shared" si="6"/>
        <v>0</v>
      </c>
      <c r="AI33" s="110">
        <f t="shared" si="6"/>
        <v>0</v>
      </c>
    </row>
    <row r="34" spans="11:35" x14ac:dyDescent="0.2">
      <c r="K34" s="148">
        <f>SUMPRODUCT($J$4:$J$32,K4:K32)</f>
        <v>49139.5</v>
      </c>
      <c r="L34" s="148">
        <f t="shared" ref="L34:M34" si="7">SUMPRODUCT($J$4:$J$32,L4:L32)</f>
        <v>1236.8</v>
      </c>
      <c r="M34" s="148">
        <f t="shared" si="7"/>
        <v>1236.8</v>
      </c>
    </row>
  </sheetData>
  <mergeCells count="50">
    <mergeCell ref="W1:W2"/>
    <mergeCell ref="A1:C1"/>
    <mergeCell ref="D1:J1"/>
    <mergeCell ref="K1:T1"/>
    <mergeCell ref="U1:U2"/>
    <mergeCell ref="V1:V2"/>
    <mergeCell ref="K2:T2"/>
    <mergeCell ref="A2:J2"/>
    <mergeCell ref="AI1:AI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4:A8"/>
    <mergeCell ref="B4:B8"/>
    <mergeCell ref="D4:D8"/>
    <mergeCell ref="A9:A10"/>
    <mergeCell ref="B9:B10"/>
    <mergeCell ref="D9:D10"/>
    <mergeCell ref="A11:A13"/>
    <mergeCell ref="B11:B13"/>
    <mergeCell ref="D11:D13"/>
    <mergeCell ref="A14:A15"/>
    <mergeCell ref="B14:B15"/>
    <mergeCell ref="D14:D15"/>
    <mergeCell ref="A19:A20"/>
    <mergeCell ref="B19:B20"/>
    <mergeCell ref="D19:D20"/>
    <mergeCell ref="A23:A24"/>
    <mergeCell ref="B23:B24"/>
    <mergeCell ref="D23:D24"/>
    <mergeCell ref="A25:A26"/>
    <mergeCell ref="B25:B26"/>
    <mergeCell ref="D25:D26"/>
    <mergeCell ref="A27:A28"/>
    <mergeCell ref="B27:B28"/>
    <mergeCell ref="D27:D28"/>
    <mergeCell ref="A29:A30"/>
    <mergeCell ref="B29:B30"/>
    <mergeCell ref="D29:D30"/>
    <mergeCell ref="A31:A32"/>
    <mergeCell ref="B31:B32"/>
    <mergeCell ref="D31:D32"/>
  </mergeCells>
  <pageMargins left="0.511811024" right="0.511811024" top="0.78740157499999996" bottom="0.78740157499999996" header="0.31496062000000002" footer="0.31496062000000002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742C1-3971-418D-9560-242BA86E5135}">
  <dimension ref="A1:AI34"/>
  <sheetViews>
    <sheetView topLeftCell="A22" zoomScale="90" zoomScaleNormal="90" workbookViewId="0">
      <selection activeCell="N50" sqref="N50"/>
    </sheetView>
  </sheetViews>
  <sheetFormatPr defaultColWidth="9.7109375" defaultRowHeight="12.75" x14ac:dyDescent="0.2"/>
  <cols>
    <col min="1" max="1" width="7.7109375" style="53" customWidth="1"/>
    <col min="2" max="2" width="15.140625" style="53" customWidth="1"/>
    <col min="3" max="3" width="5.5703125" style="53" bestFit="1" customWidth="1"/>
    <col min="4" max="4" width="19" style="54" customWidth="1"/>
    <col min="5" max="5" width="10.85546875" style="53" bestFit="1" customWidth="1"/>
    <col min="6" max="6" width="8.28515625" style="53" customWidth="1"/>
    <col min="7" max="7" width="10.85546875" style="53" customWidth="1"/>
    <col min="8" max="8" width="11.42578125" style="53" customWidth="1"/>
    <col min="9" max="9" width="8.140625" style="53" customWidth="1"/>
    <col min="10" max="10" width="10.28515625" style="55" customWidth="1"/>
    <col min="11" max="11" width="12.42578125" style="56" customWidth="1"/>
    <col min="12" max="12" width="11" style="56" customWidth="1"/>
    <col min="13" max="13" width="11.5703125" style="56" customWidth="1"/>
    <col min="14" max="14" width="10.28515625" style="56" customWidth="1"/>
    <col min="15" max="15" width="11" style="56" customWidth="1"/>
    <col min="16" max="18" width="10.140625" style="56" customWidth="1"/>
    <col min="19" max="19" width="10.28515625" style="57" customWidth="1"/>
    <col min="20" max="20" width="12.5703125" style="58" customWidth="1"/>
    <col min="21" max="22" width="13.7109375" style="60" customWidth="1"/>
    <col min="23" max="35" width="13.7109375" style="18" customWidth="1"/>
    <col min="36" max="16384" width="9.7109375" style="18"/>
  </cols>
  <sheetData>
    <row r="1" spans="1:35" ht="34.5" customHeight="1" x14ac:dyDescent="0.2">
      <c r="A1" s="219" t="s">
        <v>69</v>
      </c>
      <c r="B1" s="220"/>
      <c r="C1" s="221"/>
      <c r="D1" s="220" t="s">
        <v>32</v>
      </c>
      <c r="E1" s="220"/>
      <c r="F1" s="220"/>
      <c r="G1" s="220"/>
      <c r="H1" s="220"/>
      <c r="I1" s="220"/>
      <c r="J1" s="221"/>
      <c r="K1" s="222" t="s">
        <v>33</v>
      </c>
      <c r="L1" s="223"/>
      <c r="M1" s="223"/>
      <c r="N1" s="223"/>
      <c r="O1" s="223"/>
      <c r="P1" s="223"/>
      <c r="Q1" s="223"/>
      <c r="R1" s="223"/>
      <c r="S1" s="223"/>
      <c r="T1" s="224"/>
      <c r="U1" s="234" t="s">
        <v>120</v>
      </c>
      <c r="V1" s="234" t="s">
        <v>121</v>
      </c>
      <c r="W1" s="234" t="s">
        <v>122</v>
      </c>
      <c r="X1" s="234" t="s">
        <v>123</v>
      </c>
      <c r="Y1" s="218" t="s">
        <v>261</v>
      </c>
      <c r="Z1" s="218" t="s">
        <v>262</v>
      </c>
      <c r="AA1" s="218" t="s">
        <v>263</v>
      </c>
      <c r="AB1" s="218" t="s">
        <v>264</v>
      </c>
      <c r="AC1" s="218" t="s">
        <v>265</v>
      </c>
      <c r="AD1" s="218" t="s">
        <v>266</v>
      </c>
      <c r="AE1" s="218" t="s">
        <v>30</v>
      </c>
      <c r="AF1" s="218" t="s">
        <v>30</v>
      </c>
      <c r="AG1" s="218" t="s">
        <v>30</v>
      </c>
      <c r="AH1" s="218" t="s">
        <v>30</v>
      </c>
      <c r="AI1" s="218" t="s">
        <v>30</v>
      </c>
    </row>
    <row r="2" spans="1:35" ht="12.75" customHeight="1" x14ac:dyDescent="0.2">
      <c r="A2" s="219" t="s">
        <v>84</v>
      </c>
      <c r="B2" s="220"/>
      <c r="C2" s="220"/>
      <c r="D2" s="220"/>
      <c r="E2" s="220"/>
      <c r="F2" s="220"/>
      <c r="G2" s="220"/>
      <c r="H2" s="220"/>
      <c r="I2" s="220"/>
      <c r="J2" s="221"/>
      <c r="K2" s="225" t="s">
        <v>91</v>
      </c>
      <c r="L2" s="226"/>
      <c r="M2" s="226"/>
      <c r="N2" s="226"/>
      <c r="O2" s="226"/>
      <c r="P2" s="226"/>
      <c r="Q2" s="226"/>
      <c r="R2" s="226"/>
      <c r="S2" s="226"/>
      <c r="T2" s="227"/>
      <c r="U2" s="234"/>
      <c r="V2" s="234"/>
      <c r="W2" s="234"/>
      <c r="X2" s="234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</row>
    <row r="3" spans="1:35" s="25" customFormat="1" ht="38.25" customHeight="1" x14ac:dyDescent="0.2">
      <c r="A3" s="19" t="s">
        <v>5</v>
      </c>
      <c r="B3" s="19" t="s">
        <v>18</v>
      </c>
      <c r="C3" s="69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43</v>
      </c>
      <c r="I3" s="20" t="s">
        <v>4</v>
      </c>
      <c r="J3" s="21" t="s">
        <v>28</v>
      </c>
      <c r="K3" s="22" t="s">
        <v>6</v>
      </c>
      <c r="L3" s="145" t="s">
        <v>185</v>
      </c>
      <c r="M3" s="145" t="s">
        <v>186</v>
      </c>
      <c r="N3" s="145" t="s">
        <v>187</v>
      </c>
      <c r="O3" s="145" t="s">
        <v>188</v>
      </c>
      <c r="P3" s="145" t="s">
        <v>189</v>
      </c>
      <c r="Q3" s="145" t="s">
        <v>190</v>
      </c>
      <c r="R3" s="145" t="s">
        <v>191</v>
      </c>
      <c r="S3" s="146" t="s">
        <v>0</v>
      </c>
      <c r="T3" s="23" t="s">
        <v>2</v>
      </c>
      <c r="U3" s="101">
        <v>45357</v>
      </c>
      <c r="V3" s="101">
        <v>45391</v>
      </c>
      <c r="W3" s="101">
        <v>45461</v>
      </c>
      <c r="X3" s="101">
        <v>45499</v>
      </c>
      <c r="Y3" s="74">
        <v>45509</v>
      </c>
      <c r="Z3" s="74">
        <v>45575</v>
      </c>
      <c r="AA3" s="74">
        <v>45587</v>
      </c>
      <c r="AB3" s="74">
        <v>45594</v>
      </c>
      <c r="AC3" s="74">
        <v>45594</v>
      </c>
      <c r="AD3" s="74">
        <v>45707</v>
      </c>
      <c r="AE3" s="24" t="s">
        <v>1</v>
      </c>
      <c r="AF3" s="24" t="s">
        <v>1</v>
      </c>
      <c r="AG3" s="24" t="s">
        <v>1</v>
      </c>
      <c r="AH3" s="24" t="s">
        <v>1</v>
      </c>
      <c r="AI3" s="24" t="s">
        <v>1</v>
      </c>
    </row>
    <row r="4" spans="1:35" ht="23.25" customHeight="1" x14ac:dyDescent="0.2">
      <c r="A4" s="203">
        <v>1</v>
      </c>
      <c r="B4" s="196" t="s">
        <v>31</v>
      </c>
      <c r="C4" s="26">
        <v>1</v>
      </c>
      <c r="D4" s="201" t="s">
        <v>34</v>
      </c>
      <c r="E4" s="28" t="s">
        <v>35</v>
      </c>
      <c r="F4" s="29" t="s">
        <v>16</v>
      </c>
      <c r="G4" s="29" t="s">
        <v>17</v>
      </c>
      <c r="H4" s="29" t="s">
        <v>44</v>
      </c>
      <c r="I4" s="28" t="s">
        <v>24</v>
      </c>
      <c r="J4" s="30">
        <v>12.15</v>
      </c>
      <c r="K4" s="31">
        <v>0</v>
      </c>
      <c r="L4" s="140">
        <f t="shared" ref="L4:L32" si="0">IF(SUM(U4:AL4)&gt;K4+N4,K4+N4,SUM(U4:AL4))</f>
        <v>0</v>
      </c>
      <c r="M4" s="140">
        <f t="shared" ref="M4:M32" si="1">(SUM(U4:AL4))</f>
        <v>0</v>
      </c>
      <c r="N4" s="141"/>
      <c r="O4" s="142">
        <f t="shared" ref="O4:O32" si="2">ROUND(IF(K4*0.25-0.5&lt;0,0,K4*0.25-0.5),0)-R4-P4</f>
        <v>0</v>
      </c>
      <c r="P4" s="141"/>
      <c r="Q4" s="141"/>
      <c r="R4" s="141"/>
      <c r="S4" s="143">
        <f t="shared" ref="S4:S32" si="3">K4+N4+P4+Q4-M4</f>
        <v>0</v>
      </c>
      <c r="T4" s="32" t="str">
        <f t="shared" ref="T4:T32" si="4">IF(S4&lt;0,"ATENÇÃO","OK")</f>
        <v>OK</v>
      </c>
      <c r="U4" s="33"/>
      <c r="V4" s="33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</row>
    <row r="5" spans="1:35" ht="26.45" customHeight="1" x14ac:dyDescent="0.2">
      <c r="A5" s="204"/>
      <c r="B5" s="206"/>
      <c r="C5" s="26">
        <v>2</v>
      </c>
      <c r="D5" s="207"/>
      <c r="E5" s="28" t="s">
        <v>36</v>
      </c>
      <c r="F5" s="29" t="s">
        <v>16</v>
      </c>
      <c r="G5" s="29" t="s">
        <v>17</v>
      </c>
      <c r="H5" s="29" t="s">
        <v>44</v>
      </c>
      <c r="I5" s="28" t="s">
        <v>24</v>
      </c>
      <c r="J5" s="30">
        <v>40.5</v>
      </c>
      <c r="K5" s="31">
        <f>0</f>
        <v>0</v>
      </c>
      <c r="L5" s="140">
        <f t="shared" si="0"/>
        <v>8</v>
      </c>
      <c r="M5" s="140">
        <f t="shared" si="1"/>
        <v>8</v>
      </c>
      <c r="N5" s="141">
        <v>8</v>
      </c>
      <c r="O5" s="142">
        <f t="shared" si="2"/>
        <v>0</v>
      </c>
      <c r="P5" s="141"/>
      <c r="Q5" s="141"/>
      <c r="R5" s="141"/>
      <c r="S5" s="143">
        <f t="shared" si="3"/>
        <v>0</v>
      </c>
      <c r="T5" s="32" t="str">
        <f t="shared" si="4"/>
        <v>OK</v>
      </c>
      <c r="U5" s="33"/>
      <c r="V5" s="33"/>
      <c r="W5" s="34"/>
      <c r="X5" s="34"/>
      <c r="Y5" s="34"/>
      <c r="Z5" s="34"/>
      <c r="AA5" s="115">
        <v>8</v>
      </c>
      <c r="AB5" s="34"/>
      <c r="AC5" s="34"/>
      <c r="AD5" s="34"/>
      <c r="AE5" s="34"/>
      <c r="AF5" s="34"/>
      <c r="AG5" s="34"/>
      <c r="AH5" s="34"/>
      <c r="AI5" s="34"/>
    </row>
    <row r="6" spans="1:35" ht="24" customHeight="1" x14ac:dyDescent="0.2">
      <c r="A6" s="204"/>
      <c r="B6" s="206"/>
      <c r="C6" s="26">
        <v>3</v>
      </c>
      <c r="D6" s="207"/>
      <c r="E6" s="28" t="s">
        <v>37</v>
      </c>
      <c r="F6" s="29" t="s">
        <v>16</v>
      </c>
      <c r="G6" s="29" t="s">
        <v>17</v>
      </c>
      <c r="H6" s="29" t="s">
        <v>44</v>
      </c>
      <c r="I6" s="28" t="s">
        <v>24</v>
      </c>
      <c r="J6" s="30">
        <v>49.5</v>
      </c>
      <c r="K6" s="31">
        <v>0</v>
      </c>
      <c r="L6" s="140">
        <f t="shared" si="0"/>
        <v>0</v>
      </c>
      <c r="M6" s="140">
        <f t="shared" si="1"/>
        <v>0</v>
      </c>
      <c r="N6" s="141"/>
      <c r="O6" s="142">
        <f t="shared" si="2"/>
        <v>0</v>
      </c>
      <c r="P6" s="141"/>
      <c r="Q6" s="141"/>
      <c r="R6" s="141"/>
      <c r="S6" s="143">
        <f t="shared" si="3"/>
        <v>0</v>
      </c>
      <c r="T6" s="32" t="str">
        <f t="shared" si="4"/>
        <v>OK</v>
      </c>
      <c r="U6" s="33"/>
      <c r="V6" s="35"/>
      <c r="W6" s="36"/>
      <c r="X6" s="34"/>
      <c r="Y6" s="34"/>
      <c r="Z6" s="34"/>
      <c r="AA6" s="114"/>
      <c r="AB6" s="34"/>
      <c r="AC6" s="34"/>
      <c r="AD6" s="34"/>
      <c r="AE6" s="34"/>
      <c r="AF6" s="34"/>
      <c r="AG6" s="34"/>
      <c r="AH6" s="34"/>
      <c r="AI6" s="34"/>
    </row>
    <row r="7" spans="1:35" ht="24" customHeight="1" x14ac:dyDescent="0.2">
      <c r="A7" s="204"/>
      <c r="B7" s="206"/>
      <c r="C7" s="26">
        <v>4</v>
      </c>
      <c r="D7" s="207"/>
      <c r="E7" s="28" t="s">
        <v>38</v>
      </c>
      <c r="F7" s="29" t="s">
        <v>16</v>
      </c>
      <c r="G7" s="29" t="s">
        <v>17</v>
      </c>
      <c r="H7" s="29" t="s">
        <v>44</v>
      </c>
      <c r="I7" s="28" t="s">
        <v>24</v>
      </c>
      <c r="J7" s="30">
        <v>53</v>
      </c>
      <c r="K7" s="31">
        <v>10</v>
      </c>
      <c r="L7" s="140">
        <f t="shared" si="0"/>
        <v>10</v>
      </c>
      <c r="M7" s="140">
        <f t="shared" si="1"/>
        <v>10</v>
      </c>
      <c r="N7" s="141"/>
      <c r="O7" s="142">
        <f t="shared" si="2"/>
        <v>2</v>
      </c>
      <c r="P7" s="141"/>
      <c r="Q7" s="141"/>
      <c r="R7" s="141"/>
      <c r="S7" s="143">
        <f t="shared" si="3"/>
        <v>0</v>
      </c>
      <c r="T7" s="32" t="str">
        <f t="shared" si="4"/>
        <v>OK</v>
      </c>
      <c r="U7" s="33"/>
      <c r="V7" s="33"/>
      <c r="W7" s="34"/>
      <c r="X7" s="34"/>
      <c r="Y7" s="115">
        <v>4</v>
      </c>
      <c r="Z7" s="115">
        <v>5</v>
      </c>
      <c r="AA7" s="115">
        <v>1</v>
      </c>
      <c r="AB7" s="34"/>
      <c r="AC7" s="34"/>
      <c r="AD7" s="34"/>
      <c r="AE7" s="34"/>
      <c r="AF7" s="34"/>
      <c r="AG7" s="34"/>
      <c r="AH7" s="34"/>
      <c r="AI7" s="34"/>
    </row>
    <row r="8" spans="1:35" ht="19.5" customHeight="1" x14ac:dyDescent="0.2">
      <c r="A8" s="205"/>
      <c r="B8" s="197"/>
      <c r="C8" s="26">
        <v>5</v>
      </c>
      <c r="D8" s="202"/>
      <c r="E8" s="28" t="s">
        <v>39</v>
      </c>
      <c r="F8" s="29" t="s">
        <v>16</v>
      </c>
      <c r="G8" s="29" t="s">
        <v>17</v>
      </c>
      <c r="H8" s="29" t="s">
        <v>44</v>
      </c>
      <c r="I8" s="28" t="s">
        <v>24</v>
      </c>
      <c r="J8" s="30">
        <v>30.4</v>
      </c>
      <c r="K8" s="31">
        <f>15</f>
        <v>15</v>
      </c>
      <c r="L8" s="140">
        <f t="shared" si="0"/>
        <v>30</v>
      </c>
      <c r="M8" s="140">
        <f t="shared" si="1"/>
        <v>30</v>
      </c>
      <c r="N8" s="141">
        <f>5+20</f>
        <v>25</v>
      </c>
      <c r="O8" s="142">
        <f t="shared" si="2"/>
        <v>3</v>
      </c>
      <c r="P8" s="141"/>
      <c r="Q8" s="141"/>
      <c r="R8" s="141"/>
      <c r="S8" s="143">
        <f t="shared" si="3"/>
        <v>10</v>
      </c>
      <c r="T8" s="32" t="str">
        <f t="shared" si="4"/>
        <v>OK</v>
      </c>
      <c r="U8" s="90">
        <v>10</v>
      </c>
      <c r="V8" s="33"/>
      <c r="W8" s="115">
        <v>10</v>
      </c>
      <c r="X8" s="34"/>
      <c r="Y8" s="34"/>
      <c r="Z8" s="34"/>
      <c r="AA8" s="34"/>
      <c r="AB8" s="34"/>
      <c r="AC8" s="34"/>
      <c r="AD8" s="115">
        <v>10</v>
      </c>
      <c r="AE8" s="34"/>
      <c r="AF8" s="34"/>
      <c r="AG8" s="34"/>
      <c r="AH8" s="34"/>
      <c r="AI8" s="34"/>
    </row>
    <row r="9" spans="1:35" ht="21.75" customHeight="1" x14ac:dyDescent="0.2">
      <c r="A9" s="216">
        <v>2</v>
      </c>
      <c r="B9" s="190" t="s">
        <v>31</v>
      </c>
      <c r="C9" s="40">
        <v>6</v>
      </c>
      <c r="D9" s="199" t="s">
        <v>40</v>
      </c>
      <c r="E9" s="39" t="s">
        <v>35</v>
      </c>
      <c r="F9" s="41" t="s">
        <v>16</v>
      </c>
      <c r="G9" s="41" t="s">
        <v>17</v>
      </c>
      <c r="H9" s="41" t="s">
        <v>44</v>
      </c>
      <c r="I9" s="39" t="s">
        <v>24</v>
      </c>
      <c r="J9" s="42">
        <v>14.21</v>
      </c>
      <c r="K9" s="31">
        <v>0</v>
      </c>
      <c r="L9" s="140">
        <f t="shared" si="0"/>
        <v>0</v>
      </c>
      <c r="M9" s="140">
        <f t="shared" si="1"/>
        <v>0</v>
      </c>
      <c r="N9" s="141"/>
      <c r="O9" s="142">
        <f t="shared" si="2"/>
        <v>0</v>
      </c>
      <c r="P9" s="141"/>
      <c r="Q9" s="141"/>
      <c r="R9" s="141"/>
      <c r="S9" s="143">
        <f t="shared" si="3"/>
        <v>0</v>
      </c>
      <c r="T9" s="32" t="str">
        <f t="shared" si="4"/>
        <v>OK</v>
      </c>
      <c r="U9" s="33"/>
      <c r="V9" s="33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</row>
    <row r="10" spans="1:35" ht="20.25" customHeight="1" x14ac:dyDescent="0.2">
      <c r="A10" s="217"/>
      <c r="B10" s="191"/>
      <c r="C10" s="40">
        <v>7</v>
      </c>
      <c r="D10" s="200"/>
      <c r="E10" s="39" t="s">
        <v>41</v>
      </c>
      <c r="F10" s="41" t="s">
        <v>16</v>
      </c>
      <c r="G10" s="41" t="s">
        <v>17</v>
      </c>
      <c r="H10" s="41" t="s">
        <v>44</v>
      </c>
      <c r="I10" s="39" t="s">
        <v>24</v>
      </c>
      <c r="J10" s="42">
        <v>20.9</v>
      </c>
      <c r="K10" s="31">
        <v>2</v>
      </c>
      <c r="L10" s="140">
        <f t="shared" si="0"/>
        <v>0</v>
      </c>
      <c r="M10" s="140">
        <f t="shared" si="1"/>
        <v>0</v>
      </c>
      <c r="N10" s="141"/>
      <c r="O10" s="142">
        <f t="shared" si="2"/>
        <v>0</v>
      </c>
      <c r="P10" s="141"/>
      <c r="Q10" s="141"/>
      <c r="R10" s="141"/>
      <c r="S10" s="143">
        <f t="shared" si="3"/>
        <v>2</v>
      </c>
      <c r="T10" s="32" t="str">
        <f t="shared" si="4"/>
        <v>OK</v>
      </c>
      <c r="U10" s="35"/>
      <c r="V10" s="33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</row>
    <row r="11" spans="1:35" ht="25.5" x14ac:dyDescent="0.2">
      <c r="A11" s="203">
        <v>3</v>
      </c>
      <c r="B11" s="196" t="s">
        <v>42</v>
      </c>
      <c r="C11" s="26">
        <v>8</v>
      </c>
      <c r="D11" s="201" t="s">
        <v>45</v>
      </c>
      <c r="E11" s="28" t="s">
        <v>46</v>
      </c>
      <c r="F11" s="29" t="s">
        <v>16</v>
      </c>
      <c r="G11" s="29" t="s">
        <v>17</v>
      </c>
      <c r="H11" s="29" t="s">
        <v>44</v>
      </c>
      <c r="I11" s="28" t="s">
        <v>24</v>
      </c>
      <c r="J11" s="30">
        <v>423</v>
      </c>
      <c r="K11" s="31">
        <v>0</v>
      </c>
      <c r="L11" s="140">
        <f t="shared" si="0"/>
        <v>0</v>
      </c>
      <c r="M11" s="140">
        <f t="shared" si="1"/>
        <v>0</v>
      </c>
      <c r="N11" s="141"/>
      <c r="O11" s="142">
        <f t="shared" si="2"/>
        <v>0</v>
      </c>
      <c r="P11" s="141"/>
      <c r="Q11" s="141"/>
      <c r="R11" s="141"/>
      <c r="S11" s="143">
        <f t="shared" si="3"/>
        <v>0</v>
      </c>
      <c r="T11" s="32" t="str">
        <f t="shared" si="4"/>
        <v>OK</v>
      </c>
      <c r="U11" s="33"/>
      <c r="V11" s="33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</row>
    <row r="12" spans="1:35" ht="21.2" customHeight="1" x14ac:dyDescent="0.2">
      <c r="A12" s="204"/>
      <c r="B12" s="206"/>
      <c r="C12" s="26">
        <v>9</v>
      </c>
      <c r="D12" s="207"/>
      <c r="E12" s="28" t="s">
        <v>47</v>
      </c>
      <c r="F12" s="29" t="s">
        <v>16</v>
      </c>
      <c r="G12" s="29" t="s">
        <v>17</v>
      </c>
      <c r="H12" s="29" t="s">
        <v>44</v>
      </c>
      <c r="I12" s="28" t="s">
        <v>24</v>
      </c>
      <c r="J12" s="30">
        <v>1613</v>
      </c>
      <c r="K12" s="31">
        <v>0</v>
      </c>
      <c r="L12" s="140">
        <f t="shared" si="0"/>
        <v>0</v>
      </c>
      <c r="M12" s="140">
        <f t="shared" si="1"/>
        <v>0</v>
      </c>
      <c r="N12" s="141"/>
      <c r="O12" s="142">
        <f t="shared" si="2"/>
        <v>0</v>
      </c>
      <c r="P12" s="141"/>
      <c r="Q12" s="141"/>
      <c r="R12" s="141"/>
      <c r="S12" s="143">
        <f t="shared" si="3"/>
        <v>0</v>
      </c>
      <c r="T12" s="32" t="str">
        <f t="shared" si="4"/>
        <v>OK</v>
      </c>
      <c r="U12" s="33"/>
      <c r="V12" s="33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</row>
    <row r="13" spans="1:35" ht="19.5" customHeight="1" x14ac:dyDescent="0.2">
      <c r="A13" s="205"/>
      <c r="B13" s="197"/>
      <c r="C13" s="26">
        <v>10</v>
      </c>
      <c r="D13" s="202"/>
      <c r="E13" s="28" t="s">
        <v>48</v>
      </c>
      <c r="F13" s="29" t="s">
        <v>16</v>
      </c>
      <c r="G13" s="29" t="s">
        <v>17</v>
      </c>
      <c r="H13" s="29" t="s">
        <v>44</v>
      </c>
      <c r="I13" s="28" t="s">
        <v>24</v>
      </c>
      <c r="J13" s="30">
        <v>1749</v>
      </c>
      <c r="K13" s="31">
        <f>0</f>
        <v>0</v>
      </c>
      <c r="L13" s="140">
        <f t="shared" si="0"/>
        <v>2</v>
      </c>
      <c r="M13" s="140">
        <f t="shared" si="1"/>
        <v>2</v>
      </c>
      <c r="N13" s="141">
        <v>2</v>
      </c>
      <c r="O13" s="142">
        <f t="shared" si="2"/>
        <v>0</v>
      </c>
      <c r="P13" s="141"/>
      <c r="Q13" s="141"/>
      <c r="R13" s="141"/>
      <c r="S13" s="143">
        <f t="shared" si="3"/>
        <v>0</v>
      </c>
      <c r="T13" s="32" t="str">
        <f t="shared" si="4"/>
        <v>OK</v>
      </c>
      <c r="U13" s="33"/>
      <c r="V13" s="33"/>
      <c r="W13" s="34"/>
      <c r="X13" s="115">
        <v>2</v>
      </c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</row>
    <row r="14" spans="1:35" ht="25.15" customHeight="1" x14ac:dyDescent="0.2">
      <c r="A14" s="208">
        <v>4</v>
      </c>
      <c r="B14" s="209" t="s">
        <v>49</v>
      </c>
      <c r="C14" s="40">
        <v>11</v>
      </c>
      <c r="D14" s="211" t="s">
        <v>50</v>
      </c>
      <c r="E14" s="39" t="s">
        <v>51</v>
      </c>
      <c r="F14" s="41" t="s">
        <v>16</v>
      </c>
      <c r="G14" s="41" t="s">
        <v>17</v>
      </c>
      <c r="H14" s="41" t="s">
        <v>44</v>
      </c>
      <c r="I14" s="39" t="s">
        <v>53</v>
      </c>
      <c r="J14" s="42">
        <v>19.63</v>
      </c>
      <c r="K14" s="31">
        <f>10</f>
        <v>10</v>
      </c>
      <c r="L14" s="140">
        <f t="shared" si="0"/>
        <v>16</v>
      </c>
      <c r="M14" s="140">
        <f t="shared" si="1"/>
        <v>16</v>
      </c>
      <c r="N14" s="141">
        <f>10+6</f>
        <v>16</v>
      </c>
      <c r="O14" s="142">
        <f t="shared" si="2"/>
        <v>2</v>
      </c>
      <c r="P14" s="141"/>
      <c r="Q14" s="141"/>
      <c r="R14" s="141"/>
      <c r="S14" s="143">
        <f t="shared" si="3"/>
        <v>10</v>
      </c>
      <c r="T14" s="32" t="str">
        <f t="shared" si="4"/>
        <v>OK</v>
      </c>
      <c r="U14" s="33"/>
      <c r="V14" s="33"/>
      <c r="W14" s="34"/>
      <c r="X14" s="34"/>
      <c r="Y14" s="36"/>
      <c r="Z14" s="36"/>
      <c r="AA14" s="34"/>
      <c r="AB14" s="115">
        <v>16</v>
      </c>
      <c r="AC14" s="34"/>
      <c r="AD14" s="34"/>
      <c r="AE14" s="34"/>
      <c r="AF14" s="34"/>
      <c r="AG14" s="34"/>
      <c r="AH14" s="34"/>
      <c r="AI14" s="34"/>
    </row>
    <row r="15" spans="1:35" ht="22.7" customHeight="1" x14ac:dyDescent="0.2">
      <c r="A15" s="208"/>
      <c r="B15" s="210"/>
      <c r="C15" s="40">
        <v>12</v>
      </c>
      <c r="D15" s="212"/>
      <c r="E15" s="39" t="s">
        <v>52</v>
      </c>
      <c r="F15" s="41" t="s">
        <v>16</v>
      </c>
      <c r="G15" s="41" t="s">
        <v>17</v>
      </c>
      <c r="H15" s="41" t="s">
        <v>44</v>
      </c>
      <c r="I15" s="39" t="s">
        <v>24</v>
      </c>
      <c r="J15" s="42">
        <v>20.27</v>
      </c>
      <c r="K15" s="31">
        <v>60</v>
      </c>
      <c r="L15" s="140">
        <f t="shared" si="0"/>
        <v>0</v>
      </c>
      <c r="M15" s="140">
        <f t="shared" si="1"/>
        <v>0</v>
      </c>
      <c r="N15" s="141"/>
      <c r="O15" s="142">
        <f t="shared" si="2"/>
        <v>15</v>
      </c>
      <c r="P15" s="141"/>
      <c r="Q15" s="141"/>
      <c r="R15" s="141"/>
      <c r="S15" s="143">
        <f t="shared" si="3"/>
        <v>60</v>
      </c>
      <c r="T15" s="32" t="str">
        <f t="shared" si="4"/>
        <v>OK</v>
      </c>
      <c r="U15" s="33"/>
      <c r="V15" s="33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</row>
    <row r="16" spans="1:35" ht="45" customHeight="1" x14ac:dyDescent="0.2">
      <c r="A16" s="48">
        <v>5</v>
      </c>
      <c r="B16" s="28" t="s">
        <v>49</v>
      </c>
      <c r="C16" s="26">
        <v>13</v>
      </c>
      <c r="D16" s="49" t="s">
        <v>54</v>
      </c>
      <c r="E16" s="63" t="s">
        <v>55</v>
      </c>
      <c r="F16" s="50" t="s">
        <v>16</v>
      </c>
      <c r="G16" s="50" t="s">
        <v>17</v>
      </c>
      <c r="H16" s="29" t="s">
        <v>44</v>
      </c>
      <c r="I16" s="28" t="s">
        <v>53</v>
      </c>
      <c r="J16" s="30">
        <v>28.9</v>
      </c>
      <c r="K16" s="31">
        <v>400</v>
      </c>
      <c r="L16" s="140">
        <f t="shared" si="0"/>
        <v>15</v>
      </c>
      <c r="M16" s="140">
        <f t="shared" si="1"/>
        <v>15</v>
      </c>
      <c r="N16" s="141"/>
      <c r="O16" s="142">
        <f t="shared" si="2"/>
        <v>100</v>
      </c>
      <c r="P16" s="141"/>
      <c r="Q16" s="141"/>
      <c r="R16" s="141"/>
      <c r="S16" s="143">
        <f t="shared" si="3"/>
        <v>385</v>
      </c>
      <c r="T16" s="32" t="str">
        <f t="shared" si="4"/>
        <v>OK</v>
      </c>
      <c r="U16" s="33"/>
      <c r="V16" s="90">
        <v>15</v>
      </c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</row>
    <row r="17" spans="1:35" ht="121.7" customHeight="1" x14ac:dyDescent="0.2">
      <c r="A17" s="38">
        <v>6</v>
      </c>
      <c r="B17" s="47" t="s">
        <v>49</v>
      </c>
      <c r="C17" s="40">
        <v>14</v>
      </c>
      <c r="D17" s="47" t="s">
        <v>57</v>
      </c>
      <c r="E17" s="39" t="s">
        <v>56</v>
      </c>
      <c r="F17" s="41" t="s">
        <v>16</v>
      </c>
      <c r="G17" s="41" t="s">
        <v>17</v>
      </c>
      <c r="H17" s="41" t="s">
        <v>44</v>
      </c>
      <c r="I17" s="39" t="s">
        <v>24</v>
      </c>
      <c r="J17" s="42">
        <v>9.5</v>
      </c>
      <c r="K17" s="31">
        <v>100</v>
      </c>
      <c r="L17" s="140">
        <f t="shared" si="0"/>
        <v>0</v>
      </c>
      <c r="M17" s="140">
        <f t="shared" si="1"/>
        <v>0</v>
      </c>
      <c r="N17" s="141"/>
      <c r="O17" s="142">
        <f t="shared" si="2"/>
        <v>25</v>
      </c>
      <c r="P17" s="141"/>
      <c r="Q17" s="141"/>
      <c r="R17" s="141"/>
      <c r="S17" s="143">
        <f t="shared" si="3"/>
        <v>100</v>
      </c>
      <c r="T17" s="32" t="str">
        <f t="shared" si="4"/>
        <v>OK</v>
      </c>
      <c r="U17" s="33"/>
      <c r="V17" s="35"/>
      <c r="W17" s="45"/>
      <c r="X17" s="34"/>
      <c r="Y17" s="34"/>
      <c r="Z17" s="36"/>
      <c r="AA17" s="34"/>
      <c r="AB17" s="34"/>
      <c r="AC17" s="34"/>
      <c r="AD17" s="34"/>
      <c r="AE17" s="34"/>
      <c r="AF17" s="34"/>
      <c r="AG17" s="34"/>
      <c r="AH17" s="34"/>
      <c r="AI17" s="34"/>
    </row>
    <row r="18" spans="1:35" ht="63.75" customHeight="1" x14ac:dyDescent="0.2">
      <c r="A18" s="65">
        <v>7</v>
      </c>
      <c r="B18" s="28" t="s">
        <v>49</v>
      </c>
      <c r="C18" s="64">
        <v>15</v>
      </c>
      <c r="D18" s="37" t="s">
        <v>58</v>
      </c>
      <c r="E18" s="61" t="s">
        <v>59</v>
      </c>
      <c r="F18" s="29" t="s">
        <v>16</v>
      </c>
      <c r="G18" s="29" t="s">
        <v>17</v>
      </c>
      <c r="H18" s="29" t="s">
        <v>44</v>
      </c>
      <c r="I18" s="28" t="s">
        <v>24</v>
      </c>
      <c r="J18" s="30">
        <v>197.76</v>
      </c>
      <c r="K18" s="31">
        <v>50</v>
      </c>
      <c r="L18" s="140">
        <f t="shared" si="0"/>
        <v>0</v>
      </c>
      <c r="M18" s="140">
        <f t="shared" si="1"/>
        <v>0</v>
      </c>
      <c r="N18" s="141"/>
      <c r="O18" s="142">
        <f t="shared" si="2"/>
        <v>12</v>
      </c>
      <c r="P18" s="141"/>
      <c r="Q18" s="141"/>
      <c r="R18" s="141"/>
      <c r="S18" s="143">
        <f t="shared" si="3"/>
        <v>50</v>
      </c>
      <c r="T18" s="32" t="str">
        <f t="shared" si="4"/>
        <v>OK</v>
      </c>
      <c r="U18" s="33"/>
      <c r="V18" s="35"/>
      <c r="W18" s="45"/>
      <c r="X18" s="34"/>
      <c r="Y18" s="34"/>
      <c r="Z18" s="36"/>
      <c r="AA18" s="34"/>
      <c r="AB18" s="34"/>
      <c r="AC18" s="34"/>
      <c r="AD18" s="34"/>
      <c r="AE18" s="34"/>
      <c r="AF18" s="34"/>
      <c r="AG18" s="34"/>
      <c r="AH18" s="34"/>
      <c r="AI18" s="34"/>
    </row>
    <row r="19" spans="1:35" ht="38.25" customHeight="1" x14ac:dyDescent="0.2">
      <c r="A19" s="188">
        <v>8</v>
      </c>
      <c r="B19" s="190" t="s">
        <v>49</v>
      </c>
      <c r="C19" s="40">
        <v>16</v>
      </c>
      <c r="D19" s="199" t="s">
        <v>12</v>
      </c>
      <c r="E19" s="39" t="s">
        <v>60</v>
      </c>
      <c r="F19" s="41" t="s">
        <v>16</v>
      </c>
      <c r="G19" s="41" t="s">
        <v>17</v>
      </c>
      <c r="H19" s="41" t="s">
        <v>44</v>
      </c>
      <c r="I19" s="39" t="s">
        <v>24</v>
      </c>
      <c r="J19" s="42">
        <v>22.35</v>
      </c>
      <c r="K19" s="31">
        <v>15</v>
      </c>
      <c r="L19" s="140">
        <f t="shared" si="0"/>
        <v>0</v>
      </c>
      <c r="M19" s="140">
        <f t="shared" si="1"/>
        <v>0</v>
      </c>
      <c r="N19" s="141"/>
      <c r="O19" s="142">
        <f t="shared" si="2"/>
        <v>3</v>
      </c>
      <c r="P19" s="141"/>
      <c r="Q19" s="141"/>
      <c r="R19" s="141"/>
      <c r="S19" s="143">
        <f t="shared" si="3"/>
        <v>15</v>
      </c>
      <c r="T19" s="32" t="str">
        <f t="shared" si="4"/>
        <v>OK</v>
      </c>
      <c r="U19" s="33"/>
      <c r="V19" s="35"/>
      <c r="W19" s="45"/>
      <c r="X19" s="34"/>
      <c r="Y19" s="34"/>
      <c r="Z19" s="36"/>
      <c r="AA19" s="34"/>
      <c r="AB19" s="34"/>
      <c r="AC19" s="34"/>
      <c r="AD19" s="34"/>
      <c r="AE19" s="34"/>
      <c r="AF19" s="34"/>
      <c r="AG19" s="34"/>
      <c r="AH19" s="34"/>
      <c r="AI19" s="34"/>
    </row>
    <row r="20" spans="1:35" ht="45" customHeight="1" x14ac:dyDescent="0.2">
      <c r="A20" s="189"/>
      <c r="B20" s="191"/>
      <c r="C20" s="40">
        <v>17</v>
      </c>
      <c r="D20" s="200"/>
      <c r="E20" s="39" t="s">
        <v>61</v>
      </c>
      <c r="F20" s="44" t="s">
        <v>16</v>
      </c>
      <c r="G20" s="44" t="s">
        <v>17</v>
      </c>
      <c r="H20" s="41" t="s">
        <v>44</v>
      </c>
      <c r="I20" s="39" t="s">
        <v>24</v>
      </c>
      <c r="J20" s="42">
        <v>4.5999999999999996</v>
      </c>
      <c r="K20" s="31">
        <v>0</v>
      </c>
      <c r="L20" s="140">
        <f t="shared" si="0"/>
        <v>0</v>
      </c>
      <c r="M20" s="140">
        <f t="shared" si="1"/>
        <v>0</v>
      </c>
      <c r="N20" s="141"/>
      <c r="O20" s="142">
        <f t="shared" si="2"/>
        <v>0</v>
      </c>
      <c r="P20" s="141"/>
      <c r="Q20" s="141"/>
      <c r="R20" s="141"/>
      <c r="S20" s="143">
        <f t="shared" si="3"/>
        <v>0</v>
      </c>
      <c r="T20" s="32" t="str">
        <f t="shared" si="4"/>
        <v>OK</v>
      </c>
      <c r="U20" s="33"/>
      <c r="V20" s="35"/>
      <c r="W20" s="45"/>
      <c r="X20" s="36"/>
      <c r="Y20" s="34"/>
      <c r="Z20" s="45"/>
      <c r="AA20" s="34"/>
      <c r="AB20" s="34"/>
      <c r="AC20" s="34"/>
      <c r="AD20" s="34"/>
      <c r="AE20" s="34"/>
      <c r="AF20" s="34"/>
      <c r="AG20" s="34"/>
      <c r="AH20" s="34"/>
      <c r="AI20" s="34"/>
    </row>
    <row r="21" spans="1:35" ht="58.7" customHeight="1" x14ac:dyDescent="0.2">
      <c r="A21" s="48">
        <v>9</v>
      </c>
      <c r="B21" s="28" t="s">
        <v>62</v>
      </c>
      <c r="C21" s="26">
        <v>18</v>
      </c>
      <c r="D21" s="27" t="s">
        <v>63</v>
      </c>
      <c r="E21" s="28" t="s">
        <v>64</v>
      </c>
      <c r="F21" s="50" t="s">
        <v>16</v>
      </c>
      <c r="G21" s="50" t="s">
        <v>17</v>
      </c>
      <c r="H21" s="29" t="s">
        <v>44</v>
      </c>
      <c r="I21" s="28" t="s">
        <v>24</v>
      </c>
      <c r="J21" s="30">
        <v>3.46</v>
      </c>
      <c r="K21" s="31">
        <v>0</v>
      </c>
      <c r="L21" s="140">
        <f t="shared" si="0"/>
        <v>0</v>
      </c>
      <c r="M21" s="140">
        <f t="shared" si="1"/>
        <v>0</v>
      </c>
      <c r="N21" s="141"/>
      <c r="O21" s="142">
        <f t="shared" si="2"/>
        <v>0</v>
      </c>
      <c r="P21" s="141"/>
      <c r="Q21" s="141"/>
      <c r="R21" s="141"/>
      <c r="S21" s="143">
        <f t="shared" si="3"/>
        <v>0</v>
      </c>
      <c r="T21" s="32" t="str">
        <f t="shared" si="4"/>
        <v>OK</v>
      </c>
      <c r="U21" s="35"/>
      <c r="V21" s="33"/>
      <c r="W21" s="45"/>
      <c r="X21" s="36"/>
      <c r="Y21" s="34"/>
      <c r="Z21" s="45"/>
      <c r="AA21" s="34"/>
      <c r="AB21" s="34"/>
      <c r="AC21" s="34"/>
      <c r="AD21" s="34"/>
      <c r="AE21" s="34"/>
      <c r="AF21" s="34"/>
      <c r="AG21" s="34"/>
      <c r="AH21" s="34"/>
      <c r="AI21" s="34"/>
    </row>
    <row r="22" spans="1:35" ht="45" customHeight="1" x14ac:dyDescent="0.2">
      <c r="A22" s="38">
        <v>10</v>
      </c>
      <c r="B22" s="47" t="s">
        <v>31</v>
      </c>
      <c r="C22" s="40">
        <v>19</v>
      </c>
      <c r="D22" s="47" t="s">
        <v>27</v>
      </c>
      <c r="E22" s="39" t="s">
        <v>23</v>
      </c>
      <c r="F22" s="44" t="s">
        <v>16</v>
      </c>
      <c r="G22" s="44" t="s">
        <v>17</v>
      </c>
      <c r="H22" s="41" t="s">
        <v>44</v>
      </c>
      <c r="I22" s="39" t="s">
        <v>24</v>
      </c>
      <c r="J22" s="42">
        <v>0.4</v>
      </c>
      <c r="K22" s="31">
        <v>400</v>
      </c>
      <c r="L22" s="140">
        <f t="shared" si="0"/>
        <v>0</v>
      </c>
      <c r="M22" s="140">
        <f t="shared" si="1"/>
        <v>0</v>
      </c>
      <c r="N22" s="141"/>
      <c r="O22" s="142">
        <f t="shared" si="2"/>
        <v>100</v>
      </c>
      <c r="P22" s="141"/>
      <c r="Q22" s="141"/>
      <c r="R22" s="141"/>
      <c r="S22" s="143">
        <f t="shared" si="3"/>
        <v>400</v>
      </c>
      <c r="T22" s="32" t="str">
        <f t="shared" si="4"/>
        <v>OK</v>
      </c>
      <c r="U22" s="35"/>
      <c r="V22" s="33"/>
      <c r="W22" s="45"/>
      <c r="X22" s="36"/>
      <c r="Y22" s="34"/>
      <c r="Z22" s="45"/>
      <c r="AA22" s="36"/>
      <c r="AB22" s="34"/>
      <c r="AC22" s="34"/>
      <c r="AD22" s="34"/>
      <c r="AE22" s="34"/>
      <c r="AF22" s="34"/>
      <c r="AG22" s="34"/>
      <c r="AH22" s="34"/>
      <c r="AI22" s="34"/>
    </row>
    <row r="23" spans="1:35" ht="28.15" customHeight="1" x14ac:dyDescent="0.2">
      <c r="A23" s="194">
        <v>11</v>
      </c>
      <c r="B23" s="196" t="s">
        <v>65</v>
      </c>
      <c r="C23" s="26">
        <v>20</v>
      </c>
      <c r="D23" s="201" t="s">
        <v>25</v>
      </c>
      <c r="E23" s="28" t="s">
        <v>19</v>
      </c>
      <c r="F23" s="50" t="s">
        <v>16</v>
      </c>
      <c r="G23" s="50" t="s">
        <v>17</v>
      </c>
      <c r="H23" s="29" t="s">
        <v>44</v>
      </c>
      <c r="I23" s="28" t="s">
        <v>24</v>
      </c>
      <c r="J23" s="30">
        <v>3.95</v>
      </c>
      <c r="K23" s="31">
        <f>0</f>
        <v>0</v>
      </c>
      <c r="L23" s="140">
        <f t="shared" si="0"/>
        <v>0</v>
      </c>
      <c r="M23" s="140">
        <f t="shared" si="1"/>
        <v>0</v>
      </c>
      <c r="N23" s="141">
        <f>150-150</f>
        <v>0</v>
      </c>
      <c r="O23" s="142">
        <f t="shared" si="2"/>
        <v>0</v>
      </c>
      <c r="P23" s="141"/>
      <c r="Q23" s="141"/>
      <c r="R23" s="141"/>
      <c r="S23" s="143">
        <f t="shared" si="3"/>
        <v>0</v>
      </c>
      <c r="T23" s="32" t="str">
        <f t="shared" si="4"/>
        <v>OK</v>
      </c>
      <c r="U23" s="35"/>
      <c r="V23" s="33"/>
      <c r="W23" s="45"/>
      <c r="X23" s="34"/>
      <c r="Y23" s="34"/>
      <c r="Z23" s="45"/>
      <c r="AA23" s="36"/>
      <c r="AB23" s="34"/>
      <c r="AC23" s="34"/>
      <c r="AD23" s="34"/>
      <c r="AE23" s="34"/>
      <c r="AF23" s="34"/>
      <c r="AG23" s="34"/>
      <c r="AH23" s="34"/>
      <c r="AI23" s="34"/>
    </row>
    <row r="24" spans="1:35" ht="25.15" customHeight="1" x14ac:dyDescent="0.2">
      <c r="A24" s="195"/>
      <c r="B24" s="197"/>
      <c r="C24" s="26">
        <v>21</v>
      </c>
      <c r="D24" s="202"/>
      <c r="E24" s="28" t="s">
        <v>20</v>
      </c>
      <c r="F24" s="50" t="s">
        <v>16</v>
      </c>
      <c r="G24" s="50" t="s">
        <v>17</v>
      </c>
      <c r="H24" s="29" t="s">
        <v>44</v>
      </c>
      <c r="I24" s="28" t="s">
        <v>24</v>
      </c>
      <c r="J24" s="30">
        <v>2.41</v>
      </c>
      <c r="K24" s="31">
        <v>0</v>
      </c>
      <c r="L24" s="140">
        <f t="shared" si="0"/>
        <v>0</v>
      </c>
      <c r="M24" s="140">
        <f t="shared" si="1"/>
        <v>0</v>
      </c>
      <c r="N24" s="141"/>
      <c r="O24" s="142">
        <f t="shared" si="2"/>
        <v>0</v>
      </c>
      <c r="P24" s="141"/>
      <c r="Q24" s="141"/>
      <c r="R24" s="141"/>
      <c r="S24" s="143">
        <f t="shared" si="3"/>
        <v>0</v>
      </c>
      <c r="T24" s="32" t="str">
        <f t="shared" si="4"/>
        <v>OK</v>
      </c>
      <c r="U24" s="33"/>
      <c r="V24" s="33"/>
      <c r="W24" s="45"/>
      <c r="X24" s="34"/>
      <c r="Y24" s="34"/>
      <c r="Z24" s="45"/>
      <c r="AA24" s="34"/>
      <c r="AB24" s="34"/>
      <c r="AC24" s="34"/>
      <c r="AD24" s="34"/>
      <c r="AE24" s="34"/>
      <c r="AF24" s="34"/>
      <c r="AG24" s="34"/>
      <c r="AH24" s="34"/>
      <c r="AI24" s="34"/>
    </row>
    <row r="25" spans="1:35" ht="26.45" customHeight="1" x14ac:dyDescent="0.2">
      <c r="A25" s="188">
        <v>12</v>
      </c>
      <c r="B25" s="190" t="s">
        <v>62</v>
      </c>
      <c r="C25" s="40">
        <v>22</v>
      </c>
      <c r="D25" s="199" t="s">
        <v>26</v>
      </c>
      <c r="E25" s="39" t="s">
        <v>19</v>
      </c>
      <c r="F25" s="44" t="s">
        <v>16</v>
      </c>
      <c r="G25" s="44" t="s">
        <v>17</v>
      </c>
      <c r="H25" s="41" t="s">
        <v>44</v>
      </c>
      <c r="I25" s="39" t="s">
        <v>24</v>
      </c>
      <c r="J25" s="42">
        <v>2.48</v>
      </c>
      <c r="K25" s="31">
        <v>50</v>
      </c>
      <c r="L25" s="140">
        <f t="shared" si="0"/>
        <v>0</v>
      </c>
      <c r="M25" s="140">
        <f t="shared" si="1"/>
        <v>0</v>
      </c>
      <c r="N25" s="141"/>
      <c r="O25" s="142">
        <f t="shared" si="2"/>
        <v>12</v>
      </c>
      <c r="P25" s="141"/>
      <c r="Q25" s="141"/>
      <c r="R25" s="141"/>
      <c r="S25" s="143">
        <f t="shared" si="3"/>
        <v>50</v>
      </c>
      <c r="T25" s="32" t="str">
        <f t="shared" si="4"/>
        <v>OK</v>
      </c>
      <c r="U25" s="33"/>
      <c r="V25" s="33"/>
      <c r="W25" s="45"/>
      <c r="X25" s="36"/>
      <c r="Y25" s="34"/>
      <c r="Z25" s="45"/>
      <c r="AA25" s="34"/>
      <c r="AB25" s="34"/>
      <c r="AC25" s="34"/>
      <c r="AD25" s="34"/>
      <c r="AE25" s="34"/>
      <c r="AF25" s="34"/>
      <c r="AG25" s="34"/>
      <c r="AH25" s="34"/>
      <c r="AI25" s="34"/>
    </row>
    <row r="26" spans="1:35" ht="24.4" customHeight="1" x14ac:dyDescent="0.2">
      <c r="A26" s="189"/>
      <c r="B26" s="191"/>
      <c r="C26" s="40">
        <v>23</v>
      </c>
      <c r="D26" s="200"/>
      <c r="E26" s="43" t="s">
        <v>20</v>
      </c>
      <c r="F26" s="44" t="s">
        <v>16</v>
      </c>
      <c r="G26" s="44" t="s">
        <v>17</v>
      </c>
      <c r="H26" s="41" t="s">
        <v>44</v>
      </c>
      <c r="I26" s="39" t="s">
        <v>24</v>
      </c>
      <c r="J26" s="42">
        <v>1.2</v>
      </c>
      <c r="K26" s="31">
        <v>0</v>
      </c>
      <c r="L26" s="140">
        <f t="shared" si="0"/>
        <v>0</v>
      </c>
      <c r="M26" s="140">
        <f t="shared" si="1"/>
        <v>0</v>
      </c>
      <c r="N26" s="141"/>
      <c r="O26" s="142">
        <f t="shared" si="2"/>
        <v>0</v>
      </c>
      <c r="P26" s="141"/>
      <c r="Q26" s="141"/>
      <c r="R26" s="141"/>
      <c r="S26" s="143">
        <f t="shared" si="3"/>
        <v>0</v>
      </c>
      <c r="T26" s="32" t="str">
        <f t="shared" si="4"/>
        <v>OK</v>
      </c>
      <c r="U26" s="33"/>
      <c r="V26" s="33"/>
      <c r="W26" s="45"/>
      <c r="X26" s="34"/>
      <c r="Y26" s="34"/>
      <c r="Z26" s="45"/>
      <c r="AA26" s="34"/>
      <c r="AB26" s="34"/>
      <c r="AC26" s="34"/>
      <c r="AD26" s="34"/>
      <c r="AE26" s="34"/>
      <c r="AF26" s="34"/>
      <c r="AG26" s="34"/>
      <c r="AH26" s="34"/>
      <c r="AI26" s="34"/>
    </row>
    <row r="27" spans="1:35" ht="24" customHeight="1" x14ac:dyDescent="0.2">
      <c r="A27" s="194">
        <v>13</v>
      </c>
      <c r="B27" s="196" t="s">
        <v>65</v>
      </c>
      <c r="C27" s="26">
        <v>24</v>
      </c>
      <c r="D27" s="201" t="s">
        <v>66</v>
      </c>
      <c r="E27" s="28" t="s">
        <v>21</v>
      </c>
      <c r="F27" s="50" t="s">
        <v>16</v>
      </c>
      <c r="G27" s="29" t="s">
        <v>17</v>
      </c>
      <c r="H27" s="29" t="s">
        <v>44</v>
      </c>
      <c r="I27" s="28" t="s">
        <v>24</v>
      </c>
      <c r="J27" s="30">
        <v>0.33</v>
      </c>
      <c r="K27" s="31">
        <v>0</v>
      </c>
      <c r="L27" s="140">
        <f t="shared" si="0"/>
        <v>0</v>
      </c>
      <c r="M27" s="140">
        <f t="shared" si="1"/>
        <v>0</v>
      </c>
      <c r="N27" s="141"/>
      <c r="O27" s="142">
        <f t="shared" si="2"/>
        <v>0</v>
      </c>
      <c r="P27" s="141"/>
      <c r="Q27" s="141"/>
      <c r="R27" s="141"/>
      <c r="S27" s="143">
        <f t="shared" si="3"/>
        <v>0</v>
      </c>
      <c r="T27" s="32" t="str">
        <f t="shared" si="4"/>
        <v>OK</v>
      </c>
      <c r="U27" s="33"/>
      <c r="V27" s="33"/>
      <c r="W27" s="45"/>
      <c r="X27" s="34"/>
      <c r="Y27" s="34"/>
      <c r="Z27" s="45"/>
      <c r="AA27" s="34"/>
      <c r="AB27" s="34"/>
      <c r="AC27" s="34"/>
      <c r="AD27" s="34"/>
      <c r="AE27" s="34"/>
      <c r="AF27" s="34"/>
      <c r="AG27" s="34"/>
      <c r="AH27" s="34"/>
      <c r="AI27" s="34"/>
    </row>
    <row r="28" spans="1:35" ht="30.2" customHeight="1" x14ac:dyDescent="0.2">
      <c r="A28" s="195"/>
      <c r="B28" s="197"/>
      <c r="C28" s="26">
        <v>25</v>
      </c>
      <c r="D28" s="202"/>
      <c r="E28" s="28" t="s">
        <v>22</v>
      </c>
      <c r="F28" s="50" t="s">
        <v>16</v>
      </c>
      <c r="G28" s="50" t="s">
        <v>17</v>
      </c>
      <c r="H28" s="29" t="s">
        <v>44</v>
      </c>
      <c r="I28" s="28" t="s">
        <v>24</v>
      </c>
      <c r="J28" s="30">
        <v>0.15</v>
      </c>
      <c r="K28" s="31">
        <v>0</v>
      </c>
      <c r="L28" s="140">
        <f t="shared" si="0"/>
        <v>0</v>
      </c>
      <c r="M28" s="140">
        <f t="shared" si="1"/>
        <v>0</v>
      </c>
      <c r="N28" s="141"/>
      <c r="O28" s="142">
        <f t="shared" si="2"/>
        <v>0</v>
      </c>
      <c r="P28" s="141"/>
      <c r="Q28" s="141"/>
      <c r="R28" s="141"/>
      <c r="S28" s="143">
        <f t="shared" si="3"/>
        <v>0</v>
      </c>
      <c r="T28" s="32" t="str">
        <f t="shared" si="4"/>
        <v>OK</v>
      </c>
      <c r="U28" s="33"/>
      <c r="V28" s="33"/>
      <c r="W28" s="45"/>
      <c r="X28" s="34"/>
      <c r="Y28" s="34"/>
      <c r="Z28" s="45"/>
      <c r="AA28" s="34"/>
      <c r="AB28" s="34"/>
      <c r="AC28" s="34"/>
      <c r="AD28" s="34"/>
      <c r="AE28" s="34"/>
      <c r="AF28" s="34"/>
      <c r="AG28" s="34"/>
      <c r="AH28" s="34"/>
      <c r="AI28" s="34"/>
    </row>
    <row r="29" spans="1:35" ht="26.45" customHeight="1" x14ac:dyDescent="0.2">
      <c r="A29" s="188">
        <v>14</v>
      </c>
      <c r="B29" s="190" t="s">
        <v>65</v>
      </c>
      <c r="C29" s="40">
        <v>26</v>
      </c>
      <c r="D29" s="192" t="s">
        <v>67</v>
      </c>
      <c r="E29" s="66" t="s">
        <v>21</v>
      </c>
      <c r="F29" s="44" t="s">
        <v>16</v>
      </c>
      <c r="G29" s="44" t="s">
        <v>17</v>
      </c>
      <c r="H29" s="41" t="s">
        <v>44</v>
      </c>
      <c r="I29" s="39" t="s">
        <v>24</v>
      </c>
      <c r="J29" s="42">
        <v>0.33</v>
      </c>
      <c r="K29" s="31">
        <v>200</v>
      </c>
      <c r="L29" s="140">
        <f t="shared" si="0"/>
        <v>0</v>
      </c>
      <c r="M29" s="140">
        <f t="shared" si="1"/>
        <v>0</v>
      </c>
      <c r="N29" s="141"/>
      <c r="O29" s="142">
        <f t="shared" si="2"/>
        <v>50</v>
      </c>
      <c r="P29" s="141"/>
      <c r="Q29" s="141"/>
      <c r="R29" s="141"/>
      <c r="S29" s="143">
        <f t="shared" si="3"/>
        <v>200</v>
      </c>
      <c r="T29" s="32" t="str">
        <f t="shared" si="4"/>
        <v>OK</v>
      </c>
      <c r="U29" s="33"/>
      <c r="V29" s="33"/>
      <c r="W29" s="45"/>
      <c r="X29" s="34"/>
      <c r="Y29" s="34"/>
      <c r="Z29" s="45"/>
      <c r="AA29" s="34"/>
      <c r="AB29" s="34"/>
      <c r="AC29" s="34"/>
      <c r="AD29" s="34"/>
      <c r="AE29" s="34"/>
      <c r="AF29" s="34"/>
      <c r="AG29" s="34"/>
      <c r="AH29" s="34"/>
      <c r="AI29" s="34"/>
    </row>
    <row r="30" spans="1:35" ht="33.950000000000003" customHeight="1" x14ac:dyDescent="0.2">
      <c r="A30" s="189"/>
      <c r="B30" s="191"/>
      <c r="C30" s="40">
        <v>27</v>
      </c>
      <c r="D30" s="193"/>
      <c r="E30" s="66" t="s">
        <v>22</v>
      </c>
      <c r="F30" s="44" t="s">
        <v>16</v>
      </c>
      <c r="G30" s="44" t="s">
        <v>17</v>
      </c>
      <c r="H30" s="41" t="s">
        <v>44</v>
      </c>
      <c r="I30" s="39" t="s">
        <v>24</v>
      </c>
      <c r="J30" s="42">
        <v>0.23</v>
      </c>
      <c r="K30" s="31">
        <v>0</v>
      </c>
      <c r="L30" s="140">
        <f t="shared" si="0"/>
        <v>0</v>
      </c>
      <c r="M30" s="140">
        <f t="shared" si="1"/>
        <v>0</v>
      </c>
      <c r="N30" s="141"/>
      <c r="O30" s="142">
        <f t="shared" si="2"/>
        <v>0</v>
      </c>
      <c r="P30" s="141"/>
      <c r="Q30" s="141"/>
      <c r="R30" s="141"/>
      <c r="S30" s="143">
        <f t="shared" si="3"/>
        <v>0</v>
      </c>
      <c r="T30" s="32" t="str">
        <f t="shared" si="4"/>
        <v>OK</v>
      </c>
      <c r="U30" s="33"/>
      <c r="V30" s="33"/>
      <c r="W30" s="45"/>
      <c r="X30" s="34"/>
      <c r="Y30" s="34"/>
      <c r="Z30" s="45"/>
      <c r="AA30" s="34"/>
      <c r="AB30" s="34"/>
      <c r="AC30" s="34"/>
      <c r="AD30" s="34"/>
      <c r="AE30" s="34"/>
      <c r="AF30" s="34"/>
      <c r="AG30" s="34"/>
      <c r="AH30" s="34"/>
      <c r="AI30" s="34"/>
    </row>
    <row r="31" spans="1:35" ht="27" customHeight="1" x14ac:dyDescent="0.2">
      <c r="A31" s="194">
        <v>15</v>
      </c>
      <c r="B31" s="196" t="s">
        <v>31</v>
      </c>
      <c r="C31" s="68">
        <v>28</v>
      </c>
      <c r="D31" s="198" t="s">
        <v>68</v>
      </c>
      <c r="E31" s="28" t="s">
        <v>21</v>
      </c>
      <c r="F31" s="50" t="s">
        <v>16</v>
      </c>
      <c r="G31" s="50" t="s">
        <v>17</v>
      </c>
      <c r="H31" s="29" t="s">
        <v>44</v>
      </c>
      <c r="I31" s="28" t="s">
        <v>24</v>
      </c>
      <c r="J31" s="30">
        <v>0.4</v>
      </c>
      <c r="K31" s="31">
        <f>300</f>
        <v>300</v>
      </c>
      <c r="L31" s="140">
        <f t="shared" si="0"/>
        <v>1500</v>
      </c>
      <c r="M31" s="140">
        <f t="shared" si="1"/>
        <v>1500</v>
      </c>
      <c r="N31" s="141">
        <f>200+1000</f>
        <v>1200</v>
      </c>
      <c r="O31" s="142">
        <f t="shared" si="2"/>
        <v>75</v>
      </c>
      <c r="P31" s="141"/>
      <c r="Q31" s="141"/>
      <c r="R31" s="141"/>
      <c r="S31" s="143">
        <f t="shared" si="3"/>
        <v>0</v>
      </c>
      <c r="T31" s="32" t="str">
        <f t="shared" si="4"/>
        <v>OK</v>
      </c>
      <c r="U31" s="33"/>
      <c r="V31" s="35"/>
      <c r="W31" s="45"/>
      <c r="X31" s="36"/>
      <c r="Y31" s="115">
        <v>300</v>
      </c>
      <c r="Z31" s="115">
        <v>200</v>
      </c>
      <c r="AA31" s="34"/>
      <c r="AB31" s="34"/>
      <c r="AC31" s="115">
        <v>1000</v>
      </c>
      <c r="AD31" s="34"/>
      <c r="AE31" s="34"/>
      <c r="AF31" s="34"/>
      <c r="AG31" s="34"/>
      <c r="AH31" s="34"/>
      <c r="AI31" s="34"/>
    </row>
    <row r="32" spans="1:35" ht="29.25" customHeight="1" x14ac:dyDescent="0.2">
      <c r="A32" s="195"/>
      <c r="B32" s="197"/>
      <c r="C32" s="26">
        <v>29</v>
      </c>
      <c r="D32" s="198"/>
      <c r="E32" s="28" t="s">
        <v>22</v>
      </c>
      <c r="F32" s="50" t="s">
        <v>16</v>
      </c>
      <c r="G32" s="50" t="s">
        <v>17</v>
      </c>
      <c r="H32" s="29" t="s">
        <v>44</v>
      </c>
      <c r="I32" s="28" t="s">
        <v>24</v>
      </c>
      <c r="J32" s="30">
        <v>0.44</v>
      </c>
      <c r="K32" s="31">
        <f>0</f>
        <v>0</v>
      </c>
      <c r="L32" s="140">
        <f t="shared" si="0"/>
        <v>1001</v>
      </c>
      <c r="M32" s="140">
        <f t="shared" si="1"/>
        <v>1001</v>
      </c>
      <c r="N32" s="141">
        <v>1001</v>
      </c>
      <c r="O32" s="142">
        <f t="shared" si="2"/>
        <v>0</v>
      </c>
      <c r="P32" s="141"/>
      <c r="Q32" s="141"/>
      <c r="R32" s="141"/>
      <c r="S32" s="143">
        <f t="shared" si="3"/>
        <v>0</v>
      </c>
      <c r="T32" s="32" t="str">
        <f t="shared" si="4"/>
        <v>OK</v>
      </c>
      <c r="U32" s="33"/>
      <c r="V32" s="33"/>
      <c r="W32" s="34"/>
      <c r="X32" s="34"/>
      <c r="Y32" s="34"/>
      <c r="Z32" s="34"/>
      <c r="AA32" s="34"/>
      <c r="AB32" s="34"/>
      <c r="AC32" s="115">
        <v>1001</v>
      </c>
      <c r="AD32" s="34"/>
      <c r="AE32" s="34"/>
      <c r="AF32" s="34"/>
      <c r="AG32" s="34"/>
      <c r="AH32" s="34"/>
      <c r="AI32" s="34"/>
    </row>
    <row r="33" spans="11:35" x14ac:dyDescent="0.2">
      <c r="K33" s="56">
        <f>SUM(K4:K32)</f>
        <v>1612</v>
      </c>
      <c r="S33" s="56">
        <f t="shared" ref="S33" si="5">SUM(S4:S32)</f>
        <v>1282</v>
      </c>
      <c r="U33" s="110">
        <f>SUMPRODUCT($J$4:$J$32,U4:U32)</f>
        <v>304</v>
      </c>
      <c r="V33" s="110">
        <f t="shared" ref="V33:AI33" si="6">SUMPRODUCT($J$4:$J$32,V4:V32)</f>
        <v>433.5</v>
      </c>
      <c r="W33" s="110">
        <f t="shared" si="6"/>
        <v>304</v>
      </c>
      <c r="X33" s="110">
        <f t="shared" si="6"/>
        <v>3498</v>
      </c>
      <c r="Y33" s="110">
        <f t="shared" si="6"/>
        <v>332</v>
      </c>
      <c r="Z33" s="110">
        <f t="shared" si="6"/>
        <v>345</v>
      </c>
      <c r="AA33" s="110">
        <f t="shared" si="6"/>
        <v>377</v>
      </c>
      <c r="AB33" s="110">
        <f t="shared" si="6"/>
        <v>314.08</v>
      </c>
      <c r="AC33" s="110">
        <f t="shared" si="6"/>
        <v>840.44</v>
      </c>
      <c r="AD33" s="110">
        <f t="shared" si="6"/>
        <v>304</v>
      </c>
      <c r="AE33" s="110">
        <f t="shared" si="6"/>
        <v>0</v>
      </c>
      <c r="AF33" s="110">
        <f t="shared" si="6"/>
        <v>0</v>
      </c>
      <c r="AG33" s="110">
        <f t="shared" si="6"/>
        <v>0</v>
      </c>
      <c r="AH33" s="110">
        <f t="shared" si="6"/>
        <v>0</v>
      </c>
      <c r="AI33" s="110">
        <f t="shared" si="6"/>
        <v>0</v>
      </c>
    </row>
    <row r="34" spans="11:35" x14ac:dyDescent="0.2">
      <c r="K34" s="148">
        <f>SUMPRODUCT($J$4:$J$32,K4:K32)</f>
        <v>25643.55</v>
      </c>
      <c r="L34" s="148">
        <f t="shared" ref="L34:M34" si="7">SUMPRODUCT($J$4:$J$32,L4:L32)</f>
        <v>7052.0199999999995</v>
      </c>
      <c r="M34" s="148">
        <f t="shared" si="7"/>
        <v>7052.0199999999995</v>
      </c>
    </row>
  </sheetData>
  <mergeCells count="50">
    <mergeCell ref="W1:W2"/>
    <mergeCell ref="A1:C1"/>
    <mergeCell ref="D1:J1"/>
    <mergeCell ref="K1:T1"/>
    <mergeCell ref="U1:U2"/>
    <mergeCell ref="V1:V2"/>
    <mergeCell ref="K2:T2"/>
    <mergeCell ref="A2:J2"/>
    <mergeCell ref="AI1:AI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4:A8"/>
    <mergeCell ref="B4:B8"/>
    <mergeCell ref="D4:D8"/>
    <mergeCell ref="A9:A10"/>
    <mergeCell ref="B9:B10"/>
    <mergeCell ref="D9:D10"/>
    <mergeCell ref="A11:A13"/>
    <mergeCell ref="B11:B13"/>
    <mergeCell ref="D11:D13"/>
    <mergeCell ref="A14:A15"/>
    <mergeCell ref="B14:B15"/>
    <mergeCell ref="D14:D15"/>
    <mergeCell ref="A19:A20"/>
    <mergeCell ref="B19:B20"/>
    <mergeCell ref="D19:D20"/>
    <mergeCell ref="A23:A24"/>
    <mergeCell ref="B23:B24"/>
    <mergeCell ref="D23:D24"/>
    <mergeCell ref="A25:A26"/>
    <mergeCell ref="B25:B26"/>
    <mergeCell ref="D25:D26"/>
    <mergeCell ref="A27:A28"/>
    <mergeCell ref="B27:B28"/>
    <mergeCell ref="D27:D28"/>
    <mergeCell ref="A29:A30"/>
    <mergeCell ref="B29:B30"/>
    <mergeCell ref="D29:D30"/>
    <mergeCell ref="A31:A32"/>
    <mergeCell ref="B31:B32"/>
    <mergeCell ref="D31:D32"/>
  </mergeCells>
  <pageMargins left="0.511811024" right="0.511811024" top="0.78740157499999996" bottom="0.78740157499999996" header="0.31496062000000002" footer="0.31496062000000002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CC6F5-8EA1-41A8-8856-79BE9CB8CA60}">
  <dimension ref="A1:AI34"/>
  <sheetViews>
    <sheetView zoomScale="90" zoomScaleNormal="90" workbookViewId="0">
      <selection activeCell="E11" sqref="E11"/>
    </sheetView>
  </sheetViews>
  <sheetFormatPr defaultColWidth="9.7109375" defaultRowHeight="12.75" x14ac:dyDescent="0.2"/>
  <cols>
    <col min="1" max="1" width="7.7109375" style="53" customWidth="1"/>
    <col min="2" max="2" width="14.7109375" style="53" customWidth="1"/>
    <col min="3" max="3" width="5.5703125" style="53" bestFit="1" customWidth="1"/>
    <col min="4" max="4" width="24.140625" style="54" customWidth="1"/>
    <col min="5" max="5" width="10.85546875" style="53" bestFit="1" customWidth="1"/>
    <col min="6" max="6" width="8.140625" style="53" customWidth="1"/>
    <col min="7" max="7" width="10.7109375" style="53" customWidth="1"/>
    <col min="8" max="8" width="10.42578125" style="53" customWidth="1"/>
    <col min="9" max="9" width="9.42578125" style="53" customWidth="1"/>
    <col min="10" max="10" width="12.7109375" style="55" bestFit="1" customWidth="1"/>
    <col min="11" max="11" width="13.28515625" style="56" customWidth="1"/>
    <col min="12" max="13" width="14" style="56" bestFit="1" customWidth="1"/>
    <col min="14" max="14" width="11.5703125" style="56" customWidth="1"/>
    <col min="15" max="15" width="14" style="56" bestFit="1" customWidth="1"/>
    <col min="16" max="18" width="10.140625" style="56" customWidth="1"/>
    <col min="19" max="19" width="10.28515625" style="57" customWidth="1"/>
    <col min="20" max="20" width="12.5703125" style="58" customWidth="1"/>
    <col min="21" max="22" width="13.7109375" style="60" customWidth="1"/>
    <col min="23" max="35" width="13.7109375" style="18" customWidth="1"/>
    <col min="36" max="16384" width="9.7109375" style="18"/>
  </cols>
  <sheetData>
    <row r="1" spans="1:35" ht="34.5" customHeight="1" x14ac:dyDescent="0.2">
      <c r="A1" s="219" t="s">
        <v>69</v>
      </c>
      <c r="B1" s="220"/>
      <c r="C1" s="221"/>
      <c r="D1" s="220" t="s">
        <v>32</v>
      </c>
      <c r="E1" s="220"/>
      <c r="F1" s="220"/>
      <c r="G1" s="220"/>
      <c r="H1" s="220"/>
      <c r="I1" s="220"/>
      <c r="J1" s="221"/>
      <c r="K1" s="222" t="s">
        <v>33</v>
      </c>
      <c r="L1" s="223"/>
      <c r="M1" s="223"/>
      <c r="N1" s="223"/>
      <c r="O1" s="223"/>
      <c r="P1" s="223"/>
      <c r="Q1" s="223"/>
      <c r="R1" s="223"/>
      <c r="S1" s="223"/>
      <c r="T1" s="224"/>
      <c r="U1" s="234" t="s">
        <v>160</v>
      </c>
      <c r="V1" s="234" t="s">
        <v>161</v>
      </c>
      <c r="W1" s="234" t="s">
        <v>162</v>
      </c>
      <c r="X1" s="234" t="s">
        <v>163</v>
      </c>
      <c r="Y1" s="234" t="s">
        <v>332</v>
      </c>
      <c r="Z1" s="218" t="s">
        <v>30</v>
      </c>
      <c r="AA1" s="218" t="s">
        <v>30</v>
      </c>
      <c r="AB1" s="218" t="s">
        <v>30</v>
      </c>
      <c r="AC1" s="218" t="s">
        <v>30</v>
      </c>
      <c r="AD1" s="218" t="s">
        <v>30</v>
      </c>
      <c r="AE1" s="218" t="s">
        <v>30</v>
      </c>
      <c r="AF1" s="218" t="s">
        <v>30</v>
      </c>
      <c r="AG1" s="218" t="s">
        <v>30</v>
      </c>
      <c r="AH1" s="218" t="s">
        <v>30</v>
      </c>
      <c r="AI1" s="218" t="s">
        <v>30</v>
      </c>
    </row>
    <row r="2" spans="1:35" ht="14.25" customHeight="1" x14ac:dyDescent="0.2">
      <c r="A2" s="219" t="s">
        <v>85</v>
      </c>
      <c r="B2" s="220"/>
      <c r="C2" s="220"/>
      <c r="D2" s="220"/>
      <c r="E2" s="220"/>
      <c r="F2" s="220"/>
      <c r="G2" s="220"/>
      <c r="H2" s="220"/>
      <c r="I2" s="220"/>
      <c r="J2" s="221"/>
      <c r="K2" s="225" t="s">
        <v>91</v>
      </c>
      <c r="L2" s="226"/>
      <c r="M2" s="226"/>
      <c r="N2" s="226"/>
      <c r="O2" s="226"/>
      <c r="P2" s="226"/>
      <c r="Q2" s="226"/>
      <c r="R2" s="226"/>
      <c r="S2" s="226"/>
      <c r="T2" s="227"/>
      <c r="U2" s="234"/>
      <c r="V2" s="234"/>
      <c r="W2" s="234"/>
      <c r="X2" s="234"/>
      <c r="Y2" s="234"/>
      <c r="Z2" s="218"/>
      <c r="AA2" s="218"/>
      <c r="AB2" s="218"/>
      <c r="AC2" s="218"/>
      <c r="AD2" s="218"/>
      <c r="AE2" s="218"/>
      <c r="AF2" s="218"/>
      <c r="AG2" s="218"/>
      <c r="AH2" s="218"/>
      <c r="AI2" s="218"/>
    </row>
    <row r="3" spans="1:35" s="25" customFormat="1" ht="38.25" x14ac:dyDescent="0.2">
      <c r="A3" s="19" t="s">
        <v>5</v>
      </c>
      <c r="B3" s="19" t="s">
        <v>18</v>
      </c>
      <c r="C3" s="69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43</v>
      </c>
      <c r="I3" s="20" t="s">
        <v>4</v>
      </c>
      <c r="J3" s="21" t="s">
        <v>28</v>
      </c>
      <c r="K3" s="22" t="s">
        <v>6</v>
      </c>
      <c r="L3" s="145" t="s">
        <v>185</v>
      </c>
      <c r="M3" s="145" t="s">
        <v>186</v>
      </c>
      <c r="N3" s="145" t="s">
        <v>187</v>
      </c>
      <c r="O3" s="145" t="s">
        <v>188</v>
      </c>
      <c r="P3" s="145" t="s">
        <v>189</v>
      </c>
      <c r="Q3" s="145" t="s">
        <v>190</v>
      </c>
      <c r="R3" s="145" t="s">
        <v>191</v>
      </c>
      <c r="S3" s="146" t="s">
        <v>0</v>
      </c>
      <c r="T3" s="23" t="s">
        <v>2</v>
      </c>
      <c r="U3" s="121" t="s">
        <v>1</v>
      </c>
      <c r="V3" s="121" t="s">
        <v>1</v>
      </c>
      <c r="W3" s="121" t="s">
        <v>1</v>
      </c>
      <c r="X3" s="121" t="s">
        <v>1</v>
      </c>
      <c r="Y3" s="101">
        <v>45555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  <c r="AG3" s="24" t="s">
        <v>1</v>
      </c>
      <c r="AH3" s="24" t="s">
        <v>1</v>
      </c>
      <c r="AI3" s="24" t="s">
        <v>1</v>
      </c>
    </row>
    <row r="4" spans="1:35" ht="23.25" customHeight="1" x14ac:dyDescent="0.2">
      <c r="A4" s="203">
        <v>1</v>
      </c>
      <c r="B4" s="196" t="s">
        <v>31</v>
      </c>
      <c r="C4" s="26">
        <v>1</v>
      </c>
      <c r="D4" s="201" t="s">
        <v>34</v>
      </c>
      <c r="E4" s="28" t="s">
        <v>35</v>
      </c>
      <c r="F4" s="29" t="s">
        <v>16</v>
      </c>
      <c r="G4" s="29" t="s">
        <v>17</v>
      </c>
      <c r="H4" s="29" t="s">
        <v>44</v>
      </c>
      <c r="I4" s="28" t="s">
        <v>24</v>
      </c>
      <c r="J4" s="30">
        <v>12.15</v>
      </c>
      <c r="K4" s="31">
        <v>10</v>
      </c>
      <c r="L4" s="140">
        <f t="shared" ref="L4:L32" si="0">IF(SUM(U4:AL4)&gt;K4+N4,K4+N4,SUM(U4:AL4))</f>
        <v>0</v>
      </c>
      <c r="M4" s="140">
        <f t="shared" ref="M4:M32" si="1">(SUM(U4:AL4))</f>
        <v>0</v>
      </c>
      <c r="N4" s="141"/>
      <c r="O4" s="142">
        <f t="shared" ref="O4:O32" si="2">ROUND(IF(K4*0.25-0.5&lt;0,0,K4*0.25-0.5),0)-R4-P4</f>
        <v>2</v>
      </c>
      <c r="P4" s="141"/>
      <c r="Q4" s="141"/>
      <c r="R4" s="141"/>
      <c r="S4" s="143">
        <f t="shared" ref="S4:S32" si="3">K4+N4+P4+Q4-M4</f>
        <v>10</v>
      </c>
      <c r="T4" s="32" t="str">
        <f t="shared" ref="T4:T32" si="4">IF(S4&lt;0,"ATENÇÃO","OK")</f>
        <v>OK</v>
      </c>
      <c r="U4" s="33"/>
      <c r="V4" s="33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</row>
    <row r="5" spans="1:35" ht="26.45" customHeight="1" x14ac:dyDescent="0.2">
      <c r="A5" s="204"/>
      <c r="B5" s="206"/>
      <c r="C5" s="26">
        <v>2</v>
      </c>
      <c r="D5" s="207"/>
      <c r="E5" s="28" t="s">
        <v>36</v>
      </c>
      <c r="F5" s="29" t="s">
        <v>16</v>
      </c>
      <c r="G5" s="29" t="s">
        <v>17</v>
      </c>
      <c r="H5" s="29" t="s">
        <v>44</v>
      </c>
      <c r="I5" s="28" t="s">
        <v>24</v>
      </c>
      <c r="J5" s="30">
        <v>40.5</v>
      </c>
      <c r="K5" s="31">
        <v>10</v>
      </c>
      <c r="L5" s="140">
        <f t="shared" si="0"/>
        <v>0</v>
      </c>
      <c r="M5" s="140">
        <f t="shared" si="1"/>
        <v>0</v>
      </c>
      <c r="N5" s="141"/>
      <c r="O5" s="142">
        <f t="shared" si="2"/>
        <v>2</v>
      </c>
      <c r="P5" s="141"/>
      <c r="Q5" s="141"/>
      <c r="R5" s="141"/>
      <c r="S5" s="143">
        <f t="shared" si="3"/>
        <v>10</v>
      </c>
      <c r="T5" s="32" t="str">
        <f t="shared" si="4"/>
        <v>OK</v>
      </c>
      <c r="U5" s="33"/>
      <c r="V5" s="33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</row>
    <row r="6" spans="1:35" ht="24" customHeight="1" x14ac:dyDescent="0.2">
      <c r="A6" s="204"/>
      <c r="B6" s="206"/>
      <c r="C6" s="26">
        <v>3</v>
      </c>
      <c r="D6" s="207"/>
      <c r="E6" s="28" t="s">
        <v>37</v>
      </c>
      <c r="F6" s="29" t="s">
        <v>16</v>
      </c>
      <c r="G6" s="29" t="s">
        <v>17</v>
      </c>
      <c r="H6" s="29" t="s">
        <v>44</v>
      </c>
      <c r="I6" s="28" t="s">
        <v>24</v>
      </c>
      <c r="J6" s="30">
        <v>49.5</v>
      </c>
      <c r="K6" s="31">
        <v>10</v>
      </c>
      <c r="L6" s="140">
        <f t="shared" si="0"/>
        <v>0</v>
      </c>
      <c r="M6" s="140">
        <f t="shared" si="1"/>
        <v>0</v>
      </c>
      <c r="N6" s="141"/>
      <c r="O6" s="142">
        <f t="shared" si="2"/>
        <v>2</v>
      </c>
      <c r="P6" s="141"/>
      <c r="Q6" s="141"/>
      <c r="R6" s="141"/>
      <c r="S6" s="143">
        <f t="shared" si="3"/>
        <v>10</v>
      </c>
      <c r="T6" s="32" t="str">
        <f t="shared" si="4"/>
        <v>OK</v>
      </c>
      <c r="U6" s="33"/>
      <c r="V6" s="35"/>
      <c r="W6" s="36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</row>
    <row r="7" spans="1:35" ht="24" customHeight="1" x14ac:dyDescent="0.2">
      <c r="A7" s="204"/>
      <c r="B7" s="206"/>
      <c r="C7" s="26">
        <v>4</v>
      </c>
      <c r="D7" s="207"/>
      <c r="E7" s="28" t="s">
        <v>38</v>
      </c>
      <c r="F7" s="29" t="s">
        <v>16</v>
      </c>
      <c r="G7" s="29" t="s">
        <v>17</v>
      </c>
      <c r="H7" s="29" t="s">
        <v>44</v>
      </c>
      <c r="I7" s="28" t="s">
        <v>24</v>
      </c>
      <c r="J7" s="30">
        <v>53</v>
      </c>
      <c r="K7" s="31">
        <v>5</v>
      </c>
      <c r="L7" s="140">
        <f t="shared" si="0"/>
        <v>0</v>
      </c>
      <c r="M7" s="140">
        <f t="shared" si="1"/>
        <v>0</v>
      </c>
      <c r="N7" s="141"/>
      <c r="O7" s="142">
        <f t="shared" si="2"/>
        <v>1</v>
      </c>
      <c r="P7" s="141"/>
      <c r="Q7" s="141"/>
      <c r="R7" s="141"/>
      <c r="S7" s="143">
        <f t="shared" si="3"/>
        <v>5</v>
      </c>
      <c r="T7" s="32" t="str">
        <f t="shared" si="4"/>
        <v>OK</v>
      </c>
      <c r="U7" s="33"/>
      <c r="V7" s="33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</row>
    <row r="8" spans="1:35" ht="19.5" customHeight="1" x14ac:dyDescent="0.2">
      <c r="A8" s="205"/>
      <c r="B8" s="197"/>
      <c r="C8" s="26">
        <v>5</v>
      </c>
      <c r="D8" s="202"/>
      <c r="E8" s="28" t="s">
        <v>39</v>
      </c>
      <c r="F8" s="29" t="s">
        <v>16</v>
      </c>
      <c r="G8" s="29" t="s">
        <v>17</v>
      </c>
      <c r="H8" s="29" t="s">
        <v>44</v>
      </c>
      <c r="I8" s="28" t="s">
        <v>24</v>
      </c>
      <c r="J8" s="30">
        <v>30.4</v>
      </c>
      <c r="K8" s="31">
        <v>10</v>
      </c>
      <c r="L8" s="140">
        <f t="shared" si="0"/>
        <v>0</v>
      </c>
      <c r="M8" s="140">
        <f t="shared" si="1"/>
        <v>0</v>
      </c>
      <c r="N8" s="141"/>
      <c r="O8" s="142">
        <f t="shared" si="2"/>
        <v>2</v>
      </c>
      <c r="P8" s="141"/>
      <c r="Q8" s="141"/>
      <c r="R8" s="141"/>
      <c r="S8" s="143">
        <f t="shared" si="3"/>
        <v>10</v>
      </c>
      <c r="T8" s="32" t="str">
        <f t="shared" si="4"/>
        <v>OK</v>
      </c>
      <c r="U8" s="33"/>
      <c r="V8" s="33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</row>
    <row r="9" spans="1:35" ht="21.75" customHeight="1" x14ac:dyDescent="0.2">
      <c r="A9" s="216">
        <v>2</v>
      </c>
      <c r="B9" s="190" t="s">
        <v>31</v>
      </c>
      <c r="C9" s="40">
        <v>6</v>
      </c>
      <c r="D9" s="199" t="s">
        <v>40</v>
      </c>
      <c r="E9" s="39" t="s">
        <v>35</v>
      </c>
      <c r="F9" s="41" t="s">
        <v>16</v>
      </c>
      <c r="G9" s="41" t="s">
        <v>17</v>
      </c>
      <c r="H9" s="41" t="s">
        <v>44</v>
      </c>
      <c r="I9" s="39" t="s">
        <v>24</v>
      </c>
      <c r="J9" s="42">
        <v>14.21</v>
      </c>
      <c r="K9" s="31">
        <v>5</v>
      </c>
      <c r="L9" s="140">
        <f t="shared" si="0"/>
        <v>0</v>
      </c>
      <c r="M9" s="140">
        <f t="shared" si="1"/>
        <v>0</v>
      </c>
      <c r="N9" s="141"/>
      <c r="O9" s="142">
        <f t="shared" si="2"/>
        <v>1</v>
      </c>
      <c r="P9" s="141"/>
      <c r="Q9" s="141"/>
      <c r="R9" s="141"/>
      <c r="S9" s="143">
        <f t="shared" si="3"/>
        <v>5</v>
      </c>
      <c r="T9" s="32" t="str">
        <f t="shared" si="4"/>
        <v>OK</v>
      </c>
      <c r="U9" s="33"/>
      <c r="V9" s="33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</row>
    <row r="10" spans="1:35" ht="20.25" customHeight="1" x14ac:dyDescent="0.2">
      <c r="A10" s="217"/>
      <c r="B10" s="191"/>
      <c r="C10" s="40">
        <v>7</v>
      </c>
      <c r="D10" s="200"/>
      <c r="E10" s="39" t="s">
        <v>41</v>
      </c>
      <c r="F10" s="41" t="s">
        <v>16</v>
      </c>
      <c r="G10" s="41" t="s">
        <v>17</v>
      </c>
      <c r="H10" s="41" t="s">
        <v>44</v>
      </c>
      <c r="I10" s="39" t="s">
        <v>24</v>
      </c>
      <c r="J10" s="42">
        <v>20.9</v>
      </c>
      <c r="K10" s="31">
        <v>5</v>
      </c>
      <c r="L10" s="140">
        <f t="shared" si="0"/>
        <v>0</v>
      </c>
      <c r="M10" s="140">
        <f t="shared" si="1"/>
        <v>0</v>
      </c>
      <c r="N10" s="141"/>
      <c r="O10" s="142">
        <f t="shared" si="2"/>
        <v>1</v>
      </c>
      <c r="P10" s="141"/>
      <c r="Q10" s="141"/>
      <c r="R10" s="141"/>
      <c r="S10" s="143">
        <f t="shared" si="3"/>
        <v>5</v>
      </c>
      <c r="T10" s="32" t="str">
        <f t="shared" si="4"/>
        <v>OK</v>
      </c>
      <c r="U10" s="35"/>
      <c r="V10" s="33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</row>
    <row r="11" spans="1:35" ht="25.5" x14ac:dyDescent="0.2">
      <c r="A11" s="203">
        <v>3</v>
      </c>
      <c r="B11" s="196" t="s">
        <v>42</v>
      </c>
      <c r="C11" s="26">
        <v>8</v>
      </c>
      <c r="D11" s="201" t="s">
        <v>45</v>
      </c>
      <c r="E11" s="28" t="s">
        <v>46</v>
      </c>
      <c r="F11" s="29" t="s">
        <v>16</v>
      </c>
      <c r="G11" s="29" t="s">
        <v>17</v>
      </c>
      <c r="H11" s="29" t="s">
        <v>44</v>
      </c>
      <c r="I11" s="28" t="s">
        <v>24</v>
      </c>
      <c r="J11" s="30">
        <v>423</v>
      </c>
      <c r="K11" s="31">
        <v>2</v>
      </c>
      <c r="L11" s="140">
        <f t="shared" si="0"/>
        <v>1</v>
      </c>
      <c r="M11" s="140">
        <f t="shared" si="1"/>
        <v>1</v>
      </c>
      <c r="N11" s="141"/>
      <c r="O11" s="142">
        <f t="shared" si="2"/>
        <v>0</v>
      </c>
      <c r="P11" s="141"/>
      <c r="Q11" s="141"/>
      <c r="R11" s="141"/>
      <c r="S11" s="143">
        <f t="shared" si="3"/>
        <v>1</v>
      </c>
      <c r="T11" s="32" t="str">
        <f t="shared" si="4"/>
        <v>OK</v>
      </c>
      <c r="V11" s="96">
        <v>1</v>
      </c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</row>
    <row r="12" spans="1:35" ht="21.2" customHeight="1" x14ac:dyDescent="0.2">
      <c r="A12" s="204"/>
      <c r="B12" s="206"/>
      <c r="C12" s="26">
        <v>9</v>
      </c>
      <c r="D12" s="207"/>
      <c r="E12" s="28" t="s">
        <v>47</v>
      </c>
      <c r="F12" s="29" t="s">
        <v>16</v>
      </c>
      <c r="G12" s="29" t="s">
        <v>17</v>
      </c>
      <c r="H12" s="29" t="s">
        <v>44</v>
      </c>
      <c r="I12" s="28" t="s">
        <v>24</v>
      </c>
      <c r="J12" s="30">
        <v>1613</v>
      </c>
      <c r="K12" s="31">
        <v>1</v>
      </c>
      <c r="L12" s="140">
        <f t="shared" si="0"/>
        <v>0</v>
      </c>
      <c r="M12" s="140">
        <f t="shared" si="1"/>
        <v>0</v>
      </c>
      <c r="N12" s="141"/>
      <c r="O12" s="142">
        <f t="shared" si="2"/>
        <v>0</v>
      </c>
      <c r="P12" s="141"/>
      <c r="Q12" s="141"/>
      <c r="R12" s="141"/>
      <c r="S12" s="143">
        <f t="shared" si="3"/>
        <v>1</v>
      </c>
      <c r="T12" s="32" t="str">
        <f t="shared" si="4"/>
        <v>OK</v>
      </c>
      <c r="U12" s="33"/>
      <c r="V12" s="33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</row>
    <row r="13" spans="1:35" ht="19.5" customHeight="1" x14ac:dyDescent="0.2">
      <c r="A13" s="205"/>
      <c r="B13" s="197"/>
      <c r="C13" s="26">
        <v>10</v>
      </c>
      <c r="D13" s="202"/>
      <c r="E13" s="28" t="s">
        <v>48</v>
      </c>
      <c r="F13" s="29" t="s">
        <v>16</v>
      </c>
      <c r="G13" s="29" t="s">
        <v>17</v>
      </c>
      <c r="H13" s="29" t="s">
        <v>44</v>
      </c>
      <c r="I13" s="28" t="s">
        <v>24</v>
      </c>
      <c r="J13" s="30">
        <v>1749</v>
      </c>
      <c r="K13" s="31">
        <v>1</v>
      </c>
      <c r="L13" s="140">
        <f t="shared" si="0"/>
        <v>0</v>
      </c>
      <c r="M13" s="140">
        <f t="shared" si="1"/>
        <v>0</v>
      </c>
      <c r="N13" s="141"/>
      <c r="O13" s="142">
        <f t="shared" si="2"/>
        <v>0</v>
      </c>
      <c r="P13" s="141"/>
      <c r="Q13" s="141"/>
      <c r="R13" s="141"/>
      <c r="S13" s="143">
        <f t="shared" si="3"/>
        <v>1</v>
      </c>
      <c r="T13" s="32" t="str">
        <f t="shared" si="4"/>
        <v>OK</v>
      </c>
      <c r="U13" s="33"/>
      <c r="V13" s="33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</row>
    <row r="14" spans="1:35" ht="25.15" customHeight="1" x14ac:dyDescent="0.2">
      <c r="A14" s="208">
        <v>4</v>
      </c>
      <c r="B14" s="209" t="s">
        <v>49</v>
      </c>
      <c r="C14" s="40">
        <v>11</v>
      </c>
      <c r="D14" s="211" t="s">
        <v>50</v>
      </c>
      <c r="E14" s="39" t="s">
        <v>51</v>
      </c>
      <c r="F14" s="41" t="s">
        <v>16</v>
      </c>
      <c r="G14" s="41" t="s">
        <v>17</v>
      </c>
      <c r="H14" s="41" t="s">
        <v>44</v>
      </c>
      <c r="I14" s="39" t="s">
        <v>53</v>
      </c>
      <c r="J14" s="42">
        <v>19.63</v>
      </c>
      <c r="K14" s="31">
        <v>5</v>
      </c>
      <c r="L14" s="140">
        <f t="shared" si="0"/>
        <v>4</v>
      </c>
      <c r="M14" s="140">
        <f t="shared" si="1"/>
        <v>4</v>
      </c>
      <c r="N14" s="141"/>
      <c r="O14" s="142">
        <f t="shared" si="2"/>
        <v>1</v>
      </c>
      <c r="P14" s="141"/>
      <c r="Q14" s="141"/>
      <c r="R14" s="141"/>
      <c r="S14" s="143">
        <f t="shared" si="3"/>
        <v>1</v>
      </c>
      <c r="T14" s="32" t="str">
        <f t="shared" si="4"/>
        <v>OK</v>
      </c>
      <c r="U14" s="90">
        <v>2</v>
      </c>
      <c r="V14" s="33"/>
      <c r="W14" s="34"/>
      <c r="X14" s="90">
        <v>2</v>
      </c>
      <c r="Y14" s="36"/>
      <c r="Z14" s="36"/>
      <c r="AA14" s="34"/>
      <c r="AB14" s="34"/>
      <c r="AC14" s="34"/>
      <c r="AD14" s="34"/>
      <c r="AE14" s="34"/>
      <c r="AF14" s="34"/>
      <c r="AG14" s="34"/>
      <c r="AH14" s="34"/>
      <c r="AI14" s="34"/>
    </row>
    <row r="15" spans="1:35" ht="22.7" customHeight="1" x14ac:dyDescent="0.2">
      <c r="A15" s="208"/>
      <c r="B15" s="210"/>
      <c r="C15" s="40">
        <v>12</v>
      </c>
      <c r="D15" s="212"/>
      <c r="E15" s="39" t="s">
        <v>52</v>
      </c>
      <c r="F15" s="41" t="s">
        <v>16</v>
      </c>
      <c r="G15" s="41" t="s">
        <v>17</v>
      </c>
      <c r="H15" s="41" t="s">
        <v>44</v>
      </c>
      <c r="I15" s="39" t="s">
        <v>24</v>
      </c>
      <c r="J15" s="42">
        <v>20.27</v>
      </c>
      <c r="K15" s="31">
        <v>5</v>
      </c>
      <c r="L15" s="140">
        <f t="shared" si="0"/>
        <v>0</v>
      </c>
      <c r="M15" s="140">
        <f t="shared" si="1"/>
        <v>0</v>
      </c>
      <c r="N15" s="141"/>
      <c r="O15" s="142">
        <f t="shared" si="2"/>
        <v>1</v>
      </c>
      <c r="P15" s="141"/>
      <c r="Q15" s="141"/>
      <c r="R15" s="141"/>
      <c r="S15" s="143">
        <f t="shared" si="3"/>
        <v>5</v>
      </c>
      <c r="T15" s="32" t="str">
        <f t="shared" si="4"/>
        <v>OK</v>
      </c>
      <c r="U15" s="82"/>
      <c r="V15" s="33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</row>
    <row r="16" spans="1:35" ht="45" customHeight="1" x14ac:dyDescent="0.2">
      <c r="A16" s="48">
        <v>5</v>
      </c>
      <c r="B16" s="28" t="s">
        <v>49</v>
      </c>
      <c r="C16" s="26">
        <v>13</v>
      </c>
      <c r="D16" s="49" t="s">
        <v>54</v>
      </c>
      <c r="E16" s="63" t="s">
        <v>55</v>
      </c>
      <c r="F16" s="50" t="s">
        <v>16</v>
      </c>
      <c r="G16" s="50" t="s">
        <v>17</v>
      </c>
      <c r="H16" s="29" t="s">
        <v>44</v>
      </c>
      <c r="I16" s="28" t="s">
        <v>53</v>
      </c>
      <c r="J16" s="30">
        <v>28.9</v>
      </c>
      <c r="K16" s="31">
        <v>5</v>
      </c>
      <c r="L16" s="140">
        <f t="shared" si="0"/>
        <v>0</v>
      </c>
      <c r="M16" s="140">
        <f t="shared" si="1"/>
        <v>0</v>
      </c>
      <c r="N16" s="141"/>
      <c r="O16" s="142">
        <f t="shared" si="2"/>
        <v>1</v>
      </c>
      <c r="P16" s="141"/>
      <c r="Q16" s="141"/>
      <c r="R16" s="141"/>
      <c r="S16" s="143">
        <f t="shared" si="3"/>
        <v>5</v>
      </c>
      <c r="T16" s="32" t="str">
        <f t="shared" si="4"/>
        <v>OK</v>
      </c>
      <c r="U16" s="82"/>
      <c r="V16" s="33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</row>
    <row r="17" spans="1:35" ht="41.25" customHeight="1" x14ac:dyDescent="0.2">
      <c r="A17" s="38">
        <v>6</v>
      </c>
      <c r="B17" s="47" t="s">
        <v>49</v>
      </c>
      <c r="C17" s="40">
        <v>14</v>
      </c>
      <c r="D17" s="47" t="s">
        <v>57</v>
      </c>
      <c r="E17" s="39" t="s">
        <v>56</v>
      </c>
      <c r="F17" s="41" t="s">
        <v>16</v>
      </c>
      <c r="G17" s="41" t="s">
        <v>17</v>
      </c>
      <c r="H17" s="41" t="s">
        <v>44</v>
      </c>
      <c r="I17" s="39" t="s">
        <v>24</v>
      </c>
      <c r="J17" s="42">
        <v>9.5</v>
      </c>
      <c r="K17" s="31">
        <v>20</v>
      </c>
      <c r="L17" s="140">
        <f t="shared" si="0"/>
        <v>0</v>
      </c>
      <c r="M17" s="140">
        <f t="shared" si="1"/>
        <v>0</v>
      </c>
      <c r="N17" s="141"/>
      <c r="O17" s="142">
        <f t="shared" si="2"/>
        <v>5</v>
      </c>
      <c r="P17" s="141"/>
      <c r="Q17" s="141"/>
      <c r="R17" s="141"/>
      <c r="S17" s="143">
        <f t="shared" si="3"/>
        <v>20</v>
      </c>
      <c r="T17" s="32" t="str">
        <f t="shared" si="4"/>
        <v>OK</v>
      </c>
      <c r="U17" s="82"/>
      <c r="V17" s="35"/>
      <c r="W17" s="45"/>
      <c r="X17" s="34"/>
      <c r="Y17" s="34"/>
      <c r="Z17" s="36"/>
      <c r="AA17" s="34"/>
      <c r="AB17" s="34"/>
      <c r="AC17" s="34"/>
      <c r="AD17" s="34"/>
      <c r="AE17" s="34"/>
      <c r="AF17" s="34"/>
      <c r="AG17" s="34"/>
      <c r="AH17" s="34"/>
      <c r="AI17" s="34"/>
    </row>
    <row r="18" spans="1:35" ht="40.5" customHeight="1" x14ac:dyDescent="0.2">
      <c r="A18" s="65">
        <v>7</v>
      </c>
      <c r="B18" s="28" t="s">
        <v>49</v>
      </c>
      <c r="C18" s="64">
        <v>15</v>
      </c>
      <c r="D18" s="37" t="s">
        <v>58</v>
      </c>
      <c r="E18" s="61" t="s">
        <v>59</v>
      </c>
      <c r="F18" s="29" t="s">
        <v>16</v>
      </c>
      <c r="G18" s="29" t="s">
        <v>17</v>
      </c>
      <c r="H18" s="29" t="s">
        <v>44</v>
      </c>
      <c r="I18" s="28" t="s">
        <v>24</v>
      </c>
      <c r="J18" s="30">
        <v>197.76</v>
      </c>
      <c r="K18" s="31">
        <v>1</v>
      </c>
      <c r="L18" s="140">
        <f t="shared" si="0"/>
        <v>0</v>
      </c>
      <c r="M18" s="140">
        <f t="shared" si="1"/>
        <v>0</v>
      </c>
      <c r="N18" s="141"/>
      <c r="O18" s="142">
        <f t="shared" si="2"/>
        <v>0</v>
      </c>
      <c r="P18" s="141"/>
      <c r="Q18" s="141"/>
      <c r="R18" s="141"/>
      <c r="S18" s="143">
        <f t="shared" si="3"/>
        <v>1</v>
      </c>
      <c r="T18" s="32" t="str">
        <f t="shared" si="4"/>
        <v>OK</v>
      </c>
      <c r="U18" s="82"/>
      <c r="V18" s="35"/>
      <c r="W18" s="45"/>
      <c r="X18" s="34"/>
      <c r="Y18" s="34"/>
      <c r="Z18" s="36"/>
      <c r="AA18" s="34"/>
      <c r="AB18" s="34"/>
      <c r="AC18" s="34"/>
      <c r="AD18" s="34"/>
      <c r="AE18" s="34"/>
      <c r="AF18" s="34"/>
      <c r="AG18" s="34"/>
      <c r="AH18" s="34"/>
      <c r="AI18" s="34"/>
    </row>
    <row r="19" spans="1:35" ht="38.25" customHeight="1" x14ac:dyDescent="0.2">
      <c r="A19" s="188">
        <v>8</v>
      </c>
      <c r="B19" s="190" t="s">
        <v>49</v>
      </c>
      <c r="C19" s="40">
        <v>16</v>
      </c>
      <c r="D19" s="199" t="s">
        <v>12</v>
      </c>
      <c r="E19" s="39" t="s">
        <v>60</v>
      </c>
      <c r="F19" s="41" t="s">
        <v>16</v>
      </c>
      <c r="G19" s="41" t="s">
        <v>17</v>
      </c>
      <c r="H19" s="41" t="s">
        <v>44</v>
      </c>
      <c r="I19" s="39" t="s">
        <v>24</v>
      </c>
      <c r="J19" s="42">
        <v>22.35</v>
      </c>
      <c r="K19" s="31">
        <v>2</v>
      </c>
      <c r="L19" s="140">
        <f t="shared" si="0"/>
        <v>1</v>
      </c>
      <c r="M19" s="140">
        <f t="shared" si="1"/>
        <v>1</v>
      </c>
      <c r="N19" s="141"/>
      <c r="O19" s="142">
        <f t="shared" si="2"/>
        <v>0</v>
      </c>
      <c r="P19" s="141"/>
      <c r="Q19" s="141"/>
      <c r="R19" s="141"/>
      <c r="S19" s="143">
        <f t="shared" si="3"/>
        <v>1</v>
      </c>
      <c r="T19" s="32" t="str">
        <f t="shared" si="4"/>
        <v>OK</v>
      </c>
      <c r="U19" s="90">
        <v>1</v>
      </c>
      <c r="V19" s="35"/>
      <c r="W19" s="45"/>
      <c r="X19" s="34"/>
      <c r="Y19" s="34"/>
      <c r="Z19" s="36"/>
      <c r="AA19" s="34"/>
      <c r="AB19" s="34"/>
      <c r="AC19" s="34"/>
      <c r="AD19" s="34"/>
      <c r="AE19" s="34"/>
      <c r="AF19" s="34"/>
      <c r="AG19" s="34"/>
      <c r="AH19" s="34"/>
      <c r="AI19" s="34"/>
    </row>
    <row r="20" spans="1:35" ht="45" customHeight="1" x14ac:dyDescent="0.2">
      <c r="A20" s="189"/>
      <c r="B20" s="191"/>
      <c r="C20" s="40">
        <v>17</v>
      </c>
      <c r="D20" s="200"/>
      <c r="E20" s="39" t="s">
        <v>61</v>
      </c>
      <c r="F20" s="44" t="s">
        <v>16</v>
      </c>
      <c r="G20" s="44" t="s">
        <v>17</v>
      </c>
      <c r="H20" s="41" t="s">
        <v>44</v>
      </c>
      <c r="I20" s="39" t="s">
        <v>24</v>
      </c>
      <c r="J20" s="42">
        <v>4.5999999999999996</v>
      </c>
      <c r="K20" s="31">
        <v>5</v>
      </c>
      <c r="L20" s="140">
        <f t="shared" si="0"/>
        <v>0</v>
      </c>
      <c r="M20" s="140">
        <f t="shared" si="1"/>
        <v>0</v>
      </c>
      <c r="N20" s="141"/>
      <c r="O20" s="142">
        <f t="shared" si="2"/>
        <v>1</v>
      </c>
      <c r="P20" s="141"/>
      <c r="Q20" s="141"/>
      <c r="R20" s="141"/>
      <c r="S20" s="143">
        <f t="shared" si="3"/>
        <v>5</v>
      </c>
      <c r="T20" s="32" t="str">
        <f t="shared" si="4"/>
        <v>OK</v>
      </c>
      <c r="U20" s="33"/>
      <c r="V20" s="35"/>
      <c r="W20" s="45"/>
      <c r="X20" s="36"/>
      <c r="Y20" s="34"/>
      <c r="Z20" s="45"/>
      <c r="AA20" s="34"/>
      <c r="AB20" s="34"/>
      <c r="AC20" s="34"/>
      <c r="AD20" s="34"/>
      <c r="AE20" s="34"/>
      <c r="AF20" s="34"/>
      <c r="AG20" s="34"/>
      <c r="AH20" s="34"/>
      <c r="AI20" s="34"/>
    </row>
    <row r="21" spans="1:35" ht="58.7" customHeight="1" x14ac:dyDescent="0.2">
      <c r="A21" s="48">
        <v>9</v>
      </c>
      <c r="B21" s="28" t="s">
        <v>62</v>
      </c>
      <c r="C21" s="26">
        <v>18</v>
      </c>
      <c r="D21" s="27" t="s">
        <v>63</v>
      </c>
      <c r="E21" s="28" t="s">
        <v>64</v>
      </c>
      <c r="F21" s="50" t="s">
        <v>16</v>
      </c>
      <c r="G21" s="50" t="s">
        <v>17</v>
      </c>
      <c r="H21" s="29" t="s">
        <v>44</v>
      </c>
      <c r="I21" s="28" t="s">
        <v>24</v>
      </c>
      <c r="J21" s="30">
        <v>3.46</v>
      </c>
      <c r="K21" s="31">
        <v>20</v>
      </c>
      <c r="L21" s="140">
        <f t="shared" si="0"/>
        <v>0</v>
      </c>
      <c r="M21" s="140">
        <f t="shared" si="1"/>
        <v>0</v>
      </c>
      <c r="N21" s="141"/>
      <c r="O21" s="142">
        <f t="shared" si="2"/>
        <v>5</v>
      </c>
      <c r="P21" s="141"/>
      <c r="Q21" s="141"/>
      <c r="R21" s="141"/>
      <c r="S21" s="143">
        <f t="shared" si="3"/>
        <v>20</v>
      </c>
      <c r="T21" s="32" t="str">
        <f t="shared" si="4"/>
        <v>OK</v>
      </c>
      <c r="U21" s="35"/>
      <c r="V21" s="33"/>
      <c r="W21" s="45"/>
      <c r="X21" s="36"/>
      <c r="Y21" s="34"/>
      <c r="Z21" s="45"/>
      <c r="AA21" s="34"/>
      <c r="AB21" s="34"/>
      <c r="AC21" s="34"/>
      <c r="AD21" s="34"/>
      <c r="AE21" s="34"/>
      <c r="AF21" s="34"/>
      <c r="AG21" s="34"/>
      <c r="AH21" s="34"/>
      <c r="AI21" s="34"/>
    </row>
    <row r="22" spans="1:35" ht="45" customHeight="1" x14ac:dyDescent="0.2">
      <c r="A22" s="38">
        <v>10</v>
      </c>
      <c r="B22" s="47" t="s">
        <v>31</v>
      </c>
      <c r="C22" s="40">
        <v>19</v>
      </c>
      <c r="D22" s="47" t="s">
        <v>27</v>
      </c>
      <c r="E22" s="39" t="s">
        <v>23</v>
      </c>
      <c r="F22" s="44" t="s">
        <v>16</v>
      </c>
      <c r="G22" s="44" t="s">
        <v>17</v>
      </c>
      <c r="H22" s="41" t="s">
        <v>44</v>
      </c>
      <c r="I22" s="39" t="s">
        <v>24</v>
      </c>
      <c r="J22" s="42">
        <v>0.4</v>
      </c>
      <c r="K22" s="31">
        <v>500</v>
      </c>
      <c r="L22" s="140">
        <f t="shared" si="0"/>
        <v>0</v>
      </c>
      <c r="M22" s="140">
        <f t="shared" si="1"/>
        <v>0</v>
      </c>
      <c r="N22" s="141"/>
      <c r="O22" s="142">
        <f t="shared" si="2"/>
        <v>125</v>
      </c>
      <c r="P22" s="141"/>
      <c r="Q22" s="141"/>
      <c r="R22" s="141"/>
      <c r="S22" s="143">
        <f t="shared" si="3"/>
        <v>500</v>
      </c>
      <c r="T22" s="32" t="str">
        <f t="shared" si="4"/>
        <v>OK</v>
      </c>
      <c r="U22" s="35"/>
      <c r="V22" s="33"/>
      <c r="W22" s="45"/>
      <c r="X22" s="36"/>
      <c r="Y22" s="34"/>
      <c r="Z22" s="45"/>
      <c r="AA22" s="36"/>
      <c r="AB22" s="34"/>
      <c r="AC22" s="34"/>
      <c r="AD22" s="34"/>
      <c r="AE22" s="34"/>
      <c r="AF22" s="34"/>
      <c r="AG22" s="34"/>
      <c r="AH22" s="34"/>
      <c r="AI22" s="34"/>
    </row>
    <row r="23" spans="1:35" ht="28.15" customHeight="1" x14ac:dyDescent="0.2">
      <c r="A23" s="194">
        <v>11</v>
      </c>
      <c r="B23" s="196" t="s">
        <v>65</v>
      </c>
      <c r="C23" s="26">
        <v>20</v>
      </c>
      <c r="D23" s="201" t="s">
        <v>25</v>
      </c>
      <c r="E23" s="28" t="s">
        <v>19</v>
      </c>
      <c r="F23" s="50" t="s">
        <v>16</v>
      </c>
      <c r="G23" s="50" t="s">
        <v>17</v>
      </c>
      <c r="H23" s="29" t="s">
        <v>44</v>
      </c>
      <c r="I23" s="28" t="s">
        <v>24</v>
      </c>
      <c r="J23" s="30">
        <v>3.95</v>
      </c>
      <c r="K23" s="31">
        <v>0</v>
      </c>
      <c r="L23" s="140">
        <f t="shared" si="0"/>
        <v>0</v>
      </c>
      <c r="M23" s="140">
        <f t="shared" si="1"/>
        <v>0</v>
      </c>
      <c r="N23" s="141"/>
      <c r="O23" s="142">
        <f t="shared" si="2"/>
        <v>0</v>
      </c>
      <c r="P23" s="141"/>
      <c r="Q23" s="141"/>
      <c r="R23" s="141"/>
      <c r="S23" s="143">
        <f t="shared" si="3"/>
        <v>0</v>
      </c>
      <c r="T23" s="32" t="str">
        <f t="shared" si="4"/>
        <v>OK</v>
      </c>
      <c r="U23" s="35"/>
      <c r="V23" s="33"/>
      <c r="W23" s="45"/>
      <c r="X23" s="34"/>
      <c r="Y23" s="34"/>
      <c r="Z23" s="45"/>
      <c r="AA23" s="36"/>
      <c r="AB23" s="34"/>
      <c r="AC23" s="34"/>
      <c r="AD23" s="34"/>
      <c r="AE23" s="34"/>
      <c r="AF23" s="34"/>
      <c r="AG23" s="34"/>
      <c r="AH23" s="34"/>
      <c r="AI23" s="34"/>
    </row>
    <row r="24" spans="1:35" ht="25.15" customHeight="1" x14ac:dyDescent="0.2">
      <c r="A24" s="195"/>
      <c r="B24" s="197"/>
      <c r="C24" s="26">
        <v>21</v>
      </c>
      <c r="D24" s="202"/>
      <c r="E24" s="28" t="s">
        <v>20</v>
      </c>
      <c r="F24" s="50" t="s">
        <v>16</v>
      </c>
      <c r="G24" s="50" t="s">
        <v>17</v>
      </c>
      <c r="H24" s="29" t="s">
        <v>44</v>
      </c>
      <c r="I24" s="28" t="s">
        <v>24</v>
      </c>
      <c r="J24" s="30">
        <v>2.41</v>
      </c>
      <c r="K24" s="31">
        <f>300</f>
        <v>300</v>
      </c>
      <c r="L24" s="140">
        <f t="shared" si="0"/>
        <v>0</v>
      </c>
      <c r="M24" s="140">
        <f t="shared" si="1"/>
        <v>0</v>
      </c>
      <c r="N24" s="141">
        <v>-300</v>
      </c>
      <c r="O24" s="142">
        <f t="shared" si="2"/>
        <v>75</v>
      </c>
      <c r="P24" s="141"/>
      <c r="Q24" s="141"/>
      <c r="R24" s="141"/>
      <c r="S24" s="143">
        <f t="shared" si="3"/>
        <v>0</v>
      </c>
      <c r="T24" s="32" t="str">
        <f t="shared" si="4"/>
        <v>OK</v>
      </c>
      <c r="U24" s="33"/>
      <c r="V24" s="33"/>
      <c r="W24" s="45"/>
      <c r="X24" s="34"/>
      <c r="Y24" s="34"/>
      <c r="Z24" s="45"/>
      <c r="AA24" s="34"/>
      <c r="AB24" s="34"/>
      <c r="AC24" s="34"/>
      <c r="AD24" s="34"/>
      <c r="AE24" s="34"/>
      <c r="AF24" s="34"/>
      <c r="AG24" s="34"/>
      <c r="AH24" s="34"/>
      <c r="AI24" s="34"/>
    </row>
    <row r="25" spans="1:35" ht="26.45" customHeight="1" x14ac:dyDescent="0.2">
      <c r="A25" s="188">
        <v>12</v>
      </c>
      <c r="B25" s="190" t="s">
        <v>62</v>
      </c>
      <c r="C25" s="40">
        <v>22</v>
      </c>
      <c r="D25" s="199" t="s">
        <v>26</v>
      </c>
      <c r="E25" s="39" t="s">
        <v>19</v>
      </c>
      <c r="F25" s="44" t="s">
        <v>16</v>
      </c>
      <c r="G25" s="44" t="s">
        <v>17</v>
      </c>
      <c r="H25" s="41" t="s">
        <v>44</v>
      </c>
      <c r="I25" s="39" t="s">
        <v>24</v>
      </c>
      <c r="J25" s="42">
        <v>2.48</v>
      </c>
      <c r="K25" s="31">
        <v>0</v>
      </c>
      <c r="L25" s="140">
        <f t="shared" si="0"/>
        <v>0</v>
      </c>
      <c r="M25" s="140">
        <f t="shared" si="1"/>
        <v>0</v>
      </c>
      <c r="N25" s="141"/>
      <c r="O25" s="142">
        <f t="shared" si="2"/>
        <v>0</v>
      </c>
      <c r="P25" s="141"/>
      <c r="Q25" s="141"/>
      <c r="R25" s="141"/>
      <c r="S25" s="143">
        <f t="shared" si="3"/>
        <v>0</v>
      </c>
      <c r="T25" s="32" t="str">
        <f t="shared" si="4"/>
        <v>OK</v>
      </c>
      <c r="U25" s="33"/>
      <c r="V25" s="33"/>
      <c r="W25" s="45"/>
      <c r="X25" s="36"/>
      <c r="Y25" s="34"/>
      <c r="Z25" s="45"/>
      <c r="AA25" s="34"/>
      <c r="AB25" s="34"/>
      <c r="AC25" s="34"/>
      <c r="AD25" s="34"/>
      <c r="AE25" s="34"/>
      <c r="AF25" s="34"/>
      <c r="AG25" s="34"/>
      <c r="AH25" s="34"/>
      <c r="AI25" s="34"/>
    </row>
    <row r="26" spans="1:35" ht="24.4" customHeight="1" x14ac:dyDescent="0.2">
      <c r="A26" s="189"/>
      <c r="B26" s="191"/>
      <c r="C26" s="40">
        <v>23</v>
      </c>
      <c r="D26" s="200"/>
      <c r="E26" s="43" t="s">
        <v>20</v>
      </c>
      <c r="F26" s="44" t="s">
        <v>16</v>
      </c>
      <c r="G26" s="44" t="s">
        <v>17</v>
      </c>
      <c r="H26" s="41" t="s">
        <v>44</v>
      </c>
      <c r="I26" s="39" t="s">
        <v>24</v>
      </c>
      <c r="J26" s="42">
        <v>1.2</v>
      </c>
      <c r="K26" s="31">
        <v>300</v>
      </c>
      <c r="L26" s="140">
        <f t="shared" si="0"/>
        <v>101</v>
      </c>
      <c r="M26" s="140">
        <f t="shared" si="1"/>
        <v>101</v>
      </c>
      <c r="N26" s="141">
        <v>-199</v>
      </c>
      <c r="O26" s="142">
        <f t="shared" si="2"/>
        <v>75</v>
      </c>
      <c r="P26" s="141"/>
      <c r="Q26" s="141"/>
      <c r="R26" s="141"/>
      <c r="S26" s="143">
        <f t="shared" si="3"/>
        <v>0</v>
      </c>
      <c r="T26" s="32" t="str">
        <f t="shared" si="4"/>
        <v>OK</v>
      </c>
      <c r="V26" s="33"/>
      <c r="W26" s="90">
        <v>101</v>
      </c>
      <c r="X26" s="34"/>
      <c r="Y26" s="34"/>
      <c r="Z26" s="45"/>
      <c r="AA26" s="34"/>
      <c r="AB26" s="34"/>
      <c r="AC26" s="34"/>
      <c r="AD26" s="34"/>
      <c r="AE26" s="34"/>
      <c r="AF26" s="34"/>
      <c r="AG26" s="34"/>
      <c r="AH26" s="34"/>
      <c r="AI26" s="34"/>
    </row>
    <row r="27" spans="1:35" ht="24" customHeight="1" x14ac:dyDescent="0.2">
      <c r="A27" s="194">
        <v>13</v>
      </c>
      <c r="B27" s="196" t="s">
        <v>65</v>
      </c>
      <c r="C27" s="26">
        <v>24</v>
      </c>
      <c r="D27" s="201" t="s">
        <v>66</v>
      </c>
      <c r="E27" s="28" t="s">
        <v>21</v>
      </c>
      <c r="F27" s="50" t="s">
        <v>16</v>
      </c>
      <c r="G27" s="29" t="s">
        <v>17</v>
      </c>
      <c r="H27" s="29" t="s">
        <v>44</v>
      </c>
      <c r="I27" s="28" t="s">
        <v>24</v>
      </c>
      <c r="J27" s="30">
        <v>0.33</v>
      </c>
      <c r="K27" s="31">
        <v>0</v>
      </c>
      <c r="L27" s="140">
        <f t="shared" si="0"/>
        <v>0</v>
      </c>
      <c r="M27" s="140">
        <f t="shared" si="1"/>
        <v>0</v>
      </c>
      <c r="N27" s="141"/>
      <c r="O27" s="142">
        <f t="shared" si="2"/>
        <v>0</v>
      </c>
      <c r="P27" s="141"/>
      <c r="Q27" s="141"/>
      <c r="R27" s="141"/>
      <c r="S27" s="143">
        <f t="shared" si="3"/>
        <v>0</v>
      </c>
      <c r="T27" s="32" t="str">
        <f t="shared" si="4"/>
        <v>OK</v>
      </c>
      <c r="U27" s="33"/>
      <c r="V27" s="33"/>
      <c r="W27" s="45"/>
      <c r="X27" s="34"/>
      <c r="Y27" s="34"/>
      <c r="Z27" s="45"/>
      <c r="AA27" s="34"/>
      <c r="AB27" s="34"/>
      <c r="AC27" s="34"/>
      <c r="AD27" s="34"/>
      <c r="AE27" s="34"/>
      <c r="AF27" s="34"/>
      <c r="AG27" s="34"/>
      <c r="AH27" s="34"/>
      <c r="AI27" s="34"/>
    </row>
    <row r="28" spans="1:35" ht="30.2" customHeight="1" x14ac:dyDescent="0.2">
      <c r="A28" s="195"/>
      <c r="B28" s="197"/>
      <c r="C28" s="26">
        <v>25</v>
      </c>
      <c r="D28" s="202"/>
      <c r="E28" s="28" t="s">
        <v>22</v>
      </c>
      <c r="F28" s="50" t="s">
        <v>16</v>
      </c>
      <c r="G28" s="50" t="s">
        <v>17</v>
      </c>
      <c r="H28" s="29" t="s">
        <v>44</v>
      </c>
      <c r="I28" s="28" t="s">
        <v>24</v>
      </c>
      <c r="J28" s="30">
        <v>0.15</v>
      </c>
      <c r="K28" s="31">
        <v>0</v>
      </c>
      <c r="L28" s="140">
        <f t="shared" si="0"/>
        <v>0</v>
      </c>
      <c r="M28" s="140">
        <f t="shared" si="1"/>
        <v>0</v>
      </c>
      <c r="N28" s="141"/>
      <c r="O28" s="142">
        <f t="shared" si="2"/>
        <v>0</v>
      </c>
      <c r="P28" s="141"/>
      <c r="Q28" s="141"/>
      <c r="R28" s="141"/>
      <c r="S28" s="143">
        <f t="shared" si="3"/>
        <v>0</v>
      </c>
      <c r="T28" s="32" t="str">
        <f t="shared" si="4"/>
        <v>OK</v>
      </c>
      <c r="U28" s="33"/>
      <c r="V28" s="33"/>
      <c r="W28" s="45"/>
      <c r="X28" s="34"/>
      <c r="Y28" s="34"/>
      <c r="Z28" s="45"/>
      <c r="AA28" s="34"/>
      <c r="AB28" s="34"/>
      <c r="AC28" s="34"/>
      <c r="AD28" s="34"/>
      <c r="AE28" s="34"/>
      <c r="AF28" s="34"/>
      <c r="AG28" s="34"/>
      <c r="AH28" s="34"/>
      <c r="AI28" s="34"/>
    </row>
    <row r="29" spans="1:35" ht="26.45" customHeight="1" x14ac:dyDescent="0.2">
      <c r="A29" s="188">
        <v>14</v>
      </c>
      <c r="B29" s="190" t="s">
        <v>65</v>
      </c>
      <c r="C29" s="40">
        <v>26</v>
      </c>
      <c r="D29" s="192" t="s">
        <v>67</v>
      </c>
      <c r="E29" s="66" t="s">
        <v>21</v>
      </c>
      <c r="F29" s="44" t="s">
        <v>16</v>
      </c>
      <c r="G29" s="44" t="s">
        <v>17</v>
      </c>
      <c r="H29" s="41" t="s">
        <v>44</v>
      </c>
      <c r="I29" s="39" t="s">
        <v>24</v>
      </c>
      <c r="J29" s="42">
        <v>0.33</v>
      </c>
      <c r="K29" s="31">
        <v>500</v>
      </c>
      <c r="L29" s="140">
        <f t="shared" si="0"/>
        <v>0</v>
      </c>
      <c r="M29" s="140">
        <f t="shared" si="1"/>
        <v>0</v>
      </c>
      <c r="N29" s="141"/>
      <c r="O29" s="142">
        <f t="shared" si="2"/>
        <v>125</v>
      </c>
      <c r="P29" s="141"/>
      <c r="Q29" s="141"/>
      <c r="R29" s="141"/>
      <c r="S29" s="143">
        <f t="shared" si="3"/>
        <v>500</v>
      </c>
      <c r="T29" s="32" t="str">
        <f t="shared" si="4"/>
        <v>OK</v>
      </c>
      <c r="U29" s="33"/>
      <c r="V29" s="33"/>
      <c r="W29" s="45"/>
      <c r="X29" s="34"/>
      <c r="Y29" s="34"/>
      <c r="Z29" s="45"/>
      <c r="AA29" s="34"/>
      <c r="AB29" s="34"/>
      <c r="AC29" s="34"/>
      <c r="AD29" s="34"/>
      <c r="AE29" s="34"/>
      <c r="AF29" s="34"/>
      <c r="AG29" s="34"/>
      <c r="AH29" s="34"/>
      <c r="AI29" s="34"/>
    </row>
    <row r="30" spans="1:35" ht="33.950000000000003" customHeight="1" x14ac:dyDescent="0.2">
      <c r="A30" s="189"/>
      <c r="B30" s="191"/>
      <c r="C30" s="40">
        <v>27</v>
      </c>
      <c r="D30" s="193"/>
      <c r="E30" s="66" t="s">
        <v>22</v>
      </c>
      <c r="F30" s="44" t="s">
        <v>16</v>
      </c>
      <c r="G30" s="44" t="s">
        <v>17</v>
      </c>
      <c r="H30" s="41" t="s">
        <v>44</v>
      </c>
      <c r="I30" s="39" t="s">
        <v>24</v>
      </c>
      <c r="J30" s="42">
        <v>0.23</v>
      </c>
      <c r="K30" s="31">
        <v>0</v>
      </c>
      <c r="L30" s="140">
        <f t="shared" si="0"/>
        <v>0</v>
      </c>
      <c r="M30" s="140">
        <f t="shared" si="1"/>
        <v>0</v>
      </c>
      <c r="N30" s="141"/>
      <c r="O30" s="142">
        <f t="shared" si="2"/>
        <v>0</v>
      </c>
      <c r="P30" s="141"/>
      <c r="Q30" s="141"/>
      <c r="R30" s="141"/>
      <c r="S30" s="143">
        <f t="shared" si="3"/>
        <v>0</v>
      </c>
      <c r="T30" s="32" t="str">
        <f t="shared" si="4"/>
        <v>OK</v>
      </c>
      <c r="U30" s="33"/>
      <c r="V30" s="33"/>
      <c r="W30" s="45"/>
      <c r="X30" s="34"/>
      <c r="Y30" s="34"/>
      <c r="Z30" s="45"/>
      <c r="AA30" s="34"/>
      <c r="AB30" s="34"/>
      <c r="AC30" s="34"/>
      <c r="AD30" s="34"/>
      <c r="AE30" s="34"/>
      <c r="AF30" s="34"/>
      <c r="AG30" s="34"/>
      <c r="AH30" s="34"/>
      <c r="AI30" s="34"/>
    </row>
    <row r="31" spans="1:35" ht="27" customHeight="1" x14ac:dyDescent="0.2">
      <c r="A31" s="194">
        <v>15</v>
      </c>
      <c r="B31" s="196" t="s">
        <v>31</v>
      </c>
      <c r="C31" s="68">
        <v>28</v>
      </c>
      <c r="D31" s="198" t="s">
        <v>68</v>
      </c>
      <c r="E31" s="28" t="s">
        <v>21</v>
      </c>
      <c r="F31" s="50" t="s">
        <v>16</v>
      </c>
      <c r="G31" s="50" t="s">
        <v>17</v>
      </c>
      <c r="H31" s="29" t="s">
        <v>44</v>
      </c>
      <c r="I31" s="28" t="s">
        <v>24</v>
      </c>
      <c r="J31" s="30">
        <v>0.4</v>
      </c>
      <c r="K31" s="31">
        <v>500</v>
      </c>
      <c r="L31" s="140">
        <f t="shared" si="0"/>
        <v>500</v>
      </c>
      <c r="M31" s="140">
        <f t="shared" si="1"/>
        <v>500</v>
      </c>
      <c r="N31" s="141"/>
      <c r="O31" s="142">
        <f t="shared" si="2"/>
        <v>125</v>
      </c>
      <c r="P31" s="141"/>
      <c r="Q31" s="141"/>
      <c r="R31" s="141"/>
      <c r="S31" s="143">
        <f t="shared" si="3"/>
        <v>0</v>
      </c>
      <c r="T31" s="32" t="str">
        <f t="shared" si="4"/>
        <v>OK</v>
      </c>
      <c r="U31" s="33"/>
      <c r="V31" s="35"/>
      <c r="W31" s="45"/>
      <c r="X31" s="36"/>
      <c r="Y31" s="90">
        <v>500</v>
      </c>
      <c r="Z31" s="45"/>
      <c r="AA31" s="34"/>
      <c r="AB31" s="34"/>
      <c r="AC31" s="34"/>
      <c r="AD31" s="34"/>
      <c r="AE31" s="34"/>
      <c r="AF31" s="34"/>
      <c r="AG31" s="34"/>
      <c r="AH31" s="34"/>
      <c r="AI31" s="34"/>
    </row>
    <row r="32" spans="1:35" ht="29.25" customHeight="1" x14ac:dyDescent="0.2">
      <c r="A32" s="195"/>
      <c r="B32" s="197"/>
      <c r="C32" s="26">
        <v>29</v>
      </c>
      <c r="D32" s="198"/>
      <c r="E32" s="28" t="s">
        <v>22</v>
      </c>
      <c r="F32" s="50" t="s">
        <v>16</v>
      </c>
      <c r="G32" s="50" t="s">
        <v>17</v>
      </c>
      <c r="H32" s="29" t="s">
        <v>44</v>
      </c>
      <c r="I32" s="28" t="s">
        <v>24</v>
      </c>
      <c r="J32" s="30">
        <v>0.44</v>
      </c>
      <c r="K32" s="31">
        <v>0</v>
      </c>
      <c r="L32" s="140">
        <f t="shared" si="0"/>
        <v>0</v>
      </c>
      <c r="M32" s="140">
        <f t="shared" si="1"/>
        <v>0</v>
      </c>
      <c r="N32" s="141"/>
      <c r="O32" s="142">
        <f t="shared" si="2"/>
        <v>0</v>
      </c>
      <c r="P32" s="141"/>
      <c r="Q32" s="141"/>
      <c r="R32" s="141"/>
      <c r="S32" s="143">
        <f t="shared" si="3"/>
        <v>0</v>
      </c>
      <c r="T32" s="32" t="str">
        <f t="shared" si="4"/>
        <v>OK</v>
      </c>
      <c r="U32" s="33"/>
      <c r="V32" s="33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</row>
    <row r="33" spans="11:35" x14ac:dyDescent="0.2">
      <c r="K33" s="56">
        <f>SUM(K4:K32)</f>
        <v>2222</v>
      </c>
      <c r="S33" s="56">
        <f t="shared" ref="S33" si="5">SUM(S4:S32)</f>
        <v>1116</v>
      </c>
      <c r="U33" s="110">
        <f t="shared" ref="U33:Y33" si="6">SUMPRODUCT($J$4:$J$32,U4:U32)</f>
        <v>61.61</v>
      </c>
      <c r="V33" s="111">
        <f t="shared" si="6"/>
        <v>423</v>
      </c>
      <c r="W33" s="111">
        <f t="shared" si="6"/>
        <v>121.19999999999999</v>
      </c>
      <c r="X33" s="111">
        <f t="shared" si="6"/>
        <v>39.26</v>
      </c>
      <c r="Y33" s="111">
        <f t="shared" si="6"/>
        <v>200</v>
      </c>
      <c r="Z33" s="59">
        <f t="shared" ref="Z33:AI33" si="7">SUMPRODUCT($J$4:$J$32,Z4:Z32)</f>
        <v>0</v>
      </c>
      <c r="AA33" s="59">
        <f t="shared" si="7"/>
        <v>0</v>
      </c>
      <c r="AB33" s="59">
        <f t="shared" si="7"/>
        <v>0</v>
      </c>
      <c r="AC33" s="59">
        <f t="shared" si="7"/>
        <v>0</v>
      </c>
      <c r="AD33" s="59">
        <f t="shared" si="7"/>
        <v>0</v>
      </c>
      <c r="AE33" s="59">
        <f t="shared" si="7"/>
        <v>0</v>
      </c>
      <c r="AF33" s="59">
        <f t="shared" si="7"/>
        <v>0</v>
      </c>
      <c r="AG33" s="59">
        <f t="shared" si="7"/>
        <v>0</v>
      </c>
      <c r="AH33" s="59">
        <f t="shared" si="7"/>
        <v>0</v>
      </c>
      <c r="AI33" s="59">
        <f t="shared" si="7"/>
        <v>0</v>
      </c>
    </row>
    <row r="34" spans="11:35" x14ac:dyDescent="0.2">
      <c r="K34" s="148">
        <f>SUMPRODUCT($J$4:$J$32,K4:K32)</f>
        <v>8490.7099999999991</v>
      </c>
      <c r="L34" s="148">
        <f t="shared" ref="L34:M34" si="8">SUMPRODUCT($J$4:$J$32,L4:L32)</f>
        <v>845.06999999999994</v>
      </c>
      <c r="M34" s="148">
        <f t="shared" si="8"/>
        <v>845.06999999999994</v>
      </c>
    </row>
  </sheetData>
  <mergeCells count="50">
    <mergeCell ref="W1:W2"/>
    <mergeCell ref="A1:C1"/>
    <mergeCell ref="D1:J1"/>
    <mergeCell ref="K1:T1"/>
    <mergeCell ref="U1:U2"/>
    <mergeCell ref="V1:V2"/>
    <mergeCell ref="K2:T2"/>
    <mergeCell ref="A2:J2"/>
    <mergeCell ref="AI1:AI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4:A8"/>
    <mergeCell ref="B4:B8"/>
    <mergeCell ref="D4:D8"/>
    <mergeCell ref="A9:A10"/>
    <mergeCell ref="B9:B10"/>
    <mergeCell ref="D9:D10"/>
    <mergeCell ref="A11:A13"/>
    <mergeCell ref="B11:B13"/>
    <mergeCell ref="D11:D13"/>
    <mergeCell ref="A14:A15"/>
    <mergeCell ref="B14:B15"/>
    <mergeCell ref="D14:D15"/>
    <mergeCell ref="A19:A20"/>
    <mergeCell ref="B19:B20"/>
    <mergeCell ref="D19:D20"/>
    <mergeCell ref="A23:A24"/>
    <mergeCell ref="B23:B24"/>
    <mergeCell ref="D23:D24"/>
    <mergeCell ref="A25:A26"/>
    <mergeCell ref="B25:B26"/>
    <mergeCell ref="D25:D26"/>
    <mergeCell ref="A27:A28"/>
    <mergeCell ref="B27:B28"/>
    <mergeCell ref="D27:D28"/>
    <mergeCell ref="A29:A30"/>
    <mergeCell ref="B29:B30"/>
    <mergeCell ref="D29:D30"/>
    <mergeCell ref="A31:A32"/>
    <mergeCell ref="B31:B32"/>
    <mergeCell ref="D31:D32"/>
  </mergeCells>
  <pageMargins left="0.511811024" right="0.511811024" top="0.78740157499999996" bottom="0.78740157499999996" header="0.31496062000000002" footer="0.31496062000000002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61B0-1C60-48C0-B45D-2BBBE81FA627}">
  <dimension ref="A1:S42"/>
  <sheetViews>
    <sheetView tabSelected="1" zoomScale="80" zoomScaleNormal="80" workbookViewId="0">
      <selection activeCell="C8" sqref="C8"/>
    </sheetView>
  </sheetViews>
  <sheetFormatPr defaultColWidth="9.7109375" defaultRowHeight="12.75" x14ac:dyDescent="0.2"/>
  <cols>
    <col min="1" max="1" width="7.7109375" style="53" customWidth="1"/>
    <col min="2" max="2" width="15" style="53" customWidth="1"/>
    <col min="3" max="3" width="5.5703125" style="53" bestFit="1" customWidth="1"/>
    <col min="4" max="4" width="30.85546875" style="54" customWidth="1"/>
    <col min="5" max="5" width="10.85546875" style="53" bestFit="1" customWidth="1"/>
    <col min="6" max="6" width="17" style="53" customWidth="1"/>
    <col min="7" max="8" width="14.85546875" style="53" customWidth="1"/>
    <col min="9" max="9" width="9.42578125" style="53" customWidth="1"/>
    <col min="10" max="10" width="12.7109375" style="55" bestFit="1" customWidth="1"/>
    <col min="11" max="13" width="13.28515625" style="56" customWidth="1"/>
    <col min="14" max="14" width="13.7109375" style="56" bestFit="1" customWidth="1"/>
    <col min="15" max="15" width="13.28515625" style="56" customWidth="1"/>
    <col min="16" max="16" width="9.7109375" style="57" customWidth="1"/>
    <col min="17" max="17" width="20" style="18" bestFit="1" customWidth="1"/>
    <col min="18" max="18" width="12" style="18" customWidth="1"/>
    <col min="19" max="19" width="18.42578125" style="18" bestFit="1" customWidth="1"/>
    <col min="20" max="16384" width="9.7109375" style="18"/>
  </cols>
  <sheetData>
    <row r="1" spans="1:19" ht="34.5" customHeight="1" x14ac:dyDescent="0.2">
      <c r="A1" s="219" t="s">
        <v>69</v>
      </c>
      <c r="B1" s="220"/>
      <c r="C1" s="221"/>
      <c r="D1" s="220" t="s">
        <v>32</v>
      </c>
      <c r="E1" s="220"/>
      <c r="F1" s="220"/>
      <c r="G1" s="220"/>
      <c r="H1" s="220"/>
      <c r="I1" s="220"/>
      <c r="J1" s="221"/>
      <c r="K1" s="263" t="s">
        <v>33</v>
      </c>
      <c r="L1" s="264"/>
      <c r="M1" s="264"/>
      <c r="N1" s="264"/>
      <c r="O1" s="264"/>
      <c r="P1" s="264"/>
      <c r="Q1" s="264"/>
      <c r="R1" s="264"/>
      <c r="S1" s="264"/>
    </row>
    <row r="2" spans="1:19" ht="13.7" customHeight="1" x14ac:dyDescent="0.2">
      <c r="A2" s="265" t="s">
        <v>86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</row>
    <row r="3" spans="1:19" s="25" customFormat="1" ht="45" x14ac:dyDescent="0.2">
      <c r="A3" s="19" t="s">
        <v>5</v>
      </c>
      <c r="B3" s="19" t="s">
        <v>18</v>
      </c>
      <c r="C3" s="69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43</v>
      </c>
      <c r="I3" s="20" t="s">
        <v>4</v>
      </c>
      <c r="J3" s="21" t="s">
        <v>28</v>
      </c>
      <c r="K3" s="149" t="s">
        <v>6</v>
      </c>
      <c r="L3" s="150" t="s">
        <v>192</v>
      </c>
      <c r="M3" s="151" t="s">
        <v>193</v>
      </c>
      <c r="N3" s="151" t="s">
        <v>194</v>
      </c>
      <c r="O3" s="151" t="s">
        <v>195</v>
      </c>
      <c r="P3" s="152" t="s">
        <v>196</v>
      </c>
      <c r="Q3" s="153" t="s">
        <v>197</v>
      </c>
      <c r="R3" s="153" t="s">
        <v>198</v>
      </c>
      <c r="S3" s="153" t="s">
        <v>7</v>
      </c>
    </row>
    <row r="4" spans="1:19" ht="23.25" customHeight="1" x14ac:dyDescent="0.2">
      <c r="A4" s="203">
        <v>1</v>
      </c>
      <c r="B4" s="196" t="s">
        <v>31</v>
      </c>
      <c r="C4" s="26">
        <v>1</v>
      </c>
      <c r="D4" s="201" t="s">
        <v>34</v>
      </c>
      <c r="E4" s="28" t="s">
        <v>35</v>
      </c>
      <c r="F4" s="29" t="s">
        <v>16</v>
      </c>
      <c r="G4" s="29" t="s">
        <v>17</v>
      </c>
      <c r="H4" s="29" t="s">
        <v>44</v>
      </c>
      <c r="I4" s="28" t="s">
        <v>24</v>
      </c>
      <c r="J4" s="30">
        <v>12.15</v>
      </c>
      <c r="K4" s="31">
        <f>'Reitoria-SECOM'!K4+'Reitoria-SCII'!K4+'Reitoria-BU'!K4+'Reitoria-PROEX'!K4+MUSEU!K4+ESAG!K4+CEART!K4+FAED!K4+CEAD!K4+CEFID!K4+CAV!K4+CEO!K4+CEPLAN!K4+CEAVI!K4+CCT!K4+CERES!K4+CESFI!K4+CESMO!K4</f>
        <v>350</v>
      </c>
      <c r="L4" s="154">
        <f>'Reitoria-SECOM'!L4+'Reitoria-SCII'!L4+'Reitoria-BU'!L4+'Reitoria-PROEX'!L4+MUSEU!L4+ESAG!L4+CEART!L4+FAED!L4+CEAD!L4+CEFID!L4+CAV!L4+CEO!L4+CEPLAN!L4+CEAVI!L4+CCT!L4+CERES!L4+CESFI!L4+CESMO!L4</f>
        <v>60</v>
      </c>
      <c r="M4" s="154">
        <f>'Reitoria-SECOM'!M4+'Reitoria-SCII'!M4+'Reitoria-BU'!M4+'Reitoria-PROEX'!M4+MUSEU!M4+ESAG!M4+CEART!M4+FAED!M4+CEAD!M4+CEFID!M4+CAV!M4+CEO!M4+CEPLAN!M4+CEAVI!M4+CCT!M4+CERES!M4+CESFI!M4+CESMO!M4</f>
        <v>60</v>
      </c>
      <c r="N4" s="156">
        <f>ROUND(K4*0.25-0.5-O4,0)</f>
        <v>87</v>
      </c>
      <c r="O4" s="155">
        <f>'Reitoria-PROEX'!P4+'Reitoria-SECOM'!P4+'Reitoria-PROEX'!Q4+'Reitoria-SECOM'!Q4+'Reitoria-SCII'!P4+'Reitoria-SCII'!Q4+'Reitoria-BU'!P4+'Reitoria-BU'!Q4+MUSEU!P4+MUSEU!Q4+ESAG!P4+ESAG!Q4+CEART!P4+CEART!Q4+FAED!P4+FAED!Q4+CEAD!P4+CEAD!Q4+CEFID!P4+CEFID!Q4+CAV!P4+CAV!Q4+CEO!P4+CEO!Q4+CEPLAN!P4+CEPLAN!Q4+CEAVI!P4+CEAVI!Q4+CCT!P4+CCT!Q4+CERES!P4+CERES!Q4+CESFI!P4+CESFI!Q4+CESMO!P4+CESMO!Q4</f>
        <v>0</v>
      </c>
      <c r="P4" s="70">
        <f>K4-M4+O4</f>
        <v>290</v>
      </c>
      <c r="Q4" s="71">
        <f>J4*K4</f>
        <v>4252.5</v>
      </c>
      <c r="R4" s="71">
        <f>O4*J4</f>
        <v>0</v>
      </c>
      <c r="S4" s="71">
        <f>J4*M4</f>
        <v>729</v>
      </c>
    </row>
    <row r="5" spans="1:19" ht="26.45" customHeight="1" x14ac:dyDescent="0.2">
      <c r="A5" s="204"/>
      <c r="B5" s="206"/>
      <c r="C5" s="26">
        <v>2</v>
      </c>
      <c r="D5" s="207"/>
      <c r="E5" s="28" t="s">
        <v>36</v>
      </c>
      <c r="F5" s="29" t="s">
        <v>16</v>
      </c>
      <c r="G5" s="29" t="s">
        <v>17</v>
      </c>
      <c r="H5" s="29" t="s">
        <v>44</v>
      </c>
      <c r="I5" s="28" t="s">
        <v>24</v>
      </c>
      <c r="J5" s="30">
        <v>40.5</v>
      </c>
      <c r="K5" s="31">
        <f>'Reitoria-SECOM'!K5+'Reitoria-SCII'!K5+'Reitoria-BU'!K5+'Reitoria-PROEX'!K5+MUSEU!K5+ESAG!K5+CEART!K5+FAED!K5+CEAD!K5+CEFID!K5+CAV!K5+CEO!K5+CEPLAN!K5+CEAVI!K5+CCT!K5+CERES!K5+CESFI!K5+CESMO!K5</f>
        <v>729</v>
      </c>
      <c r="L5" s="154">
        <f>'Reitoria-SECOM'!L5+'Reitoria-SCII'!L5+'Reitoria-BU'!L5+'Reitoria-PROEX'!L5+MUSEU!L5+ESAG!L5+CEART!L5+FAED!L5+CEAD!L5+CEFID!L5+CAV!L5+CEO!L5+CEPLAN!L5+CEAVI!L5+CCT!L5+CERES!L5+CESFI!L5+CESMO!L5</f>
        <v>340</v>
      </c>
      <c r="M5" s="154">
        <f>'Reitoria-SECOM'!M5+'Reitoria-SCII'!M5+'Reitoria-BU'!M5+'Reitoria-PROEX'!M5+MUSEU!M5+ESAG!M5+CEART!M5+FAED!M5+CEAD!M5+CEFID!M5+CAV!M5+CEO!M5+CEPLAN!M5+CEAVI!M5+CCT!M5+CERES!M5+CESFI!M5+CESMO!M5</f>
        <v>340</v>
      </c>
      <c r="N5" s="156">
        <f t="shared" ref="N5:N32" si="0">ROUND(K5*0.25-0.5-O5,0)</f>
        <v>182</v>
      </c>
      <c r="O5" s="155">
        <f>'Reitoria-PROEX'!P5+'Reitoria-SECOM'!P5+'Reitoria-PROEX'!Q5+'Reitoria-SECOM'!Q5+'Reitoria-SCII'!P5+'Reitoria-SCII'!Q5+'Reitoria-BU'!P5+'Reitoria-BU'!Q5+MUSEU!P5+MUSEU!Q5+ESAG!P5+ESAG!Q5+CEART!P5+CEART!Q5+FAED!P5+FAED!Q5+CEAD!P5+CEAD!Q5+CEFID!P5+CEFID!Q5+CAV!P5+CAV!Q5+CEO!P5+CEO!Q5+CEPLAN!P5+CEPLAN!Q5+CEAVI!P5+CEAVI!Q5+CCT!P5+CCT!Q5+CERES!P5+CERES!Q5+CESFI!P5+CESFI!Q5+CESMO!P5+CESMO!Q5</f>
        <v>0</v>
      </c>
      <c r="P5" s="70">
        <f t="shared" ref="P5:P32" si="1">K5-M5+O5</f>
        <v>389</v>
      </c>
      <c r="Q5" s="71">
        <f t="shared" ref="Q5:Q32" si="2">J5*K5</f>
        <v>29524.5</v>
      </c>
      <c r="R5" s="71">
        <f t="shared" ref="R5:R32" si="3">O5*J5</f>
        <v>0</v>
      </c>
      <c r="S5" s="71">
        <f t="shared" ref="S5:S32" si="4">J5*M5</f>
        <v>13770</v>
      </c>
    </row>
    <row r="6" spans="1:19" ht="24" customHeight="1" x14ac:dyDescent="0.2">
      <c r="A6" s="204"/>
      <c r="B6" s="206"/>
      <c r="C6" s="26">
        <v>3</v>
      </c>
      <c r="D6" s="207"/>
      <c r="E6" s="28" t="s">
        <v>37</v>
      </c>
      <c r="F6" s="29" t="s">
        <v>16</v>
      </c>
      <c r="G6" s="29" t="s">
        <v>17</v>
      </c>
      <c r="H6" s="29" t="s">
        <v>44</v>
      </c>
      <c r="I6" s="28" t="s">
        <v>24</v>
      </c>
      <c r="J6" s="30">
        <v>49.5</v>
      </c>
      <c r="K6" s="31">
        <f>'Reitoria-SECOM'!K6+'Reitoria-SCII'!K6+'Reitoria-BU'!K6+'Reitoria-PROEX'!K6+MUSEU!K6+ESAG!K6+CEART!K6+FAED!K6+CEAD!K6+CEFID!K6+CAV!K6+CEO!K6+CEPLAN!K6+CEAVI!K6+CCT!K6+CERES!K6+CESFI!K6+CESMO!K6</f>
        <v>408</v>
      </c>
      <c r="L6" s="154">
        <f>'Reitoria-SECOM'!L6+'Reitoria-SCII'!L6+'Reitoria-BU'!L6+'Reitoria-PROEX'!L6+MUSEU!L6+ESAG!L6+CEART!L6+FAED!L6+CEAD!L6+CEFID!L6+CAV!L6+CEO!L6+CEPLAN!L6+CEAVI!L6+CCT!L6+CERES!L6+CESFI!L6+CESMO!L6</f>
        <v>120</v>
      </c>
      <c r="M6" s="154">
        <f>'Reitoria-SECOM'!M6+'Reitoria-SCII'!M6+'Reitoria-BU'!M6+'Reitoria-PROEX'!M6+MUSEU!M6+ESAG!M6+CEART!M6+FAED!M6+CEAD!M6+CEFID!M6+CAV!M6+CEO!M6+CEPLAN!M6+CEAVI!M6+CCT!M6+CERES!M6+CESFI!M6+CESMO!M6</f>
        <v>120</v>
      </c>
      <c r="N6" s="156">
        <f t="shared" si="0"/>
        <v>102</v>
      </c>
      <c r="O6" s="155">
        <f>'Reitoria-PROEX'!P6+'Reitoria-SECOM'!P6+'Reitoria-PROEX'!Q6+'Reitoria-SECOM'!Q6+'Reitoria-SCII'!P6+'Reitoria-SCII'!Q6+'Reitoria-BU'!P6+'Reitoria-BU'!Q6+MUSEU!P6+MUSEU!Q6+ESAG!P6+ESAG!Q6+CEART!P6+CEART!Q6+FAED!P6+FAED!Q6+CEAD!P6+CEAD!Q6+CEFID!P6+CEFID!Q6+CAV!P6+CAV!Q6+CEO!P6+CEO!Q6+CEPLAN!P6+CEPLAN!Q6+CEAVI!P6+CEAVI!Q6+CCT!P6+CCT!Q6+CERES!P6+CERES!Q6+CESFI!P6+CESFI!Q6+CESMO!P6+CESMO!Q6</f>
        <v>0</v>
      </c>
      <c r="P6" s="70">
        <f t="shared" si="1"/>
        <v>288</v>
      </c>
      <c r="Q6" s="71">
        <f t="shared" si="2"/>
        <v>20196</v>
      </c>
      <c r="R6" s="71">
        <f t="shared" si="3"/>
        <v>0</v>
      </c>
      <c r="S6" s="71">
        <f t="shared" si="4"/>
        <v>5940</v>
      </c>
    </row>
    <row r="7" spans="1:19" ht="24" customHeight="1" x14ac:dyDescent="0.2">
      <c r="A7" s="204"/>
      <c r="B7" s="206"/>
      <c r="C7" s="26">
        <v>4</v>
      </c>
      <c r="D7" s="207"/>
      <c r="E7" s="28" t="s">
        <v>38</v>
      </c>
      <c r="F7" s="29" t="s">
        <v>16</v>
      </c>
      <c r="G7" s="29" t="s">
        <v>17</v>
      </c>
      <c r="H7" s="29" t="s">
        <v>44</v>
      </c>
      <c r="I7" s="28" t="s">
        <v>24</v>
      </c>
      <c r="J7" s="30">
        <v>53</v>
      </c>
      <c r="K7" s="31">
        <f>'Reitoria-SECOM'!K7+'Reitoria-SCII'!K7+'Reitoria-BU'!K7+'Reitoria-PROEX'!K7+MUSEU!K7+ESAG!K7+CEART!K7+FAED!K7+CEAD!K7+CEFID!K7+CAV!K7+CEO!K7+CEPLAN!K7+CEAVI!K7+CCT!K7+CERES!K7+CESFI!K7+CESMO!K7</f>
        <v>250</v>
      </c>
      <c r="L7" s="154">
        <f>'Reitoria-SECOM'!L7+'Reitoria-SCII'!L7+'Reitoria-BU'!L7+'Reitoria-PROEX'!L7+MUSEU!L7+ESAG!L7+CEART!L7+FAED!L7+CEAD!L7+CEFID!L7+CAV!L7+CEO!L7+CEPLAN!L7+CEAVI!L7+CCT!L7+CERES!L7+CESFI!L7+CESMO!L7</f>
        <v>111</v>
      </c>
      <c r="M7" s="154">
        <f>'Reitoria-SECOM'!M7+'Reitoria-SCII'!M7+'Reitoria-BU'!M7+'Reitoria-PROEX'!M7+MUSEU!M7+ESAG!M7+CEART!M7+FAED!M7+CEAD!M7+CEFID!M7+CAV!M7+CEO!M7+CEPLAN!M7+CEAVI!M7+CCT!M7+CERES!M7+CESFI!M7+CESMO!M7</f>
        <v>111</v>
      </c>
      <c r="N7" s="156">
        <f t="shared" si="0"/>
        <v>62</v>
      </c>
      <c r="O7" s="155">
        <f>'Reitoria-PROEX'!P7+'Reitoria-SECOM'!P7+'Reitoria-PROEX'!Q7+'Reitoria-SECOM'!Q7+'Reitoria-SCII'!P7+'Reitoria-SCII'!Q7+'Reitoria-BU'!P7+'Reitoria-BU'!Q7+MUSEU!P7+MUSEU!Q7+ESAG!P7+ESAG!Q7+CEART!P7+CEART!Q7+FAED!P7+FAED!Q7+CEAD!P7+CEAD!Q7+CEFID!P7+CEFID!Q7+CAV!P7+CAV!Q7+CEO!P7+CEO!Q7+CEPLAN!P7+CEPLAN!Q7+CEAVI!P7+CEAVI!Q7+CCT!P7+CCT!Q7+CERES!P7+CERES!Q7+CESFI!P7+CESFI!Q7+CESMO!P7+CESMO!Q7</f>
        <v>0</v>
      </c>
      <c r="P7" s="70">
        <f t="shared" si="1"/>
        <v>139</v>
      </c>
      <c r="Q7" s="71">
        <f t="shared" si="2"/>
        <v>13250</v>
      </c>
      <c r="R7" s="71">
        <f t="shared" si="3"/>
        <v>0</v>
      </c>
      <c r="S7" s="71">
        <f t="shared" si="4"/>
        <v>5883</v>
      </c>
    </row>
    <row r="8" spans="1:19" ht="19.5" customHeight="1" x14ac:dyDescent="0.2">
      <c r="A8" s="205"/>
      <c r="B8" s="197"/>
      <c r="C8" s="26">
        <v>5</v>
      </c>
      <c r="D8" s="202"/>
      <c r="E8" s="28" t="s">
        <v>39</v>
      </c>
      <c r="F8" s="29" t="s">
        <v>16</v>
      </c>
      <c r="G8" s="29" t="s">
        <v>17</v>
      </c>
      <c r="H8" s="29" t="s">
        <v>44</v>
      </c>
      <c r="I8" s="28" t="s">
        <v>24</v>
      </c>
      <c r="J8" s="30">
        <v>30.4</v>
      </c>
      <c r="K8" s="31">
        <f>'Reitoria-SECOM'!K8+'Reitoria-SCII'!K8+'Reitoria-BU'!K8+'Reitoria-PROEX'!K8+MUSEU!K8+ESAG!K8+CEART!K8+FAED!K8+CEAD!K8+CEFID!K8+CAV!K8+CEO!K8+CEPLAN!K8+CEAVI!K8+CCT!K8+CERES!K8+CESFI!K8+CESMO!K8</f>
        <v>1667</v>
      </c>
      <c r="L8" s="154">
        <f>'Reitoria-SECOM'!L8+'Reitoria-SCII'!L8+'Reitoria-BU'!L8+'Reitoria-PROEX'!L8+MUSEU!L8+ESAG!L8+CEART!L8+FAED!L8+CEAD!L8+CEFID!L8+CAV!L8+CEO!L8+CEPLAN!L8+CEAVI!L8+CCT!L8+CERES!L8+CESFI!L8+CESMO!L8</f>
        <v>565</v>
      </c>
      <c r="M8" s="154">
        <f>'Reitoria-SECOM'!M8+'Reitoria-SCII'!M8+'Reitoria-BU'!M8+'Reitoria-PROEX'!M8+MUSEU!M8+ESAG!M8+CEART!M8+FAED!M8+CEAD!M8+CEFID!M8+CAV!M8+CEO!M8+CEPLAN!M8+CEAVI!M8+CCT!M8+CERES!M8+CESFI!M8+CESMO!M8</f>
        <v>565</v>
      </c>
      <c r="N8" s="156">
        <f t="shared" si="0"/>
        <v>416</v>
      </c>
      <c r="O8" s="155">
        <f>'Reitoria-PROEX'!P8+'Reitoria-SECOM'!P8+'Reitoria-PROEX'!Q8+'Reitoria-SECOM'!Q8+'Reitoria-SCII'!P8+'Reitoria-SCII'!Q8+'Reitoria-BU'!P8+'Reitoria-BU'!Q8+MUSEU!P8+MUSEU!Q8+ESAG!P8+ESAG!Q8+CEART!P8+CEART!Q8+FAED!P8+FAED!Q8+CEAD!P8+CEAD!Q8+CEFID!P8+CEFID!Q8+CAV!P8+CAV!Q8+CEO!P8+CEO!Q8+CEPLAN!P8+CEPLAN!Q8+CEAVI!P8+CEAVI!Q8+CCT!P8+CCT!Q8+CERES!P8+CERES!Q8+CESFI!P8+CESFI!Q8+CESMO!P8+CESMO!Q8</f>
        <v>0</v>
      </c>
      <c r="P8" s="70">
        <f t="shared" si="1"/>
        <v>1102</v>
      </c>
      <c r="Q8" s="71">
        <f t="shared" si="2"/>
        <v>50676.799999999996</v>
      </c>
      <c r="R8" s="71">
        <f t="shared" si="3"/>
        <v>0</v>
      </c>
      <c r="S8" s="71">
        <f t="shared" si="4"/>
        <v>17176</v>
      </c>
    </row>
    <row r="9" spans="1:19" ht="21.75" customHeight="1" x14ac:dyDescent="0.2">
      <c r="A9" s="216">
        <v>2</v>
      </c>
      <c r="B9" s="190" t="s">
        <v>31</v>
      </c>
      <c r="C9" s="40">
        <v>6</v>
      </c>
      <c r="D9" s="199" t="s">
        <v>40</v>
      </c>
      <c r="E9" s="39" t="s">
        <v>35</v>
      </c>
      <c r="F9" s="41" t="s">
        <v>16</v>
      </c>
      <c r="G9" s="41" t="s">
        <v>17</v>
      </c>
      <c r="H9" s="41" t="s">
        <v>44</v>
      </c>
      <c r="I9" s="39" t="s">
        <v>24</v>
      </c>
      <c r="J9" s="42">
        <v>14.21</v>
      </c>
      <c r="K9" s="31">
        <f>'Reitoria-SECOM'!K9+'Reitoria-SCII'!K9+'Reitoria-BU'!K9+'Reitoria-PROEX'!K9+MUSEU!K9+ESAG!K9+CEART!K9+FAED!K9+CEAD!K9+CEFID!K9+CAV!K9+CEO!K9+CEPLAN!K9+CEAVI!K9+CCT!K9+CERES!K9+CESFI!K9+CESMO!K9</f>
        <v>218</v>
      </c>
      <c r="L9" s="154">
        <f>'Reitoria-SECOM'!L9+'Reitoria-SCII'!L9+'Reitoria-BU'!L9+'Reitoria-PROEX'!L9+MUSEU!L9+ESAG!L9+CEART!L9+FAED!L9+CEAD!L9+CEFID!L9+CAV!L9+CEO!L9+CEPLAN!L9+CEAVI!L9+CCT!L9+CERES!L9+CESFI!L9+CESMO!L9</f>
        <v>45</v>
      </c>
      <c r="M9" s="154">
        <f>'Reitoria-SECOM'!M9+'Reitoria-SCII'!M9+'Reitoria-BU'!M9+'Reitoria-PROEX'!M9+MUSEU!M9+ESAG!M9+CEART!M9+FAED!M9+CEAD!M9+CEFID!M9+CAV!M9+CEO!M9+CEPLAN!M9+CEAVI!M9+CCT!M9+CERES!M9+CESFI!M9+CESMO!M9</f>
        <v>45</v>
      </c>
      <c r="N9" s="156">
        <f t="shared" si="0"/>
        <v>54</v>
      </c>
      <c r="O9" s="155">
        <f>'Reitoria-PROEX'!P9+'Reitoria-SECOM'!P9+'Reitoria-PROEX'!Q9+'Reitoria-SECOM'!Q9+'Reitoria-SCII'!P9+'Reitoria-SCII'!Q9+'Reitoria-BU'!P9+'Reitoria-BU'!Q9+MUSEU!P9+MUSEU!Q9+ESAG!P9+ESAG!Q9+CEART!P9+CEART!Q9+FAED!P9+FAED!Q9+CEAD!P9+CEAD!Q9+CEFID!P9+CEFID!Q9+CAV!P9+CAV!Q9+CEO!P9+CEO!Q9+CEPLAN!P9+CEPLAN!Q9+CEAVI!P9+CEAVI!Q9+CCT!P9+CCT!Q9+CERES!P9+CERES!Q9+CESFI!P9+CESFI!Q9+CESMO!P9+CESMO!Q9</f>
        <v>0</v>
      </c>
      <c r="P9" s="70">
        <f t="shared" si="1"/>
        <v>173</v>
      </c>
      <c r="Q9" s="71">
        <f t="shared" si="2"/>
        <v>3097.78</v>
      </c>
      <c r="R9" s="71">
        <f t="shared" si="3"/>
        <v>0</v>
      </c>
      <c r="S9" s="71">
        <f t="shared" si="4"/>
        <v>639.45000000000005</v>
      </c>
    </row>
    <row r="10" spans="1:19" ht="20.25" customHeight="1" x14ac:dyDescent="0.2">
      <c r="A10" s="217"/>
      <c r="B10" s="191"/>
      <c r="C10" s="40">
        <v>7</v>
      </c>
      <c r="D10" s="200"/>
      <c r="E10" s="39" t="s">
        <v>41</v>
      </c>
      <c r="F10" s="41" t="s">
        <v>16</v>
      </c>
      <c r="G10" s="41" t="s">
        <v>17</v>
      </c>
      <c r="H10" s="41" t="s">
        <v>44</v>
      </c>
      <c r="I10" s="39" t="s">
        <v>24</v>
      </c>
      <c r="J10" s="42">
        <v>20.9</v>
      </c>
      <c r="K10" s="31">
        <f>'Reitoria-SECOM'!K10+'Reitoria-SCII'!K10+'Reitoria-BU'!K10+'Reitoria-PROEX'!K10+MUSEU!K10+ESAG!K10+CEART!K10+FAED!K10+CEAD!K10+CEFID!K10+CAV!K10+CEO!K10+CEPLAN!K10+CEAVI!K10+CCT!K10+CERES!K10+CESFI!K10+CESMO!K10</f>
        <v>569</v>
      </c>
      <c r="L10" s="154">
        <f>'Reitoria-SECOM'!L10+'Reitoria-SCII'!L10+'Reitoria-BU'!L10+'Reitoria-PROEX'!L10+MUSEU!L10+ESAG!L10+CEART!L10+FAED!L10+CEAD!L10+CEFID!L10+CAV!L10+CEO!L10+CEPLAN!L10+CEAVI!L10+CCT!L10+CERES!L10+CESFI!L10+CESMO!L10</f>
        <v>266</v>
      </c>
      <c r="M10" s="154">
        <f>'Reitoria-SECOM'!M10+'Reitoria-SCII'!M10+'Reitoria-BU'!M10+'Reitoria-PROEX'!M10+MUSEU!M10+ESAG!M10+CEART!M10+FAED!M10+CEAD!M10+CEFID!M10+CAV!M10+CEO!M10+CEPLAN!M10+CEAVI!M10+CCT!M10+CERES!M10+CESFI!M10+CESMO!M10</f>
        <v>266</v>
      </c>
      <c r="N10" s="156">
        <f t="shared" si="0"/>
        <v>142</v>
      </c>
      <c r="O10" s="155">
        <f>'Reitoria-PROEX'!P10+'Reitoria-SECOM'!P10+'Reitoria-PROEX'!Q10+'Reitoria-SECOM'!Q10+'Reitoria-SCII'!P10+'Reitoria-SCII'!Q10+'Reitoria-BU'!P10+'Reitoria-BU'!Q10+MUSEU!P10+MUSEU!Q10+ESAG!P10+ESAG!Q10+CEART!P10+CEART!Q10+FAED!P10+FAED!Q10+CEAD!P10+CEAD!Q10+CEFID!P10+CEFID!Q10+CAV!P10+CAV!Q10+CEO!P10+CEO!Q10+CEPLAN!P10+CEPLAN!Q10+CEAVI!P10+CEAVI!Q10+CCT!P10+CCT!Q10+CERES!P10+CERES!Q10+CESFI!P10+CESFI!Q10+CESMO!P10+CESMO!Q10</f>
        <v>0</v>
      </c>
      <c r="P10" s="70">
        <f t="shared" si="1"/>
        <v>303</v>
      </c>
      <c r="Q10" s="71">
        <f t="shared" si="2"/>
        <v>11892.099999999999</v>
      </c>
      <c r="R10" s="71">
        <f t="shared" si="3"/>
        <v>0</v>
      </c>
      <c r="S10" s="71">
        <f t="shared" si="4"/>
        <v>5559.4</v>
      </c>
    </row>
    <row r="11" spans="1:19" ht="25.5" x14ac:dyDescent="0.2">
      <c r="A11" s="203">
        <v>3</v>
      </c>
      <c r="B11" s="196" t="s">
        <v>42</v>
      </c>
      <c r="C11" s="26">
        <v>8</v>
      </c>
      <c r="D11" s="201" t="s">
        <v>45</v>
      </c>
      <c r="E11" s="28" t="s">
        <v>46</v>
      </c>
      <c r="F11" s="29" t="s">
        <v>16</v>
      </c>
      <c r="G11" s="29" t="s">
        <v>17</v>
      </c>
      <c r="H11" s="29" t="s">
        <v>44</v>
      </c>
      <c r="I11" s="28" t="s">
        <v>24</v>
      </c>
      <c r="J11" s="30">
        <v>423</v>
      </c>
      <c r="K11" s="31">
        <f>'Reitoria-SECOM'!K11+'Reitoria-SCII'!K11+'Reitoria-BU'!K11+'Reitoria-PROEX'!K11+MUSEU!K11+ESAG!K11+CEART!K11+FAED!K11+CEAD!K11+CEFID!K11+CAV!K11+CEO!K11+CEPLAN!K11+CEAVI!K11+CCT!K11+CERES!K11+CESFI!K11+CESMO!K11</f>
        <v>102</v>
      </c>
      <c r="L11" s="154">
        <f>'Reitoria-SECOM'!L11+'Reitoria-SCII'!L11+'Reitoria-BU'!L11+'Reitoria-PROEX'!L11+MUSEU!L11+ESAG!L11+CEART!L11+FAED!L11+CEAD!L11+CEFID!L11+CAV!L11+CEO!L11+CEPLAN!L11+CEAVI!L11+CCT!L11+CERES!L11+CESFI!L11+CESMO!L11</f>
        <v>27</v>
      </c>
      <c r="M11" s="154">
        <f>'Reitoria-SECOM'!M11+'Reitoria-SCII'!M11+'Reitoria-BU'!M11+'Reitoria-PROEX'!M11+MUSEU!M11+ESAG!M11+CEART!M11+FAED!M11+CEAD!M11+CEFID!M11+CAV!M11+CEO!M11+CEPLAN!M11+CEAVI!M11+CCT!M11+CERES!M11+CESFI!M11+CESMO!M11</f>
        <v>27</v>
      </c>
      <c r="N11" s="156">
        <f t="shared" si="0"/>
        <v>25</v>
      </c>
      <c r="O11" s="155">
        <f>'Reitoria-PROEX'!P11+'Reitoria-SECOM'!P11+'Reitoria-PROEX'!Q11+'Reitoria-SECOM'!Q11+'Reitoria-SCII'!P11+'Reitoria-SCII'!Q11+'Reitoria-BU'!P11+'Reitoria-BU'!Q11+MUSEU!P11+MUSEU!Q11+ESAG!P11+ESAG!Q11+CEART!P11+CEART!Q11+FAED!P11+FAED!Q11+CEAD!P11+CEAD!Q11+CEFID!P11+CEFID!Q11+CAV!P11+CAV!Q11+CEO!P11+CEO!Q11+CEPLAN!P11+CEPLAN!Q11+CEAVI!P11+CEAVI!Q11+CCT!P11+CCT!Q11+CERES!P11+CERES!Q11+CESFI!P11+CESFI!Q11+CESMO!P11+CESMO!Q11</f>
        <v>0</v>
      </c>
      <c r="P11" s="70">
        <f t="shared" si="1"/>
        <v>75</v>
      </c>
      <c r="Q11" s="71">
        <f t="shared" si="2"/>
        <v>43146</v>
      </c>
      <c r="R11" s="71">
        <f t="shared" si="3"/>
        <v>0</v>
      </c>
      <c r="S11" s="71">
        <f t="shared" si="4"/>
        <v>11421</v>
      </c>
    </row>
    <row r="12" spans="1:19" ht="21.2" customHeight="1" x14ac:dyDescent="0.2">
      <c r="A12" s="204"/>
      <c r="B12" s="206"/>
      <c r="C12" s="26">
        <v>9</v>
      </c>
      <c r="D12" s="207"/>
      <c r="E12" s="28" t="s">
        <v>47</v>
      </c>
      <c r="F12" s="29" t="s">
        <v>16</v>
      </c>
      <c r="G12" s="29" t="s">
        <v>17</v>
      </c>
      <c r="H12" s="29" t="s">
        <v>44</v>
      </c>
      <c r="I12" s="28" t="s">
        <v>24</v>
      </c>
      <c r="J12" s="30">
        <v>1613</v>
      </c>
      <c r="K12" s="31">
        <f>'Reitoria-SECOM'!K12+'Reitoria-SCII'!K12+'Reitoria-BU'!K12+'Reitoria-PROEX'!K12+MUSEU!K12+ESAG!K12+CEART!K12+FAED!K12+CEAD!K12+CEFID!K12+CAV!K12+CEO!K12+CEPLAN!K12+CEAVI!K12+CCT!K12+CERES!K12+CESFI!K12+CESMO!K12</f>
        <v>79</v>
      </c>
      <c r="L12" s="154">
        <f>'Reitoria-SECOM'!L12+'Reitoria-SCII'!L12+'Reitoria-BU'!L12+'Reitoria-PROEX'!L12+MUSEU!L12+ESAG!L12+CEART!L12+FAED!L12+CEAD!L12+CEFID!L12+CAV!L12+CEO!L12+CEPLAN!L12+CEAVI!L12+CCT!L12+CERES!L12+CESFI!L12+CESMO!L12</f>
        <v>23</v>
      </c>
      <c r="M12" s="154">
        <f>'Reitoria-SECOM'!M12+'Reitoria-SCII'!M12+'Reitoria-BU'!M12+'Reitoria-PROEX'!M12+MUSEU!M12+ESAG!M12+CEART!M12+FAED!M12+CEAD!M12+CEFID!M12+CAV!M12+CEO!M12+CEPLAN!M12+CEAVI!M12+CCT!M12+CERES!M12+CESFI!M12+CESMO!M12</f>
        <v>23</v>
      </c>
      <c r="N12" s="156">
        <f t="shared" si="0"/>
        <v>19</v>
      </c>
      <c r="O12" s="155">
        <f>'Reitoria-PROEX'!P12+'Reitoria-SECOM'!P12+'Reitoria-PROEX'!Q12+'Reitoria-SECOM'!Q12+'Reitoria-SCII'!P12+'Reitoria-SCII'!Q12+'Reitoria-BU'!P12+'Reitoria-BU'!Q12+MUSEU!P12+MUSEU!Q12+ESAG!P12+ESAG!Q12+CEART!P12+CEART!Q12+FAED!P12+FAED!Q12+CEAD!P12+CEAD!Q12+CEFID!P12+CEFID!Q12+CAV!P12+CAV!Q12+CEO!P12+CEO!Q12+CEPLAN!P12+CEPLAN!Q12+CEAVI!P12+CEAVI!Q12+CCT!P12+CCT!Q12+CERES!P12+CERES!Q12+CESFI!P12+CESFI!Q12+CESMO!P12+CESMO!Q12</f>
        <v>0</v>
      </c>
      <c r="P12" s="70">
        <f t="shared" si="1"/>
        <v>56</v>
      </c>
      <c r="Q12" s="71">
        <f t="shared" si="2"/>
        <v>127427</v>
      </c>
      <c r="R12" s="71">
        <f t="shared" si="3"/>
        <v>0</v>
      </c>
      <c r="S12" s="71">
        <f t="shared" si="4"/>
        <v>37099</v>
      </c>
    </row>
    <row r="13" spans="1:19" ht="19.5" customHeight="1" x14ac:dyDescent="0.2">
      <c r="A13" s="205"/>
      <c r="B13" s="197"/>
      <c r="C13" s="26">
        <v>10</v>
      </c>
      <c r="D13" s="202"/>
      <c r="E13" s="28" t="s">
        <v>48</v>
      </c>
      <c r="F13" s="29" t="s">
        <v>16</v>
      </c>
      <c r="G13" s="29" t="s">
        <v>17</v>
      </c>
      <c r="H13" s="29" t="s">
        <v>44</v>
      </c>
      <c r="I13" s="28" t="s">
        <v>24</v>
      </c>
      <c r="J13" s="30">
        <v>1749</v>
      </c>
      <c r="K13" s="31">
        <f>'Reitoria-SECOM'!K13+'Reitoria-SCII'!K13+'Reitoria-BU'!K13+'Reitoria-PROEX'!K13+MUSEU!K13+ESAG!K13+CEART!K13+FAED!K13+CEAD!K13+CEFID!K13+CAV!K13+CEO!K13+CEPLAN!K13+CEAVI!K13+CCT!K13+CERES!K13+CESFI!K13+CESMO!K13</f>
        <v>74</v>
      </c>
      <c r="L13" s="154">
        <f>'Reitoria-SECOM'!L13+'Reitoria-SCII'!L13+'Reitoria-BU'!L13+'Reitoria-PROEX'!L13+MUSEU!L13+ESAG!L13+CEART!L13+FAED!L13+CEAD!L13+CEFID!L13+CAV!L13+CEO!L13+CEPLAN!L13+CEAVI!L13+CCT!L13+CERES!L13+CESFI!L13+CESMO!L13</f>
        <v>39</v>
      </c>
      <c r="M13" s="154">
        <f>'Reitoria-SECOM'!M13+'Reitoria-SCII'!M13+'Reitoria-BU'!M13+'Reitoria-PROEX'!M13+MUSEU!M13+ESAG!M13+CEART!M13+FAED!M13+CEAD!M13+CEFID!M13+CAV!M13+CEO!M13+CEPLAN!M13+CEAVI!M13+CCT!M13+CERES!M13+CESFI!M13+CESMO!M13</f>
        <v>39</v>
      </c>
      <c r="N13" s="156">
        <f t="shared" si="0"/>
        <v>18</v>
      </c>
      <c r="O13" s="155">
        <f>'Reitoria-PROEX'!P13+'Reitoria-SECOM'!P13+'Reitoria-PROEX'!Q13+'Reitoria-SECOM'!Q13+'Reitoria-SCII'!P13+'Reitoria-SCII'!Q13+'Reitoria-BU'!P13+'Reitoria-BU'!Q13+MUSEU!P13+MUSEU!Q13+ESAG!P13+ESAG!Q13+CEART!P13+CEART!Q13+FAED!P13+FAED!Q13+CEAD!P13+CEAD!Q13+CEFID!P13+CEFID!Q13+CAV!P13+CAV!Q13+CEO!P13+CEO!Q13+CEPLAN!P13+CEPLAN!Q13+CEAVI!P13+CEAVI!Q13+CCT!P13+CCT!Q13+CERES!P13+CERES!Q13+CESFI!P13+CESFI!Q13+CESMO!P13+CESMO!Q13</f>
        <v>0</v>
      </c>
      <c r="P13" s="70">
        <f t="shared" si="1"/>
        <v>35</v>
      </c>
      <c r="Q13" s="71">
        <f t="shared" si="2"/>
        <v>129426</v>
      </c>
      <c r="R13" s="71">
        <f t="shared" si="3"/>
        <v>0</v>
      </c>
      <c r="S13" s="71">
        <f t="shared" si="4"/>
        <v>68211</v>
      </c>
    </row>
    <row r="14" spans="1:19" ht="25.15" customHeight="1" x14ac:dyDescent="0.2">
      <c r="A14" s="208">
        <v>4</v>
      </c>
      <c r="B14" s="209" t="s">
        <v>49</v>
      </c>
      <c r="C14" s="40">
        <v>11</v>
      </c>
      <c r="D14" s="211" t="s">
        <v>50</v>
      </c>
      <c r="E14" s="39" t="s">
        <v>51</v>
      </c>
      <c r="F14" s="41" t="s">
        <v>16</v>
      </c>
      <c r="G14" s="41" t="s">
        <v>17</v>
      </c>
      <c r="H14" s="41" t="s">
        <v>44</v>
      </c>
      <c r="I14" s="39" t="s">
        <v>53</v>
      </c>
      <c r="J14" s="42">
        <v>19.63</v>
      </c>
      <c r="K14" s="31">
        <f>'Reitoria-SECOM'!K14+'Reitoria-SCII'!K14+'Reitoria-BU'!K14+'Reitoria-PROEX'!K14+MUSEU!K14+ESAG!K14+CEART!K14+FAED!K14+CEAD!K14+CEFID!K14+CAV!K14+CEO!K14+CEPLAN!K14+CEAVI!K14+CCT!K14+CERES!K14+CESFI!K14+CESMO!K14</f>
        <v>3982</v>
      </c>
      <c r="L14" s="154">
        <f>'Reitoria-SECOM'!L14+'Reitoria-SCII'!L14+'Reitoria-BU'!L14+'Reitoria-PROEX'!L14+MUSEU!L14+ESAG!L14+CEART!L14+FAED!L14+CEAD!L14+CEFID!L14+CAV!L14+CEO!L14+CEPLAN!L14+CEAVI!L14+CCT!L14+CERES!L14+CESFI!L14+CESMO!L14</f>
        <v>172</v>
      </c>
      <c r="M14" s="154">
        <f>'Reitoria-SECOM'!M14+'Reitoria-SCII'!M14+'Reitoria-BU'!M14+'Reitoria-PROEX'!M14+MUSEU!M14+ESAG!M14+CEART!M14+FAED!M14+CEAD!M14+CEFID!M14+CAV!M14+CEO!M14+CEPLAN!M14+CEAVI!M14+CCT!M14+CERES!M14+CESFI!M14+CESMO!M14</f>
        <v>172</v>
      </c>
      <c r="N14" s="156">
        <f t="shared" si="0"/>
        <v>995</v>
      </c>
      <c r="O14" s="155">
        <f>'Reitoria-PROEX'!P14+'Reitoria-SECOM'!P14+'Reitoria-PROEX'!Q14+'Reitoria-SECOM'!Q14+'Reitoria-SCII'!P14+'Reitoria-SCII'!Q14+'Reitoria-BU'!P14+'Reitoria-BU'!Q14+MUSEU!P14+MUSEU!Q14+ESAG!P14+ESAG!Q14+CEART!P14+CEART!Q14+FAED!P14+FAED!Q14+CEAD!P14+CEAD!Q14+CEFID!P14+CEFID!Q14+CAV!P14+CAV!Q14+CEO!P14+CEO!Q14+CEPLAN!P14+CEPLAN!Q14+CEAVI!P14+CEAVI!Q14+CCT!P14+CCT!Q14+CERES!P14+CERES!Q14+CESFI!P14+CESFI!Q14+CESMO!P14+CESMO!Q14</f>
        <v>0</v>
      </c>
      <c r="P14" s="70">
        <f t="shared" si="1"/>
        <v>3810</v>
      </c>
      <c r="Q14" s="71">
        <f t="shared" si="2"/>
        <v>78166.659999999989</v>
      </c>
      <c r="R14" s="71">
        <f t="shared" si="3"/>
        <v>0</v>
      </c>
      <c r="S14" s="71">
        <f t="shared" si="4"/>
        <v>3376.3599999999997</v>
      </c>
    </row>
    <row r="15" spans="1:19" ht="22.7" customHeight="1" x14ac:dyDescent="0.2">
      <c r="A15" s="208"/>
      <c r="B15" s="210"/>
      <c r="C15" s="40">
        <v>12</v>
      </c>
      <c r="D15" s="212"/>
      <c r="E15" s="39" t="s">
        <v>52</v>
      </c>
      <c r="F15" s="41" t="s">
        <v>16</v>
      </c>
      <c r="G15" s="41" t="s">
        <v>17</v>
      </c>
      <c r="H15" s="41" t="s">
        <v>44</v>
      </c>
      <c r="I15" s="39" t="s">
        <v>24</v>
      </c>
      <c r="J15" s="42">
        <v>20.27</v>
      </c>
      <c r="K15" s="31">
        <f>'Reitoria-SECOM'!K15+'Reitoria-SCII'!K15+'Reitoria-BU'!K15+'Reitoria-PROEX'!K15+MUSEU!K15+ESAG!K15+CEART!K15+FAED!K15+CEAD!K15+CEFID!K15+CAV!K15+CEO!K15+CEPLAN!K15+CEAVI!K15+CCT!K15+CERES!K15+CESFI!K15+CESMO!K15</f>
        <v>633</v>
      </c>
      <c r="L15" s="154">
        <f>'Reitoria-SECOM'!L15+'Reitoria-SCII'!L15+'Reitoria-BU'!L15+'Reitoria-PROEX'!L15+MUSEU!L15+ESAG!L15+CEART!L15+FAED!L15+CEAD!L15+CEFID!L15+CAV!L15+CEO!L15+CEPLAN!L15+CEAVI!L15+CCT!L15+CERES!L15+CESFI!L15+CESMO!L15</f>
        <v>120</v>
      </c>
      <c r="M15" s="154">
        <f>'Reitoria-SECOM'!M15+'Reitoria-SCII'!M15+'Reitoria-BU'!M15+'Reitoria-PROEX'!M15+MUSEU!M15+ESAG!M15+CEART!M15+FAED!M15+CEAD!M15+CEFID!M15+CAV!M15+CEO!M15+CEPLAN!M15+CEAVI!M15+CCT!M15+CERES!M15+CESFI!M15+CESMO!M15</f>
        <v>120</v>
      </c>
      <c r="N15" s="156">
        <f t="shared" si="0"/>
        <v>158</v>
      </c>
      <c r="O15" s="155">
        <f>'Reitoria-PROEX'!P15+'Reitoria-SECOM'!P15+'Reitoria-PROEX'!Q15+'Reitoria-SECOM'!Q15+'Reitoria-SCII'!P15+'Reitoria-SCII'!Q15+'Reitoria-BU'!P15+'Reitoria-BU'!Q15+MUSEU!P15+MUSEU!Q15+ESAG!P15+ESAG!Q15+CEART!P15+CEART!Q15+FAED!P15+FAED!Q15+CEAD!P15+CEAD!Q15+CEFID!P15+CEFID!Q15+CAV!P15+CAV!Q15+CEO!P15+CEO!Q15+CEPLAN!P15+CEPLAN!Q15+CEAVI!P15+CEAVI!Q15+CCT!P15+CCT!Q15+CERES!P15+CERES!Q15+CESFI!P15+CESFI!Q15+CESMO!P15+CESMO!Q15</f>
        <v>0</v>
      </c>
      <c r="P15" s="70">
        <f t="shared" si="1"/>
        <v>513</v>
      </c>
      <c r="Q15" s="71">
        <f t="shared" si="2"/>
        <v>12830.91</v>
      </c>
      <c r="R15" s="71">
        <f t="shared" si="3"/>
        <v>0</v>
      </c>
      <c r="S15" s="71">
        <f t="shared" si="4"/>
        <v>2432.4</v>
      </c>
    </row>
    <row r="16" spans="1:19" ht="45" customHeight="1" x14ac:dyDescent="0.2">
      <c r="A16" s="48">
        <v>5</v>
      </c>
      <c r="B16" s="28" t="s">
        <v>49</v>
      </c>
      <c r="C16" s="26">
        <v>13</v>
      </c>
      <c r="D16" s="51" t="s">
        <v>54</v>
      </c>
      <c r="E16" s="63" t="s">
        <v>55</v>
      </c>
      <c r="F16" s="50" t="s">
        <v>16</v>
      </c>
      <c r="G16" s="50" t="s">
        <v>17</v>
      </c>
      <c r="H16" s="29" t="s">
        <v>44</v>
      </c>
      <c r="I16" s="28" t="s">
        <v>53</v>
      </c>
      <c r="J16" s="30">
        <v>28.9</v>
      </c>
      <c r="K16" s="31">
        <f>'Reitoria-SECOM'!K16+'Reitoria-SCII'!K16+'Reitoria-BU'!K16+'Reitoria-PROEX'!K16+MUSEU!K16+ESAG!K16+CEART!K16+FAED!K16+CEAD!K16+CEFID!K16+CAV!K16+CEO!K16+CEPLAN!K16+CEAVI!K16+CCT!K16+CERES!K16+CESFI!K16+CESMO!K16</f>
        <v>1453</v>
      </c>
      <c r="L16" s="154">
        <f>'Reitoria-SECOM'!L16+'Reitoria-SCII'!L16+'Reitoria-BU'!L16+'Reitoria-PROEX'!L16+MUSEU!L16+ESAG!L16+CEART!L16+FAED!L16+CEAD!L16+CEFID!L16+CAV!L16+CEO!L16+CEPLAN!L16+CEAVI!L16+CCT!L16+CERES!L16+CESFI!L16+CESMO!L16</f>
        <v>510</v>
      </c>
      <c r="M16" s="154">
        <f>'Reitoria-SECOM'!M16+'Reitoria-SCII'!M16+'Reitoria-BU'!M16+'Reitoria-PROEX'!M16+MUSEU!M16+ESAG!M16+CEART!M16+FAED!M16+CEAD!M16+CEFID!M16+CAV!M16+CEO!M16+CEPLAN!M16+CEAVI!M16+CCT!M16+CERES!M16+CESFI!M16+CESMO!M16</f>
        <v>510</v>
      </c>
      <c r="N16" s="156">
        <f t="shared" si="0"/>
        <v>363</v>
      </c>
      <c r="O16" s="155">
        <f>'Reitoria-PROEX'!P16+'Reitoria-SECOM'!P16+'Reitoria-PROEX'!Q16+'Reitoria-SECOM'!Q16+'Reitoria-SCII'!P16+'Reitoria-SCII'!Q16+'Reitoria-BU'!P16+'Reitoria-BU'!Q16+MUSEU!P16+MUSEU!Q16+ESAG!P16+ESAG!Q16+CEART!P16+CEART!Q16+FAED!P16+FAED!Q16+CEAD!P16+CEAD!Q16+CEFID!P16+CEFID!Q16+CAV!P16+CAV!Q16+CEO!P16+CEO!Q16+CEPLAN!P16+CEPLAN!Q16+CEAVI!P16+CEAVI!Q16+CCT!P16+CCT!Q16+CERES!P16+CERES!Q16+CESFI!P16+CESFI!Q16+CESMO!P16+CESMO!Q16</f>
        <v>0</v>
      </c>
      <c r="P16" s="70">
        <f t="shared" si="1"/>
        <v>943</v>
      </c>
      <c r="Q16" s="71">
        <f t="shared" si="2"/>
        <v>41991.7</v>
      </c>
      <c r="R16" s="71">
        <f t="shared" si="3"/>
        <v>0</v>
      </c>
      <c r="S16" s="71">
        <f t="shared" si="4"/>
        <v>14739</v>
      </c>
    </row>
    <row r="17" spans="1:19" ht="121.7" customHeight="1" x14ac:dyDescent="0.2">
      <c r="A17" s="46">
        <v>6</v>
      </c>
      <c r="B17" s="47" t="s">
        <v>49</v>
      </c>
      <c r="C17" s="40">
        <v>14</v>
      </c>
      <c r="D17" s="47" t="s">
        <v>57</v>
      </c>
      <c r="E17" s="39" t="s">
        <v>56</v>
      </c>
      <c r="F17" s="41" t="s">
        <v>16</v>
      </c>
      <c r="G17" s="41" t="s">
        <v>17</v>
      </c>
      <c r="H17" s="41" t="s">
        <v>44</v>
      </c>
      <c r="I17" s="39" t="s">
        <v>24</v>
      </c>
      <c r="J17" s="42">
        <v>9.5</v>
      </c>
      <c r="K17" s="31">
        <f>'Reitoria-SECOM'!K17+'Reitoria-SCII'!K17+'Reitoria-BU'!K17+'Reitoria-PROEX'!K17+MUSEU!K17+ESAG!K17+CEART!K17+FAED!K17+CEAD!K17+CEFID!K17+CAV!K17+CEO!K17+CEPLAN!K17+CEAVI!K17+CCT!K17+CERES!K17+CESFI!K17+CESMO!K17</f>
        <v>6520</v>
      </c>
      <c r="L17" s="154">
        <f>'Reitoria-SECOM'!L17+'Reitoria-SCII'!L17+'Reitoria-BU'!L17+'Reitoria-PROEX'!L17+MUSEU!L17+ESAG!L17+CEART!L17+FAED!L17+CEAD!L17+CEFID!L17+CAV!L17+CEO!L17+CEPLAN!L17+CEAVI!L17+CCT!L17+CERES!L17+CESFI!L17+CESMO!L17</f>
        <v>1406</v>
      </c>
      <c r="M17" s="154">
        <f>'Reitoria-SECOM'!M17+'Reitoria-SCII'!M17+'Reitoria-BU'!M17+'Reitoria-PROEX'!M17+MUSEU!M17+ESAG!M17+CEART!M17+FAED!M17+CEAD!M17+CEFID!M17+CAV!M17+CEO!M17+CEPLAN!M17+CEAVI!M17+CCT!M17+CERES!M17+CESFI!M17+CESMO!M17</f>
        <v>1406</v>
      </c>
      <c r="N17" s="156">
        <f t="shared" si="0"/>
        <v>1630</v>
      </c>
      <c r="O17" s="155">
        <f>'Reitoria-PROEX'!P17+'Reitoria-SECOM'!P17+'Reitoria-PROEX'!Q17+'Reitoria-SECOM'!Q17+'Reitoria-SCII'!P17+'Reitoria-SCII'!Q17+'Reitoria-BU'!P17+'Reitoria-BU'!Q17+MUSEU!P17+MUSEU!Q17+ESAG!P17+ESAG!Q17+CEART!P17+CEART!Q17+FAED!P17+FAED!Q17+CEAD!P17+CEAD!Q17+CEFID!P17+CEFID!Q17+CAV!P17+CAV!Q17+CEO!P17+CEO!Q17+CEPLAN!P17+CEPLAN!Q17+CEAVI!P17+CEAVI!Q17+CCT!P17+CCT!Q17+CERES!P17+CERES!Q17+CESFI!P17+CESFI!Q17+CESMO!P17+CESMO!Q17</f>
        <v>0</v>
      </c>
      <c r="P17" s="70">
        <f t="shared" si="1"/>
        <v>5114</v>
      </c>
      <c r="Q17" s="71">
        <f t="shared" si="2"/>
        <v>61940</v>
      </c>
      <c r="R17" s="71">
        <f t="shared" si="3"/>
        <v>0</v>
      </c>
      <c r="S17" s="71">
        <f t="shared" si="4"/>
        <v>13357</v>
      </c>
    </row>
    <row r="18" spans="1:19" ht="102" x14ac:dyDescent="0.2">
      <c r="A18" s="65">
        <v>7</v>
      </c>
      <c r="B18" s="28" t="s">
        <v>49</v>
      </c>
      <c r="C18" s="64">
        <v>15</v>
      </c>
      <c r="D18" s="62" t="s">
        <v>58</v>
      </c>
      <c r="E18" s="61" t="s">
        <v>59</v>
      </c>
      <c r="F18" s="29" t="s">
        <v>16</v>
      </c>
      <c r="G18" s="29" t="s">
        <v>17</v>
      </c>
      <c r="H18" s="29" t="s">
        <v>44</v>
      </c>
      <c r="I18" s="28" t="s">
        <v>24</v>
      </c>
      <c r="J18" s="30">
        <v>197.76</v>
      </c>
      <c r="K18" s="31">
        <f>'Reitoria-SECOM'!K18+'Reitoria-SCII'!K18+'Reitoria-BU'!K18+'Reitoria-PROEX'!K18+MUSEU!K18+ESAG!K18+CEART!K18+FAED!K18+CEAD!K18+CEFID!K18+CAV!K18+CEO!K18+CEPLAN!K18+CEAVI!K18+CCT!K18+CERES!K18+CESFI!K18+CESMO!K18</f>
        <v>895</v>
      </c>
      <c r="L18" s="154">
        <f>'Reitoria-SECOM'!L18+'Reitoria-SCII'!L18+'Reitoria-BU'!L18+'Reitoria-PROEX'!L18+MUSEU!L18+ESAG!L18+CEART!L18+FAED!L18+CEAD!L18+CEFID!L18+CAV!L18+CEO!L18+CEPLAN!L18+CEAVI!L18+CCT!L18+CERES!L18+CESFI!L18+CESMO!L18</f>
        <v>220</v>
      </c>
      <c r="M18" s="154">
        <f>'Reitoria-SECOM'!M18+'Reitoria-SCII'!M18+'Reitoria-BU'!M18+'Reitoria-PROEX'!M18+MUSEU!M18+ESAG!M18+CEART!M18+FAED!M18+CEAD!M18+CEFID!M18+CAV!M18+CEO!M18+CEPLAN!M18+CEAVI!M18+CCT!M18+CERES!M18+CESFI!M18+CESMO!M18</f>
        <v>220</v>
      </c>
      <c r="N18" s="156">
        <f t="shared" si="0"/>
        <v>223</v>
      </c>
      <c r="O18" s="155">
        <f>'Reitoria-PROEX'!P18+'Reitoria-SECOM'!P18+'Reitoria-PROEX'!Q18+'Reitoria-SECOM'!Q18+'Reitoria-SCII'!P18+'Reitoria-SCII'!Q18+'Reitoria-BU'!P18+'Reitoria-BU'!Q18+MUSEU!P18+MUSEU!Q18+ESAG!P18+ESAG!Q18+CEART!P18+CEART!Q18+FAED!P18+FAED!Q18+CEAD!P18+CEAD!Q18+CEFID!P18+CEFID!Q18+CAV!P18+CAV!Q18+CEO!P18+CEO!Q18+CEPLAN!P18+CEPLAN!Q18+CEAVI!P18+CEAVI!Q18+CCT!P18+CCT!Q18+CERES!P18+CERES!Q18+CESFI!P18+CESFI!Q18+CESMO!P18+CESMO!Q18</f>
        <v>0</v>
      </c>
      <c r="P18" s="70">
        <f t="shared" si="1"/>
        <v>675</v>
      </c>
      <c r="Q18" s="71">
        <f t="shared" si="2"/>
        <v>176995.19999999998</v>
      </c>
      <c r="R18" s="71">
        <f t="shared" si="3"/>
        <v>0</v>
      </c>
      <c r="S18" s="71">
        <f t="shared" si="4"/>
        <v>43507.199999999997</v>
      </c>
    </row>
    <row r="19" spans="1:19" ht="38.25" customHeight="1" x14ac:dyDescent="0.2">
      <c r="A19" s="188">
        <v>8</v>
      </c>
      <c r="B19" s="190" t="s">
        <v>49</v>
      </c>
      <c r="C19" s="40">
        <v>16</v>
      </c>
      <c r="D19" s="199" t="s">
        <v>12</v>
      </c>
      <c r="E19" s="39" t="s">
        <v>60</v>
      </c>
      <c r="F19" s="41" t="s">
        <v>16</v>
      </c>
      <c r="G19" s="41" t="s">
        <v>17</v>
      </c>
      <c r="H19" s="41" t="s">
        <v>44</v>
      </c>
      <c r="I19" s="39" t="s">
        <v>24</v>
      </c>
      <c r="J19" s="42">
        <v>22.35</v>
      </c>
      <c r="K19" s="31">
        <f>'Reitoria-SECOM'!K19+'Reitoria-SCII'!K19+'Reitoria-BU'!K19+'Reitoria-PROEX'!K19+MUSEU!K19+ESAG!K19+CEART!K19+FAED!K19+CEAD!K19+CEFID!K19+CAV!K19+CEO!K19+CEPLAN!K19+CEAVI!K19+CCT!K19+CERES!K19+CESFI!K19+CESMO!K19</f>
        <v>820</v>
      </c>
      <c r="L19" s="154">
        <f>'Reitoria-SECOM'!L19+'Reitoria-SCII'!L19+'Reitoria-BU'!L19+'Reitoria-PROEX'!L19+MUSEU!L19+ESAG!L19+CEART!L19+FAED!L19+CEAD!L19+CEFID!L19+CAV!L19+CEO!L19+CEPLAN!L19+CEAVI!L19+CCT!L19+CERES!L19+CESFI!L19+CESMO!L19</f>
        <v>180</v>
      </c>
      <c r="M19" s="154">
        <f>'Reitoria-SECOM'!M19+'Reitoria-SCII'!M19+'Reitoria-BU'!M19+'Reitoria-PROEX'!M19+MUSEU!M19+ESAG!M19+CEART!M19+FAED!M19+CEAD!M19+CEFID!M19+CAV!M19+CEO!M19+CEPLAN!M19+CEAVI!M19+CCT!M19+CERES!M19+CESFI!M19+CESMO!M19</f>
        <v>180</v>
      </c>
      <c r="N19" s="156">
        <f t="shared" si="0"/>
        <v>205</v>
      </c>
      <c r="O19" s="155">
        <f>'Reitoria-PROEX'!P19+'Reitoria-SECOM'!P19+'Reitoria-PROEX'!Q19+'Reitoria-SECOM'!Q19+'Reitoria-SCII'!P19+'Reitoria-SCII'!Q19+'Reitoria-BU'!P19+'Reitoria-BU'!Q19+MUSEU!P19+MUSEU!Q19+ESAG!P19+ESAG!Q19+CEART!P19+CEART!Q19+FAED!P19+FAED!Q19+CEAD!P19+CEAD!Q19+CEFID!P19+CEFID!Q19+CAV!P19+CAV!Q19+CEO!P19+CEO!Q19+CEPLAN!P19+CEPLAN!Q19+CEAVI!P19+CEAVI!Q19+CCT!P19+CCT!Q19+CERES!P19+CERES!Q19+CESFI!P19+CESFI!Q19+CESMO!P19+CESMO!Q19</f>
        <v>0</v>
      </c>
      <c r="P19" s="70">
        <f t="shared" si="1"/>
        <v>640</v>
      </c>
      <c r="Q19" s="71">
        <f t="shared" si="2"/>
        <v>18327</v>
      </c>
      <c r="R19" s="71">
        <f t="shared" si="3"/>
        <v>0</v>
      </c>
      <c r="S19" s="71">
        <f t="shared" si="4"/>
        <v>4023.0000000000005</v>
      </c>
    </row>
    <row r="20" spans="1:19" ht="45" customHeight="1" x14ac:dyDescent="0.2">
      <c r="A20" s="189"/>
      <c r="B20" s="191"/>
      <c r="C20" s="40">
        <v>17</v>
      </c>
      <c r="D20" s="200"/>
      <c r="E20" s="39" t="s">
        <v>61</v>
      </c>
      <c r="F20" s="44" t="s">
        <v>16</v>
      </c>
      <c r="G20" s="44" t="s">
        <v>17</v>
      </c>
      <c r="H20" s="41" t="s">
        <v>44</v>
      </c>
      <c r="I20" s="39" t="s">
        <v>24</v>
      </c>
      <c r="J20" s="42">
        <v>4.5999999999999996</v>
      </c>
      <c r="K20" s="31">
        <f>'Reitoria-SECOM'!K20+'Reitoria-SCII'!K20+'Reitoria-BU'!K20+'Reitoria-PROEX'!K20+MUSEU!K20+ESAG!K20+CEART!K20+FAED!K20+CEAD!K20+CEFID!K20+CAV!K20+CEO!K20+CEPLAN!K20+CEAVI!K20+CCT!K20+CERES!K20+CESFI!K20+CESMO!K20</f>
        <v>1885</v>
      </c>
      <c r="L20" s="154">
        <f>'Reitoria-SECOM'!L20+'Reitoria-SCII'!L20+'Reitoria-BU'!L20+'Reitoria-PROEX'!L20+MUSEU!L20+ESAG!L20+CEART!L20+FAED!L20+CEAD!L20+CEFID!L20+CAV!L20+CEO!L20+CEPLAN!L20+CEAVI!L20+CCT!L20+CERES!L20+CESFI!L20+CESMO!L20</f>
        <v>590</v>
      </c>
      <c r="M20" s="154">
        <f>'Reitoria-SECOM'!M20+'Reitoria-SCII'!M20+'Reitoria-BU'!M20+'Reitoria-PROEX'!M20+MUSEU!M20+ESAG!M20+CEART!M20+FAED!M20+CEAD!M20+CEFID!M20+CAV!M20+CEO!M20+CEPLAN!M20+CEAVI!M20+CCT!M20+CERES!M20+CESFI!M20+CESMO!M20</f>
        <v>590</v>
      </c>
      <c r="N20" s="156">
        <f t="shared" si="0"/>
        <v>471</v>
      </c>
      <c r="O20" s="155">
        <f>'Reitoria-PROEX'!P20+'Reitoria-SECOM'!P20+'Reitoria-PROEX'!Q20+'Reitoria-SECOM'!Q20+'Reitoria-SCII'!P20+'Reitoria-SCII'!Q20+'Reitoria-BU'!P20+'Reitoria-BU'!Q20+MUSEU!P20+MUSEU!Q20+ESAG!P20+ESAG!Q20+CEART!P20+CEART!Q20+FAED!P20+FAED!Q20+CEAD!P20+CEAD!Q20+CEFID!P20+CEFID!Q20+CAV!P20+CAV!Q20+CEO!P20+CEO!Q20+CEPLAN!P20+CEPLAN!Q20+CEAVI!P20+CEAVI!Q20+CCT!P20+CCT!Q20+CERES!P20+CERES!Q20+CESFI!P20+CESFI!Q20+CESMO!P20+CESMO!Q20</f>
        <v>0</v>
      </c>
      <c r="P20" s="70">
        <f t="shared" si="1"/>
        <v>1295</v>
      </c>
      <c r="Q20" s="71">
        <f t="shared" si="2"/>
        <v>8671</v>
      </c>
      <c r="R20" s="71">
        <f t="shared" si="3"/>
        <v>0</v>
      </c>
      <c r="S20" s="71">
        <f t="shared" si="4"/>
        <v>2714</v>
      </c>
    </row>
    <row r="21" spans="1:19" ht="58.7" customHeight="1" x14ac:dyDescent="0.2">
      <c r="A21" s="48">
        <v>9</v>
      </c>
      <c r="B21" s="28" t="s">
        <v>62</v>
      </c>
      <c r="C21" s="26">
        <v>18</v>
      </c>
      <c r="D21" s="27" t="s">
        <v>63</v>
      </c>
      <c r="E21" s="28" t="s">
        <v>64</v>
      </c>
      <c r="F21" s="50" t="s">
        <v>16</v>
      </c>
      <c r="G21" s="50" t="s">
        <v>17</v>
      </c>
      <c r="H21" s="29" t="s">
        <v>44</v>
      </c>
      <c r="I21" s="28" t="s">
        <v>24</v>
      </c>
      <c r="J21" s="30">
        <v>3.46</v>
      </c>
      <c r="K21" s="31">
        <f>'Reitoria-SECOM'!K21+'Reitoria-SCII'!K21+'Reitoria-BU'!K21+'Reitoria-PROEX'!K21+MUSEU!K21+ESAG!K21+CEART!K21+FAED!K21+CEAD!K21+CEFID!K21+CAV!K21+CEO!K21+CEPLAN!K21+CEAVI!K21+CCT!K21+CERES!K21+CESFI!K21+CESMO!K21</f>
        <v>678</v>
      </c>
      <c r="L21" s="154">
        <f>'Reitoria-SECOM'!L21+'Reitoria-SCII'!L21+'Reitoria-BU'!L21+'Reitoria-PROEX'!L21+MUSEU!L21+ESAG!L21+CEART!L21+FAED!L21+CEAD!L21+CEFID!L21+CAV!L21+CEO!L21+CEPLAN!L21+CEAVI!L21+CCT!L21+CERES!L21+CESFI!L21+CESMO!L21</f>
        <v>249</v>
      </c>
      <c r="M21" s="154">
        <f>'Reitoria-SECOM'!M21+'Reitoria-SCII'!M21+'Reitoria-BU'!M21+'Reitoria-PROEX'!M21+MUSEU!M21+ESAG!M21+CEART!M21+FAED!M21+CEAD!M21+CEFID!M21+CAV!M21+CEO!M21+CEPLAN!M21+CEAVI!M21+CCT!M21+CERES!M21+CESFI!M21+CESMO!M21</f>
        <v>249</v>
      </c>
      <c r="N21" s="156">
        <f t="shared" si="0"/>
        <v>169</v>
      </c>
      <c r="O21" s="155">
        <f>'Reitoria-PROEX'!P21+'Reitoria-SECOM'!P21+'Reitoria-PROEX'!Q21+'Reitoria-SECOM'!Q21+'Reitoria-SCII'!P21+'Reitoria-SCII'!Q21+'Reitoria-BU'!P21+'Reitoria-BU'!Q21+MUSEU!P21+MUSEU!Q21+ESAG!P21+ESAG!Q21+CEART!P21+CEART!Q21+FAED!P21+FAED!Q21+CEAD!P21+CEAD!Q21+CEFID!P21+CEFID!Q21+CAV!P21+CAV!Q21+CEO!P21+CEO!Q21+CEPLAN!P21+CEPLAN!Q21+CEAVI!P21+CEAVI!Q21+CCT!P21+CCT!Q21+CERES!P21+CERES!Q21+CESFI!P21+CESFI!Q21+CESMO!P21+CESMO!Q21</f>
        <v>0</v>
      </c>
      <c r="P21" s="70">
        <f t="shared" si="1"/>
        <v>429</v>
      </c>
      <c r="Q21" s="71">
        <f t="shared" si="2"/>
        <v>2345.88</v>
      </c>
      <c r="R21" s="71">
        <f t="shared" si="3"/>
        <v>0</v>
      </c>
      <c r="S21" s="71">
        <f t="shared" si="4"/>
        <v>861.54</v>
      </c>
    </row>
    <row r="22" spans="1:19" ht="45" customHeight="1" x14ac:dyDescent="0.2">
      <c r="A22" s="46">
        <v>10</v>
      </c>
      <c r="B22" s="47" t="s">
        <v>31</v>
      </c>
      <c r="C22" s="40">
        <v>19</v>
      </c>
      <c r="D22" s="47" t="s">
        <v>27</v>
      </c>
      <c r="E22" s="39" t="s">
        <v>23</v>
      </c>
      <c r="F22" s="44" t="s">
        <v>16</v>
      </c>
      <c r="G22" s="44" t="s">
        <v>17</v>
      </c>
      <c r="H22" s="41" t="s">
        <v>44</v>
      </c>
      <c r="I22" s="39" t="s">
        <v>24</v>
      </c>
      <c r="J22" s="42">
        <v>0.4</v>
      </c>
      <c r="K22" s="31">
        <f>'Reitoria-SECOM'!K22+'Reitoria-SCII'!K22+'Reitoria-BU'!K22+'Reitoria-PROEX'!K22+MUSEU!K22+ESAG!K22+CEART!K22+FAED!K22+CEAD!K22+CEFID!K22+CAV!K22+CEO!K22+CEPLAN!K22+CEAVI!K22+CCT!K22+CERES!K22+CESFI!K22+CESMO!K22</f>
        <v>18600</v>
      </c>
      <c r="L22" s="154">
        <f>'Reitoria-SECOM'!L22+'Reitoria-SCII'!L22+'Reitoria-BU'!L22+'Reitoria-PROEX'!L22+MUSEU!L22+ESAG!L22+CEART!L22+FAED!L22+CEAD!L22+CEFID!L22+CAV!L22+CEO!L22+CEPLAN!L22+CEAVI!L22+CCT!L22+CERES!L22+CESFI!L22+CESMO!L22</f>
        <v>10000</v>
      </c>
      <c r="M22" s="154">
        <f>'Reitoria-SECOM'!M22+'Reitoria-SCII'!M22+'Reitoria-BU'!M22+'Reitoria-PROEX'!M22+MUSEU!M22+ESAG!M22+CEART!M22+FAED!M22+CEAD!M22+CEFID!M22+CAV!M22+CEO!M22+CEPLAN!M22+CEAVI!M22+CCT!M22+CERES!M22+CESFI!M22+CESMO!M22</f>
        <v>10000</v>
      </c>
      <c r="N22" s="156">
        <f t="shared" si="0"/>
        <v>4650</v>
      </c>
      <c r="O22" s="155">
        <f>'Reitoria-PROEX'!P22+'Reitoria-SECOM'!P22+'Reitoria-PROEX'!Q22+'Reitoria-SECOM'!Q22+'Reitoria-SCII'!P22+'Reitoria-SCII'!Q22+'Reitoria-BU'!P22+'Reitoria-BU'!Q22+MUSEU!P22+MUSEU!Q22+ESAG!P22+ESAG!Q22+CEART!P22+CEART!Q22+FAED!P22+FAED!Q22+CEAD!P22+CEAD!Q22+CEFID!P22+CEFID!Q22+CAV!P22+CAV!Q22+CEO!P22+CEO!Q22+CEPLAN!P22+CEPLAN!Q22+CEAVI!P22+CEAVI!Q22+CCT!P22+CCT!Q22+CERES!P22+CERES!Q22+CESFI!P22+CESFI!Q22+CESMO!P22+CESMO!Q22</f>
        <v>0</v>
      </c>
      <c r="P22" s="70">
        <f t="shared" si="1"/>
        <v>8600</v>
      </c>
      <c r="Q22" s="71">
        <f t="shared" si="2"/>
        <v>7440</v>
      </c>
      <c r="R22" s="71">
        <f t="shared" si="3"/>
        <v>0</v>
      </c>
      <c r="S22" s="71">
        <f t="shared" si="4"/>
        <v>4000</v>
      </c>
    </row>
    <row r="23" spans="1:19" ht="28.15" customHeight="1" x14ac:dyDescent="0.2">
      <c r="A23" s="194">
        <v>11</v>
      </c>
      <c r="B23" s="196" t="s">
        <v>65</v>
      </c>
      <c r="C23" s="26">
        <v>20</v>
      </c>
      <c r="D23" s="201" t="s">
        <v>25</v>
      </c>
      <c r="E23" s="28" t="s">
        <v>19</v>
      </c>
      <c r="F23" s="50" t="s">
        <v>16</v>
      </c>
      <c r="G23" s="50" t="s">
        <v>17</v>
      </c>
      <c r="H23" s="29" t="s">
        <v>44</v>
      </c>
      <c r="I23" s="28" t="s">
        <v>24</v>
      </c>
      <c r="J23" s="30">
        <v>3.95</v>
      </c>
      <c r="K23" s="31">
        <f>'Reitoria-SECOM'!K23+'Reitoria-SCII'!K23+'Reitoria-BU'!K23+'Reitoria-PROEX'!K23+MUSEU!K23+ESAG!K23+CEART!K23+FAED!K23+CEAD!K23+CEFID!K23+CAV!K23+CEO!K23+CEPLAN!K23+CEAVI!K23+CCT!K23+CERES!K23+CESFI!K23+CESMO!K23</f>
        <v>2095</v>
      </c>
      <c r="L23" s="154">
        <f>'Reitoria-SECOM'!L23+'Reitoria-SCII'!L23+'Reitoria-BU'!L23+'Reitoria-PROEX'!L23+MUSEU!L23+ESAG!L23+CEART!L23+FAED!L23+CEAD!L23+CEFID!L23+CAV!L23+CEO!L23+CEPLAN!L23+CEAVI!L23+CCT!L23+CERES!L23+CESFI!L23+CESMO!L23</f>
        <v>1970</v>
      </c>
      <c r="M23" s="154">
        <f>'Reitoria-SECOM'!M23+'Reitoria-SCII'!M23+'Reitoria-BU'!M23+'Reitoria-PROEX'!M23+MUSEU!M23+ESAG!M23+CEART!M23+FAED!M23+CEAD!M23+CEFID!M23+CAV!M23+CEO!M23+CEPLAN!M23+CEAVI!M23+CCT!M23+CERES!M23+CESFI!M23+CESMO!M23</f>
        <v>1970</v>
      </c>
      <c r="N23" s="156">
        <f t="shared" si="0"/>
        <v>523</v>
      </c>
      <c r="O23" s="155">
        <f>'Reitoria-PROEX'!P23+'Reitoria-SECOM'!P23+'Reitoria-PROEX'!Q23+'Reitoria-SECOM'!Q23+'Reitoria-SCII'!P23+'Reitoria-SCII'!Q23+'Reitoria-BU'!P23+'Reitoria-BU'!Q23+MUSEU!P23+MUSEU!Q23+ESAG!P23+ESAG!Q23+CEART!P23+CEART!Q23+FAED!P23+FAED!Q23+CEAD!P23+CEAD!Q23+CEFID!P23+CEFID!Q23+CAV!P23+CAV!Q23+CEO!P23+CEO!Q23+CEPLAN!P23+CEPLAN!Q23+CEAVI!P23+CEAVI!Q23+CCT!P23+CCT!Q23+CERES!P23+CERES!Q23+CESFI!P23+CESFI!Q23+CESMO!P23+CESMO!Q23</f>
        <v>0</v>
      </c>
      <c r="P23" s="70">
        <f t="shared" si="1"/>
        <v>125</v>
      </c>
      <c r="Q23" s="71">
        <f t="shared" si="2"/>
        <v>8275.25</v>
      </c>
      <c r="R23" s="71">
        <f t="shared" si="3"/>
        <v>0</v>
      </c>
      <c r="S23" s="71">
        <f t="shared" si="4"/>
        <v>7781.5</v>
      </c>
    </row>
    <row r="24" spans="1:19" ht="25.15" customHeight="1" x14ac:dyDescent="0.2">
      <c r="A24" s="195"/>
      <c r="B24" s="197"/>
      <c r="C24" s="26">
        <v>21</v>
      </c>
      <c r="D24" s="202"/>
      <c r="E24" s="28" t="s">
        <v>20</v>
      </c>
      <c r="F24" s="50" t="s">
        <v>16</v>
      </c>
      <c r="G24" s="50" t="s">
        <v>17</v>
      </c>
      <c r="H24" s="29" t="s">
        <v>44</v>
      </c>
      <c r="I24" s="28" t="s">
        <v>24</v>
      </c>
      <c r="J24" s="30">
        <v>2.41</v>
      </c>
      <c r="K24" s="31">
        <f>'Reitoria-SECOM'!K24+'Reitoria-SCII'!K24+'Reitoria-BU'!K24+'Reitoria-PROEX'!K24+MUSEU!K24+ESAG!K24+CEART!K24+FAED!K24+CEAD!K24+CEFID!K24+CAV!K24+CEO!K24+CEPLAN!K24+CEAVI!K24+CCT!K24+CERES!K24+CESFI!K24+CESMO!K24</f>
        <v>3110</v>
      </c>
      <c r="L24" s="154">
        <f>'Reitoria-SECOM'!L24+'Reitoria-SCII'!L24+'Reitoria-BU'!L24+'Reitoria-PROEX'!L24+MUSEU!L24+ESAG!L24+CEART!L24+FAED!L24+CEAD!L24+CEFID!L24+CAV!L24+CEO!L24+CEPLAN!L24+CEAVI!L24+CCT!L24+CERES!L24+CESFI!L24+CESMO!L24</f>
        <v>3110</v>
      </c>
      <c r="M24" s="154">
        <f>'Reitoria-SECOM'!M24+'Reitoria-SCII'!M24+'Reitoria-BU'!M24+'Reitoria-PROEX'!M24+MUSEU!M24+ESAG!M24+CEART!M24+FAED!M24+CEAD!M24+CEFID!M24+CAV!M24+CEO!M24+CEPLAN!M24+CEAVI!M24+CCT!M24+CERES!M24+CESFI!M24+CESMO!M24</f>
        <v>3110</v>
      </c>
      <c r="N24" s="156">
        <f t="shared" si="0"/>
        <v>777</v>
      </c>
      <c r="O24" s="155">
        <f>'Reitoria-PROEX'!P24+'Reitoria-SECOM'!P24+'Reitoria-PROEX'!Q24+'Reitoria-SECOM'!Q24+'Reitoria-SCII'!P24+'Reitoria-SCII'!Q24+'Reitoria-BU'!P24+'Reitoria-BU'!Q24+MUSEU!P24+MUSEU!Q24+ESAG!P24+ESAG!Q24+CEART!P24+CEART!Q24+FAED!P24+FAED!Q24+CEAD!P24+CEAD!Q24+CEFID!P24+CEFID!Q24+CAV!P24+CAV!Q24+CEO!P24+CEO!Q24+CEPLAN!P24+CEPLAN!Q24+CEAVI!P24+CEAVI!Q24+CCT!P24+CCT!Q24+CERES!P24+CERES!Q24+CESFI!P24+CESFI!Q24+CESMO!P24+CESMO!Q24</f>
        <v>0</v>
      </c>
      <c r="P24" s="70">
        <f>K24-M24+O24</f>
        <v>0</v>
      </c>
      <c r="Q24" s="71">
        <f t="shared" si="2"/>
        <v>7495.1</v>
      </c>
      <c r="R24" s="71">
        <f t="shared" si="3"/>
        <v>0</v>
      </c>
      <c r="S24" s="71">
        <f t="shared" si="4"/>
        <v>7495.1</v>
      </c>
    </row>
    <row r="25" spans="1:19" ht="26.45" customHeight="1" x14ac:dyDescent="0.2">
      <c r="A25" s="188">
        <v>12</v>
      </c>
      <c r="B25" s="190" t="s">
        <v>62</v>
      </c>
      <c r="C25" s="40">
        <v>22</v>
      </c>
      <c r="D25" s="199" t="s">
        <v>26</v>
      </c>
      <c r="E25" s="39" t="s">
        <v>19</v>
      </c>
      <c r="F25" s="44" t="s">
        <v>16</v>
      </c>
      <c r="G25" s="44" t="s">
        <v>17</v>
      </c>
      <c r="H25" s="41" t="s">
        <v>44</v>
      </c>
      <c r="I25" s="39" t="s">
        <v>24</v>
      </c>
      <c r="J25" s="42">
        <v>2.48</v>
      </c>
      <c r="K25" s="31">
        <f>'Reitoria-SECOM'!K25+'Reitoria-SCII'!K25+'Reitoria-BU'!K25+'Reitoria-PROEX'!K25+MUSEU!K25+ESAG!K25+CEART!K25+FAED!K25+CEAD!K25+CEFID!K25+CAV!K25+CEO!K25+CEPLAN!K25+CEAVI!K25+CCT!K25+CERES!K25+CESFI!K25+CESMO!K25</f>
        <v>3166</v>
      </c>
      <c r="L25" s="154">
        <f>'Reitoria-SECOM'!L25+'Reitoria-SCII'!L25+'Reitoria-BU'!L25+'Reitoria-PROEX'!L25+MUSEU!L25+ESAG!L25+CEART!L25+FAED!L25+CEAD!L25+CEFID!L25+CAV!L25+CEO!L25+CEPLAN!L25+CEAVI!L25+CCT!L25+CERES!L25+CESFI!L25+CESMO!L25</f>
        <v>453</v>
      </c>
      <c r="M25" s="154">
        <f>'Reitoria-SECOM'!M25+'Reitoria-SCII'!M25+'Reitoria-BU'!M25+'Reitoria-PROEX'!M25+MUSEU!M25+ESAG!M25+CEART!M25+FAED!M25+CEAD!M25+CEFID!M25+CAV!M25+CEO!M25+CEPLAN!M25+CEAVI!M25+CCT!M25+CERES!M25+CESFI!M25+CESMO!M25</f>
        <v>453</v>
      </c>
      <c r="N25" s="156">
        <f t="shared" si="0"/>
        <v>791</v>
      </c>
      <c r="O25" s="155">
        <f>'Reitoria-PROEX'!P25+'Reitoria-SECOM'!P25+'Reitoria-PROEX'!Q25+'Reitoria-SECOM'!Q25+'Reitoria-SCII'!P25+'Reitoria-SCII'!Q25+'Reitoria-BU'!P25+'Reitoria-BU'!Q25+MUSEU!P25+MUSEU!Q25+ESAG!P25+ESAG!Q25+CEART!P25+CEART!Q25+FAED!P25+FAED!Q25+CEAD!P25+CEAD!Q25+CEFID!P25+CEFID!Q25+CAV!P25+CAV!Q25+CEO!P25+CEO!Q25+CEPLAN!P25+CEPLAN!Q25+CEAVI!P25+CEAVI!Q25+CCT!P25+CCT!Q25+CERES!P25+CERES!Q25+CESFI!P25+CESFI!Q25+CESMO!P25+CESMO!Q25</f>
        <v>0</v>
      </c>
      <c r="P25" s="70">
        <f t="shared" si="1"/>
        <v>2713</v>
      </c>
      <c r="Q25" s="71">
        <f t="shared" si="2"/>
        <v>7851.68</v>
      </c>
      <c r="R25" s="71">
        <f t="shared" si="3"/>
        <v>0</v>
      </c>
      <c r="S25" s="71">
        <f t="shared" si="4"/>
        <v>1123.44</v>
      </c>
    </row>
    <row r="26" spans="1:19" ht="24.4" customHeight="1" x14ac:dyDescent="0.2">
      <c r="A26" s="189"/>
      <c r="B26" s="191"/>
      <c r="C26" s="40">
        <v>23</v>
      </c>
      <c r="D26" s="200"/>
      <c r="E26" s="43" t="s">
        <v>20</v>
      </c>
      <c r="F26" s="44" t="s">
        <v>16</v>
      </c>
      <c r="G26" s="44" t="s">
        <v>17</v>
      </c>
      <c r="H26" s="41" t="s">
        <v>44</v>
      </c>
      <c r="I26" s="39" t="s">
        <v>24</v>
      </c>
      <c r="J26" s="42">
        <v>1.2</v>
      </c>
      <c r="K26" s="31">
        <f>'Reitoria-SECOM'!K26+'Reitoria-SCII'!K26+'Reitoria-BU'!K26+'Reitoria-PROEX'!K26+MUSEU!K26+ESAG!K26+CEART!K26+FAED!K26+CEAD!K26+CEFID!K26+CAV!K26+CEO!K26+CEPLAN!K26+CEAVI!K26+CCT!K26+CERES!K26+CESFI!K26+CESMO!K26</f>
        <v>5775</v>
      </c>
      <c r="L26" s="154">
        <f>'Reitoria-SECOM'!L26+'Reitoria-SCII'!L26+'Reitoria-BU'!L26+'Reitoria-PROEX'!L26+MUSEU!L26+ESAG!L26+CEART!L26+FAED!L26+CEAD!L26+CEFID!L26+CAV!L26+CEO!L26+CEPLAN!L26+CEAVI!L26+CCT!L26+CERES!L26+CESFI!L26+CESMO!L26</f>
        <v>3360</v>
      </c>
      <c r="M26" s="154">
        <f>'Reitoria-SECOM'!M26+'Reitoria-SCII'!M26+'Reitoria-BU'!M26+'Reitoria-PROEX'!M26+MUSEU!M26+ESAG!M26+CEART!M26+FAED!M26+CEAD!M26+CEFID!M26+CAV!M26+CEO!M26+CEPLAN!M26+CEAVI!M26+CCT!M26+CERES!M26+CESFI!M26+CESMO!M26</f>
        <v>3360</v>
      </c>
      <c r="N26" s="156">
        <f t="shared" si="0"/>
        <v>1443</v>
      </c>
      <c r="O26" s="155">
        <f>'Reitoria-PROEX'!P26+'Reitoria-SECOM'!P26+'Reitoria-PROEX'!Q26+'Reitoria-SECOM'!Q26+'Reitoria-SCII'!P26+'Reitoria-SCII'!Q26+'Reitoria-BU'!P26+'Reitoria-BU'!Q26+MUSEU!P26+MUSEU!Q26+ESAG!P26+ESAG!Q26+CEART!P26+CEART!Q26+FAED!P26+FAED!Q26+CEAD!P26+CEAD!Q26+CEFID!P26+CEFID!Q26+CAV!P26+CAV!Q26+CEO!P26+CEO!Q26+CEPLAN!P26+CEPLAN!Q26+CEAVI!P26+CEAVI!Q26+CCT!P26+CCT!Q26+CERES!P26+CERES!Q26+CESFI!P26+CESFI!Q26+CESMO!P26+CESMO!Q26</f>
        <v>0</v>
      </c>
      <c r="P26" s="70">
        <f t="shared" si="1"/>
        <v>2415</v>
      </c>
      <c r="Q26" s="71">
        <f t="shared" si="2"/>
        <v>6930</v>
      </c>
      <c r="R26" s="71">
        <f t="shared" si="3"/>
        <v>0</v>
      </c>
      <c r="S26" s="71">
        <f t="shared" si="4"/>
        <v>4032</v>
      </c>
    </row>
    <row r="27" spans="1:19" ht="24" customHeight="1" x14ac:dyDescent="0.2">
      <c r="A27" s="194">
        <v>13</v>
      </c>
      <c r="B27" s="196" t="s">
        <v>65</v>
      </c>
      <c r="C27" s="26">
        <v>24</v>
      </c>
      <c r="D27" s="201" t="s">
        <v>66</v>
      </c>
      <c r="E27" s="28" t="s">
        <v>21</v>
      </c>
      <c r="F27" s="50" t="s">
        <v>16</v>
      </c>
      <c r="G27" s="29" t="s">
        <v>17</v>
      </c>
      <c r="H27" s="29" t="s">
        <v>44</v>
      </c>
      <c r="I27" s="28" t="s">
        <v>24</v>
      </c>
      <c r="J27" s="30">
        <v>0.33</v>
      </c>
      <c r="K27" s="31">
        <f>'Reitoria-SECOM'!K27+'Reitoria-SCII'!K27+'Reitoria-BU'!K27+'Reitoria-PROEX'!K27+MUSEU!K27+ESAG!K27+CEART!K27+FAED!K27+CEAD!K27+CEFID!K27+CAV!K27+CEO!K27+CEPLAN!K27+CEAVI!K27+CCT!K27+CERES!K27+CESFI!K27+CESMO!K27</f>
        <v>15810</v>
      </c>
      <c r="L27" s="154">
        <f>'Reitoria-SECOM'!L27+'Reitoria-SCII'!L27+'Reitoria-BU'!L27+'Reitoria-PROEX'!L27+MUSEU!L27+ESAG!L27+CEART!L27+FAED!L27+CEAD!L27+CEFID!L27+CAV!L27+CEO!L27+CEPLAN!L27+CEAVI!L27+CCT!L27+CERES!L27+CESFI!L27+CESMO!L27</f>
        <v>12599</v>
      </c>
      <c r="M27" s="154">
        <f>'Reitoria-SECOM'!M27+'Reitoria-SCII'!M27+'Reitoria-BU'!M27+'Reitoria-PROEX'!M27+MUSEU!M27+ESAG!M27+CEART!M27+FAED!M27+CEAD!M27+CEFID!M27+CAV!M27+CEO!M27+CEPLAN!M27+CEAVI!M27+CCT!M27+CERES!M27+CESFI!M27+CESMO!M27</f>
        <v>12599</v>
      </c>
      <c r="N27" s="156">
        <f t="shared" si="0"/>
        <v>3952</v>
      </c>
      <c r="O27" s="155">
        <f>'Reitoria-PROEX'!P27+'Reitoria-SECOM'!P27+'Reitoria-PROEX'!Q27+'Reitoria-SECOM'!Q27+'Reitoria-SCII'!P27+'Reitoria-SCII'!Q27+'Reitoria-BU'!P27+'Reitoria-BU'!Q27+MUSEU!P27+MUSEU!Q27+ESAG!P27+ESAG!Q27+CEART!P27+CEART!Q27+FAED!P27+FAED!Q27+CEAD!P27+CEAD!Q27+CEFID!P27+CEFID!Q27+CAV!P27+CAV!Q27+CEO!P27+CEO!Q27+CEPLAN!P27+CEPLAN!Q27+CEAVI!P27+CEAVI!Q27+CCT!P27+CCT!Q27+CERES!P27+CERES!Q27+CESFI!P27+CESFI!Q27+CESMO!P27+CESMO!Q27</f>
        <v>0</v>
      </c>
      <c r="P27" s="70">
        <f t="shared" si="1"/>
        <v>3211</v>
      </c>
      <c r="Q27" s="71">
        <f t="shared" si="2"/>
        <v>5217.3</v>
      </c>
      <c r="R27" s="71">
        <f t="shared" si="3"/>
        <v>0</v>
      </c>
      <c r="S27" s="71">
        <f t="shared" si="4"/>
        <v>4157.67</v>
      </c>
    </row>
    <row r="28" spans="1:19" ht="30.2" customHeight="1" x14ac:dyDescent="0.2">
      <c r="A28" s="195"/>
      <c r="B28" s="197"/>
      <c r="C28" s="26">
        <v>25</v>
      </c>
      <c r="D28" s="202"/>
      <c r="E28" s="28" t="s">
        <v>22</v>
      </c>
      <c r="F28" s="50" t="s">
        <v>16</v>
      </c>
      <c r="G28" s="50" t="s">
        <v>17</v>
      </c>
      <c r="H28" s="29" t="s">
        <v>44</v>
      </c>
      <c r="I28" s="28" t="s">
        <v>24</v>
      </c>
      <c r="J28" s="30">
        <v>0.15</v>
      </c>
      <c r="K28" s="31">
        <f>'Reitoria-SECOM'!K28+'Reitoria-SCII'!K28+'Reitoria-BU'!K28+'Reitoria-PROEX'!K28+MUSEU!K28+ESAG!K28+CEART!K28+FAED!K28+CEAD!K28+CEFID!K28+CAV!K28+CEO!K28+CEPLAN!K28+CEAVI!K28+CCT!K28+CERES!K28+CESFI!K28+CESMO!K28</f>
        <v>68905</v>
      </c>
      <c r="L28" s="154">
        <f>'Reitoria-SECOM'!L28+'Reitoria-SCII'!L28+'Reitoria-BU'!L28+'Reitoria-PROEX'!L28+MUSEU!L28+ESAG!L28+CEART!L28+FAED!L28+CEAD!L28+CEFID!L28+CAV!L28+CEO!L28+CEPLAN!L28+CEAVI!L28+CCT!L28+CERES!L28+CESFI!L28+CESMO!L28</f>
        <v>66000</v>
      </c>
      <c r="M28" s="154">
        <f>'Reitoria-SECOM'!M28+'Reitoria-SCII'!M28+'Reitoria-BU'!M28+'Reitoria-PROEX'!M28+MUSEU!M28+ESAG!M28+CEART!M28+FAED!M28+CEAD!M28+CEFID!M28+CAV!M28+CEO!M28+CEPLAN!M28+CEAVI!M28+CCT!M28+CERES!M28+CESFI!M28+CESMO!M28</f>
        <v>66000</v>
      </c>
      <c r="N28" s="156">
        <f t="shared" si="0"/>
        <v>17226</v>
      </c>
      <c r="O28" s="155">
        <f>'Reitoria-PROEX'!P28+'Reitoria-SECOM'!P28+'Reitoria-PROEX'!Q28+'Reitoria-SECOM'!Q28+'Reitoria-SCII'!P28+'Reitoria-SCII'!Q28+'Reitoria-BU'!P28+'Reitoria-BU'!Q28+MUSEU!P28+MUSEU!Q28+ESAG!P28+ESAG!Q28+CEART!P28+CEART!Q28+FAED!P28+FAED!Q28+CEAD!P28+CEAD!Q28+CEFID!P28+CEFID!Q28+CAV!P28+CAV!Q28+CEO!P28+CEO!Q28+CEPLAN!P28+CEPLAN!Q28+CEAVI!P28+CEAVI!Q28+CCT!P28+CCT!Q28+CERES!P28+CERES!Q28+CESFI!P28+CESFI!Q28+CESMO!P28+CESMO!Q28</f>
        <v>0</v>
      </c>
      <c r="P28" s="70">
        <f t="shared" si="1"/>
        <v>2905</v>
      </c>
      <c r="Q28" s="71">
        <f t="shared" si="2"/>
        <v>10335.75</v>
      </c>
      <c r="R28" s="71">
        <f t="shared" si="3"/>
        <v>0</v>
      </c>
      <c r="S28" s="71">
        <f t="shared" si="4"/>
        <v>9900</v>
      </c>
    </row>
    <row r="29" spans="1:19" ht="26.45" customHeight="1" x14ac:dyDescent="0.2">
      <c r="A29" s="188">
        <v>14</v>
      </c>
      <c r="B29" s="190" t="s">
        <v>65</v>
      </c>
      <c r="C29" s="40">
        <v>26</v>
      </c>
      <c r="D29" s="192" t="s">
        <v>67</v>
      </c>
      <c r="E29" s="66" t="s">
        <v>21</v>
      </c>
      <c r="F29" s="44" t="s">
        <v>16</v>
      </c>
      <c r="G29" s="44" t="s">
        <v>17</v>
      </c>
      <c r="H29" s="41" t="s">
        <v>44</v>
      </c>
      <c r="I29" s="39" t="s">
        <v>24</v>
      </c>
      <c r="J29" s="42">
        <v>0.33</v>
      </c>
      <c r="K29" s="31">
        <f>'Reitoria-SECOM'!K29+'Reitoria-SCII'!K29+'Reitoria-BU'!K29+'Reitoria-PROEX'!K29+MUSEU!K29+ESAG!K29+CEART!K29+FAED!K29+CEAD!K29+CEFID!K29+CAV!K29+CEO!K29+CEPLAN!K29+CEAVI!K29+CCT!K29+CERES!K29+CESFI!K29+CESMO!K29</f>
        <v>20500</v>
      </c>
      <c r="L29" s="154">
        <f>'Reitoria-SECOM'!L29+'Reitoria-SCII'!L29+'Reitoria-BU'!L29+'Reitoria-PROEX'!L29+MUSEU!L29+ESAG!L29+CEART!L29+FAED!L29+CEAD!L29+CEFID!L29+CAV!L29+CEO!L29+CEPLAN!L29+CEAVI!L29+CCT!L29+CERES!L29+CESFI!L29+CESMO!L29</f>
        <v>6000</v>
      </c>
      <c r="M29" s="154">
        <f>'Reitoria-SECOM'!M29+'Reitoria-SCII'!M29+'Reitoria-BU'!M29+'Reitoria-PROEX'!M29+MUSEU!M29+ESAG!M29+CEART!M29+FAED!M29+CEAD!M29+CEFID!M29+CAV!M29+CEO!M29+CEPLAN!M29+CEAVI!M29+CCT!M29+CERES!M29+CESFI!M29+CESMO!M29</f>
        <v>6000</v>
      </c>
      <c r="N29" s="156">
        <f t="shared" si="0"/>
        <v>5125</v>
      </c>
      <c r="O29" s="155">
        <f>'Reitoria-PROEX'!P29+'Reitoria-SECOM'!P29+'Reitoria-PROEX'!Q29+'Reitoria-SECOM'!Q29+'Reitoria-SCII'!P29+'Reitoria-SCII'!Q29+'Reitoria-BU'!P29+'Reitoria-BU'!Q29+MUSEU!P29+MUSEU!Q29+ESAG!P29+ESAG!Q29+CEART!P29+CEART!Q29+FAED!P29+FAED!Q29+CEAD!P29+CEAD!Q29+CEFID!P29+CEFID!Q29+CAV!P29+CAV!Q29+CEO!P29+CEO!Q29+CEPLAN!P29+CEPLAN!Q29+CEAVI!P29+CEAVI!Q29+CCT!P29+CCT!Q29+CERES!P29+CERES!Q29+CESFI!P29+CESFI!Q29+CESMO!P29+CESMO!Q29</f>
        <v>0</v>
      </c>
      <c r="P29" s="70">
        <f t="shared" si="1"/>
        <v>14500</v>
      </c>
      <c r="Q29" s="71">
        <f t="shared" si="2"/>
        <v>6765</v>
      </c>
      <c r="R29" s="71">
        <f t="shared" si="3"/>
        <v>0</v>
      </c>
      <c r="S29" s="71">
        <f t="shared" si="4"/>
        <v>1980</v>
      </c>
    </row>
    <row r="30" spans="1:19" ht="33.950000000000003" customHeight="1" x14ac:dyDescent="0.2">
      <c r="A30" s="189"/>
      <c r="B30" s="191"/>
      <c r="C30" s="40">
        <v>27</v>
      </c>
      <c r="D30" s="193"/>
      <c r="E30" s="66" t="s">
        <v>22</v>
      </c>
      <c r="F30" s="44" t="s">
        <v>16</v>
      </c>
      <c r="G30" s="44" t="s">
        <v>17</v>
      </c>
      <c r="H30" s="41" t="s">
        <v>44</v>
      </c>
      <c r="I30" s="39" t="s">
        <v>24</v>
      </c>
      <c r="J30" s="42">
        <v>0.23</v>
      </c>
      <c r="K30" s="31">
        <f>'Reitoria-SECOM'!K30+'Reitoria-SCII'!K30+'Reitoria-BU'!K30+'Reitoria-PROEX'!K30+MUSEU!K30+ESAG!K30+CEART!K30+FAED!K30+CEAD!K30+CEFID!K30+CAV!K30+CEO!K30+CEPLAN!K30+CEAVI!K30+CCT!K30+CERES!K30+CESFI!K30+CESMO!K30</f>
        <v>72754</v>
      </c>
      <c r="L30" s="154">
        <f>'Reitoria-SECOM'!L30+'Reitoria-SCII'!L30+'Reitoria-BU'!L30+'Reitoria-PROEX'!L30+MUSEU!L30+ESAG!L30+CEART!L30+FAED!L30+CEAD!L30+CEFID!L30+CAV!L30+CEO!L30+CEPLAN!L30+CEAVI!L30+CCT!L30+CERES!L30+CESFI!L30+CESMO!L30</f>
        <v>30400</v>
      </c>
      <c r="M30" s="154">
        <f>'Reitoria-SECOM'!M30+'Reitoria-SCII'!M30+'Reitoria-BU'!M30+'Reitoria-PROEX'!M30+MUSEU!M30+ESAG!M30+CEART!M30+FAED!M30+CEAD!M30+CEFID!M30+CAV!M30+CEO!M30+CEPLAN!M30+CEAVI!M30+CCT!M30+CERES!M30+CESFI!M30+CESMO!M30</f>
        <v>30400</v>
      </c>
      <c r="N30" s="156">
        <f t="shared" si="0"/>
        <v>18188</v>
      </c>
      <c r="O30" s="155">
        <f>'Reitoria-PROEX'!P30+'Reitoria-SECOM'!P30+'Reitoria-PROEX'!Q30+'Reitoria-SECOM'!Q30+'Reitoria-SCII'!P30+'Reitoria-SCII'!Q30+'Reitoria-BU'!P30+'Reitoria-BU'!Q30+MUSEU!P30+MUSEU!Q30+ESAG!P30+ESAG!Q30+CEART!P30+CEART!Q30+FAED!P30+FAED!Q30+CEAD!P30+CEAD!Q30+CEFID!P30+CEFID!Q30+CAV!P30+CAV!Q30+CEO!P30+CEO!Q30+CEPLAN!P30+CEPLAN!Q30+CEAVI!P30+CEAVI!Q30+CCT!P30+CCT!Q30+CERES!P30+CERES!Q30+CESFI!P30+CESFI!Q30+CESMO!P30+CESMO!Q30</f>
        <v>0</v>
      </c>
      <c r="P30" s="70">
        <f t="shared" si="1"/>
        <v>42354</v>
      </c>
      <c r="Q30" s="71">
        <f t="shared" si="2"/>
        <v>16733.420000000002</v>
      </c>
      <c r="R30" s="71">
        <f t="shared" si="3"/>
        <v>0</v>
      </c>
      <c r="S30" s="71">
        <f t="shared" si="4"/>
        <v>6992</v>
      </c>
    </row>
    <row r="31" spans="1:19" ht="27" customHeight="1" x14ac:dyDescent="0.2">
      <c r="A31" s="194">
        <v>15</v>
      </c>
      <c r="B31" s="196" t="s">
        <v>31</v>
      </c>
      <c r="C31" s="26">
        <v>28</v>
      </c>
      <c r="D31" s="198" t="s">
        <v>68</v>
      </c>
      <c r="E31" s="28" t="s">
        <v>21</v>
      </c>
      <c r="F31" s="50" t="s">
        <v>16</v>
      </c>
      <c r="G31" s="50" t="s">
        <v>17</v>
      </c>
      <c r="H31" s="29" t="s">
        <v>44</v>
      </c>
      <c r="I31" s="28" t="s">
        <v>24</v>
      </c>
      <c r="J31" s="30">
        <v>0.4</v>
      </c>
      <c r="K31" s="31">
        <f>'Reitoria-SECOM'!K31+'Reitoria-SCII'!K31+'Reitoria-BU'!K31+'Reitoria-PROEX'!K31+MUSEU!K31+ESAG!K31+CEART!K31+FAED!K31+CEAD!K31+CEFID!K31+CAV!K31+CEO!K31+CEPLAN!K31+CEAVI!K31+CCT!K31+CERES!K31+CESFI!K31+CESMO!K31</f>
        <v>12600</v>
      </c>
      <c r="L31" s="154">
        <f>'Reitoria-SECOM'!L31+'Reitoria-SCII'!L31+'Reitoria-BU'!L31+'Reitoria-PROEX'!L31+MUSEU!L31+ESAG!L31+CEART!L31+FAED!L31+CEAD!L31+CEFID!L31+CAV!L31+CEO!L31+CEPLAN!L31+CEAVI!L31+CCT!L31+CERES!L31+CESFI!L31+CESMO!L31</f>
        <v>10100</v>
      </c>
      <c r="M31" s="154">
        <f>'Reitoria-SECOM'!M31+'Reitoria-SCII'!M31+'Reitoria-BU'!M31+'Reitoria-PROEX'!M31+MUSEU!M31+ESAG!M31+CEART!M31+FAED!M31+CEAD!M31+CEFID!M31+CAV!M31+CEO!M31+CEPLAN!M31+CEAVI!M31+CCT!M31+CERES!M31+CESFI!M31+CESMO!M31</f>
        <v>10100</v>
      </c>
      <c r="N31" s="156">
        <f t="shared" si="0"/>
        <v>3150</v>
      </c>
      <c r="O31" s="155">
        <f>'Reitoria-PROEX'!P31+'Reitoria-SECOM'!P31+'Reitoria-PROEX'!Q31+'Reitoria-SECOM'!Q31+'Reitoria-SCII'!P31+'Reitoria-SCII'!Q31+'Reitoria-BU'!P31+'Reitoria-BU'!Q31+MUSEU!P31+MUSEU!Q31+ESAG!P31+ESAG!Q31+CEART!P31+CEART!Q31+FAED!P31+FAED!Q31+CEAD!P31+CEAD!Q31+CEFID!P31+CEFID!Q31+CAV!P31+CAV!Q31+CEO!P31+CEO!Q31+CEPLAN!P31+CEPLAN!Q31+CEAVI!P31+CEAVI!Q31+CCT!P31+CCT!Q31+CERES!P31+CERES!Q31+CESFI!P31+CESFI!Q31+CESMO!P31+CESMO!Q31</f>
        <v>0</v>
      </c>
      <c r="P31" s="70">
        <f t="shared" si="1"/>
        <v>2500</v>
      </c>
      <c r="Q31" s="71">
        <f t="shared" si="2"/>
        <v>5040</v>
      </c>
      <c r="R31" s="71">
        <f t="shared" si="3"/>
        <v>0</v>
      </c>
      <c r="S31" s="71">
        <f t="shared" si="4"/>
        <v>4040</v>
      </c>
    </row>
    <row r="32" spans="1:19" ht="29.25" customHeight="1" x14ac:dyDescent="0.2">
      <c r="A32" s="195"/>
      <c r="B32" s="197"/>
      <c r="C32" s="26">
        <v>29</v>
      </c>
      <c r="D32" s="198"/>
      <c r="E32" s="28" t="s">
        <v>22</v>
      </c>
      <c r="F32" s="50" t="s">
        <v>16</v>
      </c>
      <c r="G32" s="50" t="s">
        <v>17</v>
      </c>
      <c r="H32" s="29" t="s">
        <v>44</v>
      </c>
      <c r="I32" s="28" t="s">
        <v>24</v>
      </c>
      <c r="J32" s="30">
        <v>0.44</v>
      </c>
      <c r="K32" s="31">
        <f>'Reitoria-SECOM'!K32+'Reitoria-SCII'!K32+'Reitoria-BU'!K32+'Reitoria-PROEX'!K32+MUSEU!K32+ESAG!K32+CEART!K32+FAED!K32+CEAD!K32+CEFID!K32+CAV!K32+CEO!K32+CEPLAN!K32+CEAVI!K32+CCT!K32+CERES!K32+CESFI!K32+CESMO!K32</f>
        <v>56500</v>
      </c>
      <c r="L32" s="154">
        <f>'Reitoria-SECOM'!L32+'Reitoria-SCII'!L32+'Reitoria-BU'!L32+'Reitoria-PROEX'!L32+MUSEU!L32+ESAG!L32+CEART!L32+FAED!L32+CEAD!L32+CEFID!L32+CAV!L32+CEO!L32+CEPLAN!L32+CEAVI!L32+CCT!L32+CERES!L32+CESFI!L32+CESMO!L32</f>
        <v>31503</v>
      </c>
      <c r="M32" s="154">
        <f>'Reitoria-SECOM'!M32+'Reitoria-SCII'!M32+'Reitoria-BU'!M32+'Reitoria-PROEX'!M32+MUSEU!M32+ESAG!M32+CEART!M32+FAED!M32+CEAD!M32+CEFID!M32+CAV!M32+CEO!M32+CEPLAN!M32+CEAVI!M32+CCT!M32+CERES!M32+CESFI!M32+CESMO!M32</f>
        <v>31503</v>
      </c>
      <c r="N32" s="156">
        <f t="shared" si="0"/>
        <v>14125</v>
      </c>
      <c r="O32" s="155">
        <f>'Reitoria-PROEX'!P32+'Reitoria-SECOM'!P32+'Reitoria-PROEX'!Q32+'Reitoria-SECOM'!Q32+'Reitoria-SCII'!P32+'Reitoria-SCII'!Q32+'Reitoria-BU'!P32+'Reitoria-BU'!Q32+MUSEU!P32+MUSEU!Q32+ESAG!P32+ESAG!Q32+CEART!P32+CEART!Q32+FAED!P32+FAED!Q32+CEAD!P32+CEAD!Q32+CEFID!P32+CEFID!Q32+CAV!P32+CAV!Q32+CEO!P32+CEO!Q32+CEPLAN!P32+CEPLAN!Q32+CEAVI!P32+CEAVI!Q32+CCT!P32+CCT!Q32+CERES!P32+CERES!Q32+CESFI!P32+CESFI!Q32+CESMO!P32+CESMO!Q32</f>
        <v>0</v>
      </c>
      <c r="P32" s="70">
        <f t="shared" si="1"/>
        <v>24997</v>
      </c>
      <c r="Q32" s="71">
        <f t="shared" si="2"/>
        <v>24860</v>
      </c>
      <c r="R32" s="71">
        <f t="shared" si="3"/>
        <v>0</v>
      </c>
      <c r="S32" s="71">
        <f t="shared" si="4"/>
        <v>13861.32</v>
      </c>
    </row>
    <row r="33" spans="2:19" x14ac:dyDescent="0.2">
      <c r="K33" s="137">
        <f>SUM(K4:K32)</f>
        <v>301127</v>
      </c>
      <c r="L33" s="137"/>
      <c r="M33" s="137">
        <f t="shared" ref="M33:P33" si="5">SUM(M4:M32)</f>
        <v>180538</v>
      </c>
      <c r="N33" s="137"/>
      <c r="O33" s="137"/>
      <c r="P33" s="137">
        <f t="shared" si="5"/>
        <v>120589</v>
      </c>
      <c r="Q33" s="72">
        <f>SUM(Q4:Q32)</f>
        <v>941100.53</v>
      </c>
      <c r="R33" s="72">
        <f>SUM(R4:R32)</f>
        <v>0</v>
      </c>
      <c r="S33" s="72">
        <f>SUM(S4:S32)</f>
        <v>316801.37999999995</v>
      </c>
    </row>
    <row r="35" spans="2:19" ht="15.75" x14ac:dyDescent="0.2">
      <c r="B35" s="15"/>
      <c r="C35" s="255" t="str">
        <f>A1</f>
        <v>PROCESSO: PE 1755/2023 - SGPE 51233/2023</v>
      </c>
      <c r="D35" s="255"/>
      <c r="E35" s="255"/>
      <c r="F35" s="256"/>
    </row>
    <row r="36" spans="2:19" ht="15.75" x14ac:dyDescent="0.2">
      <c r="B36" s="16"/>
      <c r="C36" s="257" t="str">
        <f>D1</f>
        <v>OBJETO: CONTRATAÇÃO DE EMPRESA ESPECIALIZADA EM SERVIÇOS GRÁFICOS (IMPRESSOS ADAPTADOS, BANNERS, FRONTLIGHT, ADESIVOS, ENTRE OUTROS) PARA A UDESC</v>
      </c>
      <c r="D36" s="257"/>
      <c r="E36" s="257"/>
      <c r="F36" s="258"/>
    </row>
    <row r="37" spans="2:19" ht="15.75" x14ac:dyDescent="0.2">
      <c r="B37" s="17"/>
      <c r="C37" s="259" t="str">
        <f>K1</f>
        <v>VIGÊNCIA DA ATA: 19/02/24 até 19/02/25</v>
      </c>
      <c r="D37" s="259"/>
      <c r="E37" s="259"/>
      <c r="F37" s="260"/>
    </row>
    <row r="38" spans="2:19" ht="31.5" x14ac:dyDescent="0.25">
      <c r="B38" s="1" t="s">
        <v>29</v>
      </c>
      <c r="C38" s="2"/>
      <c r="D38" s="11"/>
      <c r="E38" s="2"/>
      <c r="F38" s="3">
        <f>Q33</f>
        <v>941100.53</v>
      </c>
    </row>
    <row r="39" spans="2:19" ht="19.149999999999999" customHeight="1" x14ac:dyDescent="0.25">
      <c r="B39" s="4" t="s">
        <v>8</v>
      </c>
      <c r="C39" s="5"/>
      <c r="D39" s="12"/>
      <c r="E39" s="5"/>
      <c r="F39" s="6">
        <f>S33</f>
        <v>316801.37999999995</v>
      </c>
    </row>
    <row r="40" spans="2:19" ht="15.75" x14ac:dyDescent="0.25">
      <c r="B40" s="4" t="s">
        <v>9</v>
      </c>
      <c r="C40" s="5"/>
      <c r="D40" s="12"/>
      <c r="E40" s="5"/>
      <c r="F40" s="7"/>
    </row>
    <row r="41" spans="2:19" ht="15.75" x14ac:dyDescent="0.25">
      <c r="B41" s="8" t="s">
        <v>10</v>
      </c>
      <c r="C41" s="9"/>
      <c r="D41" s="13"/>
      <c r="E41" s="9"/>
      <c r="F41" s="10">
        <f>F39/F38</f>
        <v>0.33662862776200958</v>
      </c>
    </row>
    <row r="42" spans="2:19" ht="15.75" x14ac:dyDescent="0.25">
      <c r="B42" s="261" t="s">
        <v>335</v>
      </c>
      <c r="C42" s="262"/>
      <c r="D42" s="262"/>
      <c r="E42" s="262"/>
      <c r="F42" s="14"/>
    </row>
  </sheetData>
  <mergeCells count="38">
    <mergeCell ref="C35:F35"/>
    <mergeCell ref="C36:F36"/>
    <mergeCell ref="C37:F37"/>
    <mergeCell ref="B42:E42"/>
    <mergeCell ref="K1:S1"/>
    <mergeCell ref="A2:S2"/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A14:A15"/>
    <mergeCell ref="B14:B15"/>
    <mergeCell ref="D14:D15"/>
    <mergeCell ref="B27:B28"/>
    <mergeCell ref="D27:D28"/>
    <mergeCell ref="A19:A20"/>
    <mergeCell ref="B19:B20"/>
    <mergeCell ref="D19:D20"/>
    <mergeCell ref="A23:A24"/>
    <mergeCell ref="B23:B24"/>
    <mergeCell ref="D23:D24"/>
    <mergeCell ref="A9:A10"/>
    <mergeCell ref="B9:B10"/>
    <mergeCell ref="D9:D10"/>
    <mergeCell ref="A11:A13"/>
    <mergeCell ref="B11:B13"/>
    <mergeCell ref="D11:D13"/>
    <mergeCell ref="A1:C1"/>
    <mergeCell ref="D1:J1"/>
    <mergeCell ref="A4:A8"/>
    <mergeCell ref="B4:B8"/>
    <mergeCell ref="D4:D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37"/>
  <sheetViews>
    <sheetView topLeftCell="A19" zoomScale="90" zoomScaleNormal="90" workbookViewId="0">
      <pane xSplit="20" topLeftCell="U1" activePane="topRight" state="frozen"/>
      <selection pane="topRight" activeCell="N25" sqref="N25"/>
    </sheetView>
  </sheetViews>
  <sheetFormatPr defaultColWidth="9.7109375" defaultRowHeight="12.75" x14ac:dyDescent="0.2"/>
  <cols>
    <col min="1" max="1" width="4.85546875" style="53" customWidth="1"/>
    <col min="2" max="2" width="7.85546875" style="53" customWidth="1"/>
    <col min="3" max="3" width="5.5703125" style="53" bestFit="1" customWidth="1"/>
    <col min="4" max="4" width="19.42578125" style="54" customWidth="1"/>
    <col min="5" max="5" width="12.140625" style="53" customWidth="1"/>
    <col min="6" max="6" width="10.42578125" style="53" customWidth="1"/>
    <col min="7" max="7" width="10.5703125" style="53" customWidth="1"/>
    <col min="8" max="8" width="14" style="53" customWidth="1"/>
    <col min="9" max="9" width="9" style="53" customWidth="1"/>
    <col min="10" max="10" width="10.7109375" style="55" customWidth="1"/>
    <col min="11" max="11" width="9.140625" style="56" customWidth="1"/>
    <col min="12" max="12" width="11.140625" style="56" customWidth="1"/>
    <col min="13" max="14" width="9.85546875" style="56" customWidth="1"/>
    <col min="15" max="15" width="7.5703125" style="56" customWidth="1"/>
    <col min="16" max="16" width="5.28515625" style="56" customWidth="1"/>
    <col min="17" max="17" width="6.85546875" style="56" customWidth="1"/>
    <col min="18" max="18" width="5.28515625" style="56" customWidth="1"/>
    <col min="19" max="19" width="8.42578125" style="57" customWidth="1"/>
    <col min="20" max="20" width="10.140625" style="58" customWidth="1"/>
    <col min="21" max="22" width="13.7109375" style="60" customWidth="1"/>
    <col min="23" max="24" width="13.7109375" style="18" customWidth="1"/>
    <col min="25" max="25" width="13.7109375" style="86" customWidth="1"/>
    <col min="26" max="38" width="13.7109375" style="18" customWidth="1"/>
    <col min="39" max="16384" width="9.7109375" style="18"/>
  </cols>
  <sheetData>
    <row r="1" spans="1:38" ht="34.5" customHeight="1" x14ac:dyDescent="0.2">
      <c r="A1" s="219" t="s">
        <v>69</v>
      </c>
      <c r="B1" s="220"/>
      <c r="C1" s="221"/>
      <c r="D1" s="220" t="s">
        <v>88</v>
      </c>
      <c r="E1" s="220"/>
      <c r="F1" s="220"/>
      <c r="G1" s="220"/>
      <c r="H1" s="220"/>
      <c r="I1" s="220"/>
      <c r="J1" s="221"/>
      <c r="K1" s="222" t="s">
        <v>33</v>
      </c>
      <c r="L1" s="223"/>
      <c r="M1" s="223"/>
      <c r="N1" s="223"/>
      <c r="O1" s="223"/>
      <c r="P1" s="223"/>
      <c r="Q1" s="223"/>
      <c r="R1" s="223"/>
      <c r="S1" s="223"/>
      <c r="T1" s="224"/>
      <c r="U1" s="234" t="s">
        <v>87</v>
      </c>
      <c r="V1" s="234" t="s">
        <v>93</v>
      </c>
      <c r="W1" s="234" t="s">
        <v>89</v>
      </c>
      <c r="X1" s="234" t="s">
        <v>171</v>
      </c>
      <c r="Y1" s="234" t="s">
        <v>90</v>
      </c>
      <c r="Z1" s="234" t="s">
        <v>101</v>
      </c>
      <c r="AA1" s="218" t="s">
        <v>102</v>
      </c>
      <c r="AB1" s="218" t="s">
        <v>172</v>
      </c>
      <c r="AC1" s="218" t="s">
        <v>173</v>
      </c>
      <c r="AD1" s="218" t="s">
        <v>174</v>
      </c>
      <c r="AE1" s="233" t="s">
        <v>175</v>
      </c>
      <c r="AF1" s="218" t="s">
        <v>176</v>
      </c>
      <c r="AG1" s="233" t="s">
        <v>200</v>
      </c>
      <c r="AH1" s="233" t="s">
        <v>201</v>
      </c>
      <c r="AI1" s="233" t="s">
        <v>203</v>
      </c>
      <c r="AJ1" s="233" t="s">
        <v>204</v>
      </c>
      <c r="AK1" s="233" t="s">
        <v>205</v>
      </c>
      <c r="AL1" s="218" t="s">
        <v>184</v>
      </c>
    </row>
    <row r="2" spans="1:38" ht="30" customHeight="1" x14ac:dyDescent="0.2">
      <c r="A2" s="219" t="s">
        <v>206</v>
      </c>
      <c r="B2" s="220"/>
      <c r="C2" s="220"/>
      <c r="D2" s="220"/>
      <c r="E2" s="220"/>
      <c r="F2" s="220"/>
      <c r="G2" s="220"/>
      <c r="H2" s="220"/>
      <c r="I2" s="220"/>
      <c r="J2" s="221"/>
      <c r="K2" s="225" t="s">
        <v>91</v>
      </c>
      <c r="L2" s="226"/>
      <c r="M2" s="226"/>
      <c r="N2" s="226"/>
      <c r="O2" s="226"/>
      <c r="P2" s="226"/>
      <c r="Q2" s="226"/>
      <c r="R2" s="226"/>
      <c r="S2" s="226"/>
      <c r="T2" s="227"/>
      <c r="U2" s="234"/>
      <c r="V2" s="234"/>
      <c r="W2" s="234"/>
      <c r="X2" s="234"/>
      <c r="Y2" s="234"/>
      <c r="Z2" s="234"/>
      <c r="AA2" s="218"/>
      <c r="AB2" s="218"/>
      <c r="AC2" s="218"/>
      <c r="AD2" s="218"/>
      <c r="AE2" s="233"/>
      <c r="AF2" s="218"/>
      <c r="AG2" s="233"/>
      <c r="AH2" s="233"/>
      <c r="AI2" s="233"/>
      <c r="AJ2" s="233"/>
      <c r="AK2" s="233"/>
      <c r="AL2" s="218"/>
    </row>
    <row r="3" spans="1:38" s="25" customFormat="1" ht="30" customHeight="1" x14ac:dyDescent="0.2">
      <c r="A3" s="19" t="s">
        <v>5</v>
      </c>
      <c r="B3" s="19" t="s">
        <v>18</v>
      </c>
      <c r="C3" s="19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43</v>
      </c>
      <c r="I3" s="20" t="s">
        <v>4</v>
      </c>
      <c r="J3" s="21" t="s">
        <v>28</v>
      </c>
      <c r="K3" s="22" t="s">
        <v>6</v>
      </c>
      <c r="L3" s="145" t="s">
        <v>185</v>
      </c>
      <c r="M3" s="145" t="s">
        <v>186</v>
      </c>
      <c r="N3" s="145" t="s">
        <v>187</v>
      </c>
      <c r="O3" s="145" t="s">
        <v>188</v>
      </c>
      <c r="P3" s="145" t="s">
        <v>189</v>
      </c>
      <c r="Q3" s="145" t="s">
        <v>190</v>
      </c>
      <c r="R3" s="145" t="s">
        <v>191</v>
      </c>
      <c r="S3" s="146" t="s">
        <v>0</v>
      </c>
      <c r="T3" s="23" t="s">
        <v>2</v>
      </c>
      <c r="U3" s="101">
        <v>45349</v>
      </c>
      <c r="V3" s="101">
        <v>45378</v>
      </c>
      <c r="W3" s="101">
        <v>45378</v>
      </c>
      <c r="X3" s="101">
        <v>45378</v>
      </c>
      <c r="Y3" s="101">
        <v>45432</v>
      </c>
      <c r="Z3" s="101">
        <v>45539</v>
      </c>
      <c r="AA3" s="74">
        <v>45551</v>
      </c>
      <c r="AB3" s="74">
        <v>45560</v>
      </c>
      <c r="AC3" s="74">
        <v>45560</v>
      </c>
      <c r="AD3" s="74">
        <v>45561</v>
      </c>
      <c r="AE3" s="74">
        <v>45572</v>
      </c>
      <c r="AF3" s="74">
        <v>45572</v>
      </c>
      <c r="AG3" s="74">
        <v>45701</v>
      </c>
      <c r="AH3" s="74">
        <v>45701</v>
      </c>
      <c r="AI3" s="74">
        <v>45705</v>
      </c>
      <c r="AJ3" s="74">
        <v>45705</v>
      </c>
      <c r="AK3" s="74">
        <v>45706</v>
      </c>
      <c r="AL3" s="24" t="s">
        <v>1</v>
      </c>
    </row>
    <row r="4" spans="1:38" ht="23.25" customHeight="1" x14ac:dyDescent="0.2">
      <c r="A4" s="203">
        <v>1</v>
      </c>
      <c r="B4" s="196" t="s">
        <v>31</v>
      </c>
      <c r="C4" s="26">
        <v>1</v>
      </c>
      <c r="D4" s="201" t="s">
        <v>34</v>
      </c>
      <c r="E4" s="28" t="s">
        <v>35</v>
      </c>
      <c r="F4" s="29" t="s">
        <v>16</v>
      </c>
      <c r="G4" s="29" t="s">
        <v>17</v>
      </c>
      <c r="H4" s="29" t="s">
        <v>44</v>
      </c>
      <c r="I4" s="28" t="s">
        <v>24</v>
      </c>
      <c r="J4" s="30">
        <v>12.15</v>
      </c>
      <c r="K4" s="31">
        <v>75</v>
      </c>
      <c r="L4" s="140">
        <f t="shared" ref="L4:L32" si="0">IF(SUM(U4:AO4)&gt;K4+N4,K4+N4,SUM(U4:AO4))</f>
        <v>0</v>
      </c>
      <c r="M4" s="140">
        <f t="shared" ref="M4:M32" si="1">(SUM(U4:AO4))</f>
        <v>0</v>
      </c>
      <c r="N4" s="141"/>
      <c r="O4" s="142">
        <f t="shared" ref="O4:O32" si="2">ROUND(IF(K4*0.25-0.5&lt;0,0,K4*0.25-0.5),0)-R4-P4</f>
        <v>18</v>
      </c>
      <c r="P4" s="141"/>
      <c r="Q4" s="141"/>
      <c r="R4" s="141"/>
      <c r="S4" s="159">
        <f>K4+N4+P4+Q4-M4</f>
        <v>75</v>
      </c>
      <c r="T4" s="32" t="str">
        <f t="shared" ref="T4:T32" si="3">IF(S4&lt;0,"ATENÇÃO","OK")</f>
        <v>OK</v>
      </c>
      <c r="U4" s="79"/>
      <c r="V4" s="79"/>
      <c r="W4" s="80"/>
      <c r="X4" s="81"/>
      <c r="Y4" s="84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</row>
    <row r="5" spans="1:38" ht="26.45" customHeight="1" x14ac:dyDescent="0.2">
      <c r="A5" s="204"/>
      <c r="B5" s="206"/>
      <c r="C5" s="26">
        <v>2</v>
      </c>
      <c r="D5" s="207"/>
      <c r="E5" s="28" t="s">
        <v>36</v>
      </c>
      <c r="F5" s="29" t="s">
        <v>16</v>
      </c>
      <c r="G5" s="29" t="s">
        <v>17</v>
      </c>
      <c r="H5" s="29" t="s">
        <v>44</v>
      </c>
      <c r="I5" s="28" t="s">
        <v>24</v>
      </c>
      <c r="J5" s="30">
        <v>40.5</v>
      </c>
      <c r="K5" s="31">
        <v>20</v>
      </c>
      <c r="L5" s="140">
        <f t="shared" si="0"/>
        <v>0</v>
      </c>
      <c r="M5" s="140">
        <f t="shared" si="1"/>
        <v>0</v>
      </c>
      <c r="N5" s="141"/>
      <c r="O5" s="142">
        <f t="shared" si="2"/>
        <v>5</v>
      </c>
      <c r="P5" s="141"/>
      <c r="Q5" s="141"/>
      <c r="R5" s="141"/>
      <c r="S5" s="159">
        <f t="shared" ref="S5:S32" si="4">K5+N5+P5+Q5-M5</f>
        <v>20</v>
      </c>
      <c r="T5" s="32" t="str">
        <f t="shared" si="3"/>
        <v>OK</v>
      </c>
      <c r="U5" s="79"/>
      <c r="V5" s="79"/>
      <c r="W5" s="80"/>
      <c r="X5" s="81"/>
      <c r="Y5" s="84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</row>
    <row r="6" spans="1:38" ht="24" customHeight="1" x14ac:dyDescent="0.2">
      <c r="A6" s="204"/>
      <c r="B6" s="206"/>
      <c r="C6" s="26">
        <v>3</v>
      </c>
      <c r="D6" s="207"/>
      <c r="E6" s="28" t="s">
        <v>37</v>
      </c>
      <c r="F6" s="29" t="s">
        <v>16</v>
      </c>
      <c r="G6" s="29" t="s">
        <v>17</v>
      </c>
      <c r="H6" s="29" t="s">
        <v>44</v>
      </c>
      <c r="I6" s="28" t="s">
        <v>24</v>
      </c>
      <c r="J6" s="30">
        <v>49.5</v>
      </c>
      <c r="K6" s="31">
        <f>60</f>
        <v>60</v>
      </c>
      <c r="L6" s="140">
        <f t="shared" si="0"/>
        <v>0</v>
      </c>
      <c r="M6" s="140">
        <f t="shared" si="1"/>
        <v>0</v>
      </c>
      <c r="N6" s="141">
        <v>-1</v>
      </c>
      <c r="O6" s="142">
        <f t="shared" si="2"/>
        <v>15</v>
      </c>
      <c r="P6" s="141"/>
      <c r="Q6" s="141"/>
      <c r="R6" s="141"/>
      <c r="S6" s="159">
        <f t="shared" si="4"/>
        <v>59</v>
      </c>
      <c r="T6" s="32" t="str">
        <f t="shared" si="3"/>
        <v>OK</v>
      </c>
      <c r="U6" s="79"/>
      <c r="V6" s="82"/>
      <c r="W6" s="80"/>
      <c r="X6" s="83"/>
      <c r="Y6" s="84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</row>
    <row r="7" spans="1:38" ht="24" customHeight="1" x14ac:dyDescent="0.2">
      <c r="A7" s="204"/>
      <c r="B7" s="206"/>
      <c r="C7" s="26">
        <v>4</v>
      </c>
      <c r="D7" s="207"/>
      <c r="E7" s="28" t="s">
        <v>38</v>
      </c>
      <c r="F7" s="29" t="s">
        <v>16</v>
      </c>
      <c r="G7" s="29" t="s">
        <v>17</v>
      </c>
      <c r="H7" s="29" t="s">
        <v>199</v>
      </c>
      <c r="I7" s="28" t="s">
        <v>24</v>
      </c>
      <c r="J7" s="30">
        <v>53</v>
      </c>
      <c r="K7" s="31">
        <v>10</v>
      </c>
      <c r="L7" s="140">
        <f t="shared" si="0"/>
        <v>17</v>
      </c>
      <c r="M7" s="140">
        <f t="shared" si="1"/>
        <v>17</v>
      </c>
      <c r="N7" s="141">
        <f>8+20+20</f>
        <v>48</v>
      </c>
      <c r="O7" s="142">
        <f t="shared" si="2"/>
        <v>2</v>
      </c>
      <c r="P7" s="141"/>
      <c r="Q7" s="141"/>
      <c r="R7" s="141"/>
      <c r="S7" s="159">
        <f>K7+N7+P7+Q7-M7</f>
        <v>41</v>
      </c>
      <c r="T7" s="32" t="str">
        <f t="shared" si="3"/>
        <v>OK</v>
      </c>
      <c r="U7" s="79"/>
      <c r="V7" s="79"/>
      <c r="W7" s="80"/>
      <c r="X7" s="81"/>
      <c r="Y7" s="84"/>
      <c r="Z7" s="80"/>
      <c r="AA7" s="80"/>
      <c r="AB7" s="80"/>
      <c r="AC7" s="80"/>
      <c r="AD7" s="80"/>
      <c r="AE7" s="80"/>
      <c r="AF7" s="80"/>
      <c r="AG7" s="84">
        <v>17</v>
      </c>
      <c r="AH7" s="80"/>
      <c r="AI7" s="80"/>
      <c r="AJ7" s="80"/>
      <c r="AK7" s="80"/>
      <c r="AL7" s="80"/>
    </row>
    <row r="8" spans="1:38" ht="19.5" customHeight="1" x14ac:dyDescent="0.2">
      <c r="A8" s="205"/>
      <c r="B8" s="197"/>
      <c r="C8" s="26">
        <v>5</v>
      </c>
      <c r="D8" s="202"/>
      <c r="E8" s="28" t="s">
        <v>39</v>
      </c>
      <c r="F8" s="29" t="s">
        <v>16</v>
      </c>
      <c r="G8" s="29" t="s">
        <v>17</v>
      </c>
      <c r="H8" s="29" t="s">
        <v>44</v>
      </c>
      <c r="I8" s="28" t="s">
        <v>24</v>
      </c>
      <c r="J8" s="30">
        <v>30.4</v>
      </c>
      <c r="K8" s="31">
        <v>10</v>
      </c>
      <c r="L8" s="140">
        <f t="shared" si="0"/>
        <v>0</v>
      </c>
      <c r="M8" s="140">
        <f t="shared" si="1"/>
        <v>0</v>
      </c>
      <c r="N8" s="141"/>
      <c r="O8" s="142">
        <f t="shared" si="2"/>
        <v>2</v>
      </c>
      <c r="P8" s="141"/>
      <c r="Q8" s="141"/>
      <c r="R8" s="141"/>
      <c r="S8" s="159">
        <f t="shared" si="4"/>
        <v>10</v>
      </c>
      <c r="T8" s="32" t="str">
        <f t="shared" si="3"/>
        <v>OK</v>
      </c>
      <c r="U8" s="79"/>
      <c r="V8" s="79"/>
      <c r="W8" s="80"/>
      <c r="X8" s="81"/>
      <c r="Y8" s="84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</row>
    <row r="9" spans="1:38" ht="21.75" customHeight="1" x14ac:dyDescent="0.2">
      <c r="A9" s="216">
        <v>2</v>
      </c>
      <c r="B9" s="190" t="s">
        <v>31</v>
      </c>
      <c r="C9" s="40">
        <v>6</v>
      </c>
      <c r="D9" s="199" t="s">
        <v>40</v>
      </c>
      <c r="E9" s="39" t="s">
        <v>35</v>
      </c>
      <c r="F9" s="41" t="s">
        <v>16</v>
      </c>
      <c r="G9" s="41" t="s">
        <v>17</v>
      </c>
      <c r="H9" s="41" t="s">
        <v>44</v>
      </c>
      <c r="I9" s="39" t="s">
        <v>24</v>
      </c>
      <c r="J9" s="42">
        <v>14.21</v>
      </c>
      <c r="K9" s="31">
        <v>20</v>
      </c>
      <c r="L9" s="140">
        <f t="shared" si="0"/>
        <v>0</v>
      </c>
      <c r="M9" s="140">
        <f t="shared" si="1"/>
        <v>0</v>
      </c>
      <c r="N9" s="141"/>
      <c r="O9" s="142">
        <f t="shared" si="2"/>
        <v>5</v>
      </c>
      <c r="P9" s="141"/>
      <c r="Q9" s="141"/>
      <c r="R9" s="141"/>
      <c r="S9" s="159">
        <f t="shared" si="4"/>
        <v>20</v>
      </c>
      <c r="T9" s="32" t="str">
        <f t="shared" si="3"/>
        <v>OK</v>
      </c>
      <c r="U9" s="79"/>
      <c r="V9" s="79"/>
      <c r="W9" s="80"/>
      <c r="X9" s="81"/>
      <c r="Y9" s="84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</row>
    <row r="10" spans="1:38" ht="20.25" customHeight="1" x14ac:dyDescent="0.2">
      <c r="A10" s="217"/>
      <c r="B10" s="191"/>
      <c r="C10" s="40">
        <v>7</v>
      </c>
      <c r="D10" s="200"/>
      <c r="E10" s="39" t="s">
        <v>41</v>
      </c>
      <c r="F10" s="41" t="s">
        <v>16</v>
      </c>
      <c r="G10" s="41" t="s">
        <v>17</v>
      </c>
      <c r="H10" s="41" t="s">
        <v>44</v>
      </c>
      <c r="I10" s="39" t="s">
        <v>24</v>
      </c>
      <c r="J10" s="42">
        <v>20.9</v>
      </c>
      <c r="K10" s="31">
        <v>70</v>
      </c>
      <c r="L10" s="140">
        <f t="shared" si="0"/>
        <v>0</v>
      </c>
      <c r="M10" s="140">
        <f t="shared" si="1"/>
        <v>0</v>
      </c>
      <c r="N10" s="141"/>
      <c r="O10" s="142">
        <f t="shared" si="2"/>
        <v>17</v>
      </c>
      <c r="P10" s="141"/>
      <c r="Q10" s="141"/>
      <c r="R10" s="141"/>
      <c r="S10" s="159">
        <f t="shared" si="4"/>
        <v>70</v>
      </c>
      <c r="T10" s="32" t="str">
        <f t="shared" si="3"/>
        <v>OK</v>
      </c>
      <c r="U10" s="82"/>
      <c r="V10" s="79"/>
      <c r="W10" s="80"/>
      <c r="X10" s="81"/>
      <c r="Y10" s="84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</row>
    <row r="11" spans="1:38" ht="15" x14ac:dyDescent="0.2">
      <c r="A11" s="203">
        <v>3</v>
      </c>
      <c r="B11" s="235" t="s">
        <v>42</v>
      </c>
      <c r="C11" s="26">
        <v>8</v>
      </c>
      <c r="D11" s="213" t="s">
        <v>45</v>
      </c>
      <c r="E11" s="28" t="s">
        <v>46</v>
      </c>
      <c r="F11" s="29" t="s">
        <v>16</v>
      </c>
      <c r="G11" s="29" t="s">
        <v>17</v>
      </c>
      <c r="H11" s="29" t="s">
        <v>44</v>
      </c>
      <c r="I11" s="28" t="s">
        <v>24</v>
      </c>
      <c r="J11" s="30">
        <v>423</v>
      </c>
      <c r="K11" s="31">
        <f>15</f>
        <v>15</v>
      </c>
      <c r="L11" s="140">
        <f t="shared" si="0"/>
        <v>4</v>
      </c>
      <c r="M11" s="140">
        <f t="shared" si="1"/>
        <v>4</v>
      </c>
      <c r="N11" s="141">
        <v>-1</v>
      </c>
      <c r="O11" s="142">
        <f t="shared" si="2"/>
        <v>3</v>
      </c>
      <c r="P11" s="141"/>
      <c r="Q11" s="141"/>
      <c r="R11" s="141"/>
      <c r="S11" s="159">
        <f t="shared" si="4"/>
        <v>10</v>
      </c>
      <c r="T11" s="32" t="str">
        <f t="shared" si="3"/>
        <v>OK</v>
      </c>
      <c r="U11" s="79"/>
      <c r="V11" s="82">
        <v>4</v>
      </c>
      <c r="W11" s="80"/>
      <c r="X11" s="81"/>
      <c r="Y11" s="84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</row>
    <row r="12" spans="1:38" ht="27.75" customHeight="1" x14ac:dyDescent="0.2">
      <c r="A12" s="204"/>
      <c r="B12" s="236"/>
      <c r="C12" s="161">
        <v>9</v>
      </c>
      <c r="D12" s="214"/>
      <c r="E12" s="134" t="s">
        <v>47</v>
      </c>
      <c r="F12" s="132" t="s">
        <v>16</v>
      </c>
      <c r="G12" s="132" t="s">
        <v>17</v>
      </c>
      <c r="H12" s="135" t="s">
        <v>202</v>
      </c>
      <c r="I12" s="134" t="s">
        <v>24</v>
      </c>
      <c r="J12" s="139">
        <v>1613</v>
      </c>
      <c r="K12" s="31">
        <v>20</v>
      </c>
      <c r="L12" s="140">
        <f t="shared" si="0"/>
        <v>19</v>
      </c>
      <c r="M12" s="140">
        <f t="shared" si="1"/>
        <v>19</v>
      </c>
      <c r="N12" s="141"/>
      <c r="O12" s="142">
        <f t="shared" si="2"/>
        <v>5</v>
      </c>
      <c r="P12" s="141"/>
      <c r="Q12" s="141"/>
      <c r="R12" s="141"/>
      <c r="S12" s="159">
        <f t="shared" si="4"/>
        <v>1</v>
      </c>
      <c r="T12" s="32" t="str">
        <f t="shared" si="3"/>
        <v>OK</v>
      </c>
      <c r="U12" s="79"/>
      <c r="V12" s="82">
        <v>11</v>
      </c>
      <c r="W12" s="80"/>
      <c r="X12" s="81"/>
      <c r="Y12" s="84"/>
      <c r="Z12" s="80"/>
      <c r="AA12" s="80"/>
      <c r="AB12" s="80"/>
      <c r="AC12" s="80"/>
      <c r="AD12" s="84">
        <v>4</v>
      </c>
      <c r="AE12" s="80"/>
      <c r="AF12" s="80"/>
      <c r="AG12" s="80"/>
      <c r="AH12" s="84">
        <v>4</v>
      </c>
      <c r="AI12" s="80"/>
      <c r="AJ12" s="80"/>
      <c r="AK12" s="80"/>
      <c r="AL12" s="80"/>
    </row>
    <row r="13" spans="1:38" ht="26.25" customHeight="1" x14ac:dyDescent="0.2">
      <c r="A13" s="205"/>
      <c r="B13" s="237"/>
      <c r="C13" s="100">
        <v>10</v>
      </c>
      <c r="D13" s="215"/>
      <c r="E13" s="134" t="s">
        <v>48</v>
      </c>
      <c r="F13" s="132" t="s">
        <v>16</v>
      </c>
      <c r="G13" s="132" t="s">
        <v>17</v>
      </c>
      <c r="H13" s="135" t="s">
        <v>202</v>
      </c>
      <c r="I13" s="134" t="s">
        <v>24</v>
      </c>
      <c r="J13" s="139">
        <v>1749</v>
      </c>
      <c r="K13" s="31">
        <f>30</f>
        <v>30</v>
      </c>
      <c r="L13" s="140">
        <f t="shared" si="0"/>
        <v>36</v>
      </c>
      <c r="M13" s="140">
        <f t="shared" si="1"/>
        <v>36</v>
      </c>
      <c r="N13" s="141">
        <f>-2+3+5+8+7+2+2</f>
        <v>25</v>
      </c>
      <c r="O13" s="142">
        <f t="shared" si="2"/>
        <v>7</v>
      </c>
      <c r="P13" s="141"/>
      <c r="Q13" s="141"/>
      <c r="R13" s="141"/>
      <c r="S13" s="159">
        <f t="shared" si="4"/>
        <v>19</v>
      </c>
      <c r="T13" s="32" t="str">
        <f t="shared" si="3"/>
        <v>OK</v>
      </c>
      <c r="U13" s="79"/>
      <c r="V13" s="82">
        <v>20</v>
      </c>
      <c r="W13" s="80"/>
      <c r="X13" s="81"/>
      <c r="Y13" s="84"/>
      <c r="Z13" s="80"/>
      <c r="AA13" s="80"/>
      <c r="AB13" s="80"/>
      <c r="AC13" s="80"/>
      <c r="AD13" s="84">
        <v>8</v>
      </c>
      <c r="AE13" s="80"/>
      <c r="AF13" s="80"/>
      <c r="AG13" s="80"/>
      <c r="AH13" s="84">
        <v>8</v>
      </c>
      <c r="AI13" s="80"/>
      <c r="AJ13" s="80"/>
      <c r="AK13" s="80"/>
      <c r="AL13" s="80"/>
    </row>
    <row r="14" spans="1:38" ht="25.15" customHeight="1" x14ac:dyDescent="0.2">
      <c r="A14" s="208">
        <v>4</v>
      </c>
      <c r="B14" s="209" t="s">
        <v>49</v>
      </c>
      <c r="C14" s="40">
        <v>11</v>
      </c>
      <c r="D14" s="211" t="s">
        <v>50</v>
      </c>
      <c r="E14" s="39" t="s">
        <v>51</v>
      </c>
      <c r="F14" s="41" t="s">
        <v>16</v>
      </c>
      <c r="G14" s="41" t="s">
        <v>17</v>
      </c>
      <c r="H14" s="41" t="s">
        <v>44</v>
      </c>
      <c r="I14" s="39" t="s">
        <v>53</v>
      </c>
      <c r="J14" s="42">
        <v>19.63</v>
      </c>
      <c r="K14" s="31">
        <v>3000</v>
      </c>
      <c r="L14" s="140">
        <f t="shared" si="0"/>
        <v>0</v>
      </c>
      <c r="M14" s="140">
        <f t="shared" si="1"/>
        <v>0</v>
      </c>
      <c r="N14" s="141"/>
      <c r="O14" s="142">
        <f t="shared" si="2"/>
        <v>750</v>
      </c>
      <c r="P14" s="141"/>
      <c r="Q14" s="141"/>
      <c r="R14" s="141"/>
      <c r="S14" s="159">
        <f t="shared" si="4"/>
        <v>3000</v>
      </c>
      <c r="T14" s="32" t="str">
        <f t="shared" si="3"/>
        <v>OK</v>
      </c>
      <c r="U14" s="79"/>
      <c r="V14" s="79"/>
      <c r="W14" s="80"/>
      <c r="X14" s="81"/>
      <c r="Y14" s="84"/>
      <c r="Z14" s="84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</row>
    <row r="15" spans="1:38" ht="22.7" customHeight="1" x14ac:dyDescent="0.2">
      <c r="A15" s="208"/>
      <c r="B15" s="210"/>
      <c r="C15" s="40">
        <v>12</v>
      </c>
      <c r="D15" s="212"/>
      <c r="E15" s="39" t="s">
        <v>52</v>
      </c>
      <c r="F15" s="41" t="s">
        <v>16</v>
      </c>
      <c r="G15" s="41" t="s">
        <v>17</v>
      </c>
      <c r="H15" s="41" t="s">
        <v>44</v>
      </c>
      <c r="I15" s="39" t="s">
        <v>24</v>
      </c>
      <c r="J15" s="42">
        <v>20.27</v>
      </c>
      <c r="K15" s="31">
        <v>30</v>
      </c>
      <c r="L15" s="140">
        <f t="shared" si="0"/>
        <v>0</v>
      </c>
      <c r="M15" s="140">
        <f t="shared" si="1"/>
        <v>0</v>
      </c>
      <c r="N15" s="141"/>
      <c r="O15" s="142">
        <f t="shared" si="2"/>
        <v>7</v>
      </c>
      <c r="P15" s="141"/>
      <c r="Q15" s="141"/>
      <c r="R15" s="141"/>
      <c r="S15" s="159">
        <f t="shared" si="4"/>
        <v>30</v>
      </c>
      <c r="T15" s="32" t="str">
        <f t="shared" si="3"/>
        <v>OK</v>
      </c>
      <c r="U15" s="79"/>
      <c r="V15" s="79"/>
      <c r="W15" s="80"/>
      <c r="X15" s="81"/>
      <c r="Y15" s="84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</row>
    <row r="16" spans="1:38" ht="45" customHeight="1" x14ac:dyDescent="0.2">
      <c r="A16" s="48">
        <v>5</v>
      </c>
      <c r="B16" s="28" t="s">
        <v>49</v>
      </c>
      <c r="C16" s="26">
        <v>13</v>
      </c>
      <c r="D16" s="73" t="s">
        <v>54</v>
      </c>
      <c r="E16" s="63" t="s">
        <v>55</v>
      </c>
      <c r="F16" s="50" t="s">
        <v>16</v>
      </c>
      <c r="G16" s="50" t="s">
        <v>17</v>
      </c>
      <c r="H16" s="29" t="s">
        <v>202</v>
      </c>
      <c r="I16" s="28" t="s">
        <v>53</v>
      </c>
      <c r="J16" s="30">
        <v>28.9</v>
      </c>
      <c r="K16" s="31">
        <v>200</v>
      </c>
      <c r="L16" s="140">
        <f t="shared" si="0"/>
        <v>180</v>
      </c>
      <c r="M16" s="140">
        <f t="shared" si="1"/>
        <v>180</v>
      </c>
      <c r="N16" s="141"/>
      <c r="O16" s="142">
        <f t="shared" si="2"/>
        <v>50</v>
      </c>
      <c r="P16" s="141"/>
      <c r="Q16" s="141"/>
      <c r="R16" s="141"/>
      <c r="S16" s="159">
        <f t="shared" si="4"/>
        <v>20</v>
      </c>
      <c r="T16" s="32" t="str">
        <f t="shared" si="3"/>
        <v>OK</v>
      </c>
      <c r="U16" s="82">
        <v>30</v>
      </c>
      <c r="V16" s="79"/>
      <c r="W16" s="80"/>
      <c r="X16" s="81"/>
      <c r="Y16" s="84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162">
        <v>150</v>
      </c>
      <c r="AL16" s="80"/>
    </row>
    <row r="17" spans="1:38" ht="43.5" customHeight="1" x14ac:dyDescent="0.2">
      <c r="A17" s="38">
        <v>6</v>
      </c>
      <c r="B17" s="47" t="s">
        <v>49</v>
      </c>
      <c r="C17" s="40">
        <v>14</v>
      </c>
      <c r="D17" s="47" t="s">
        <v>57</v>
      </c>
      <c r="E17" s="39" t="s">
        <v>56</v>
      </c>
      <c r="F17" s="41" t="s">
        <v>16</v>
      </c>
      <c r="G17" s="41" t="s">
        <v>17</v>
      </c>
      <c r="H17" s="41" t="s">
        <v>44</v>
      </c>
      <c r="I17" s="39" t="s">
        <v>24</v>
      </c>
      <c r="J17" s="42">
        <v>9.5</v>
      </c>
      <c r="K17" s="31">
        <v>0</v>
      </c>
      <c r="L17" s="140">
        <f t="shared" si="0"/>
        <v>0</v>
      </c>
      <c r="M17" s="140">
        <f t="shared" si="1"/>
        <v>0</v>
      </c>
      <c r="N17" s="141"/>
      <c r="O17" s="142">
        <f t="shared" si="2"/>
        <v>0</v>
      </c>
      <c r="P17" s="141"/>
      <c r="Q17" s="141"/>
      <c r="R17" s="141"/>
      <c r="S17" s="159">
        <f t="shared" si="4"/>
        <v>0</v>
      </c>
      <c r="T17" s="32" t="str">
        <f t="shared" si="3"/>
        <v>OK</v>
      </c>
      <c r="U17" s="79"/>
      <c r="V17" s="82"/>
      <c r="W17" s="80"/>
      <c r="X17" s="81"/>
      <c r="Y17" s="84"/>
      <c r="Z17" s="84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</row>
    <row r="18" spans="1:38" ht="41.25" customHeight="1" x14ac:dyDescent="0.2">
      <c r="A18" s="65">
        <v>7</v>
      </c>
      <c r="B18" s="28" t="s">
        <v>49</v>
      </c>
      <c r="C18" s="64">
        <v>15</v>
      </c>
      <c r="D18" s="37" t="s">
        <v>58</v>
      </c>
      <c r="E18" s="61" t="s">
        <v>59</v>
      </c>
      <c r="F18" s="29" t="s">
        <v>16</v>
      </c>
      <c r="G18" s="29" t="s">
        <v>17</v>
      </c>
      <c r="H18" s="29" t="s">
        <v>44</v>
      </c>
      <c r="I18" s="28" t="s">
        <v>24</v>
      </c>
      <c r="J18" s="30">
        <v>197.76</v>
      </c>
      <c r="K18" s="31">
        <v>300</v>
      </c>
      <c r="L18" s="140">
        <f t="shared" si="0"/>
        <v>0</v>
      </c>
      <c r="M18" s="140">
        <f t="shared" si="1"/>
        <v>0</v>
      </c>
      <c r="N18" s="141"/>
      <c r="O18" s="142">
        <f t="shared" si="2"/>
        <v>75</v>
      </c>
      <c r="P18" s="141"/>
      <c r="Q18" s="141"/>
      <c r="R18" s="141"/>
      <c r="S18" s="159">
        <f t="shared" si="4"/>
        <v>300</v>
      </c>
      <c r="T18" s="32" t="str">
        <f t="shared" si="3"/>
        <v>OK</v>
      </c>
      <c r="U18" s="79"/>
      <c r="V18" s="82"/>
      <c r="W18" s="80"/>
      <c r="X18" s="81"/>
      <c r="Y18" s="84"/>
      <c r="Z18" s="84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</row>
    <row r="19" spans="1:38" ht="38.25" customHeight="1" x14ac:dyDescent="0.2">
      <c r="A19" s="188">
        <v>8</v>
      </c>
      <c r="B19" s="190" t="s">
        <v>49</v>
      </c>
      <c r="C19" s="40">
        <v>16</v>
      </c>
      <c r="D19" s="199" t="s">
        <v>12</v>
      </c>
      <c r="E19" s="39" t="s">
        <v>60</v>
      </c>
      <c r="F19" s="41" t="s">
        <v>16</v>
      </c>
      <c r="G19" s="41" t="s">
        <v>17</v>
      </c>
      <c r="H19" s="41" t="s">
        <v>44</v>
      </c>
      <c r="I19" s="39" t="s">
        <v>24</v>
      </c>
      <c r="J19" s="42">
        <v>22.35</v>
      </c>
      <c r="K19" s="52">
        <v>150</v>
      </c>
      <c r="L19" s="140">
        <f t="shared" si="0"/>
        <v>0</v>
      </c>
      <c r="M19" s="140">
        <f t="shared" si="1"/>
        <v>0</v>
      </c>
      <c r="N19" s="141"/>
      <c r="O19" s="142">
        <f t="shared" si="2"/>
        <v>37</v>
      </c>
      <c r="P19" s="141"/>
      <c r="Q19" s="141"/>
      <c r="R19" s="141"/>
      <c r="S19" s="159">
        <f t="shared" si="4"/>
        <v>150</v>
      </c>
      <c r="T19" s="32" t="str">
        <f t="shared" si="3"/>
        <v>OK</v>
      </c>
      <c r="U19" s="79"/>
      <c r="V19" s="82"/>
      <c r="W19" s="80"/>
      <c r="X19" s="81"/>
      <c r="Y19" s="84"/>
      <c r="Z19" s="84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</row>
    <row r="20" spans="1:38" ht="58.7" customHeight="1" x14ac:dyDescent="0.2">
      <c r="A20" s="189"/>
      <c r="B20" s="191"/>
      <c r="C20" s="40">
        <v>17</v>
      </c>
      <c r="D20" s="200"/>
      <c r="E20" s="39" t="s">
        <v>61</v>
      </c>
      <c r="F20" s="44" t="s">
        <v>16</v>
      </c>
      <c r="G20" s="44" t="s">
        <v>17</v>
      </c>
      <c r="H20" s="41" t="s">
        <v>44</v>
      </c>
      <c r="I20" s="39" t="s">
        <v>24</v>
      </c>
      <c r="J20" s="42">
        <v>4.5999999999999996</v>
      </c>
      <c r="K20" s="52">
        <v>100</v>
      </c>
      <c r="L20" s="140">
        <f t="shared" si="0"/>
        <v>70</v>
      </c>
      <c r="M20" s="140">
        <f t="shared" si="1"/>
        <v>70</v>
      </c>
      <c r="N20" s="141"/>
      <c r="O20" s="142">
        <f t="shared" si="2"/>
        <v>25</v>
      </c>
      <c r="P20" s="141"/>
      <c r="Q20" s="141"/>
      <c r="R20" s="141"/>
      <c r="S20" s="159">
        <f t="shared" si="4"/>
        <v>30</v>
      </c>
      <c r="T20" s="32" t="str">
        <f t="shared" si="3"/>
        <v>OK</v>
      </c>
      <c r="U20" s="79"/>
      <c r="V20" s="82"/>
      <c r="W20" s="84"/>
      <c r="X20" s="81"/>
      <c r="Y20" s="84">
        <v>70</v>
      </c>
      <c r="Z20" s="3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</row>
    <row r="21" spans="1:38" ht="25.5" customHeight="1" x14ac:dyDescent="0.2">
      <c r="A21" s="48">
        <v>9</v>
      </c>
      <c r="B21" s="28" t="s">
        <v>62</v>
      </c>
      <c r="C21" s="26">
        <v>18</v>
      </c>
      <c r="D21" s="27" t="s">
        <v>63</v>
      </c>
      <c r="E21" s="28" t="s">
        <v>64</v>
      </c>
      <c r="F21" s="50" t="s">
        <v>16</v>
      </c>
      <c r="G21" s="50" t="s">
        <v>17</v>
      </c>
      <c r="H21" s="29" t="s">
        <v>44</v>
      </c>
      <c r="I21" s="28" t="s">
        <v>24</v>
      </c>
      <c r="J21" s="30">
        <v>3.46</v>
      </c>
      <c r="K21" s="52">
        <v>0</v>
      </c>
      <c r="L21" s="140">
        <f t="shared" si="0"/>
        <v>0</v>
      </c>
      <c r="M21" s="140">
        <f t="shared" si="1"/>
        <v>0</v>
      </c>
      <c r="N21" s="141"/>
      <c r="O21" s="142">
        <f t="shared" si="2"/>
        <v>0</v>
      </c>
      <c r="P21" s="141"/>
      <c r="Q21" s="141"/>
      <c r="R21" s="141"/>
      <c r="S21" s="159">
        <f t="shared" si="4"/>
        <v>0</v>
      </c>
      <c r="T21" s="32" t="str">
        <f t="shared" si="3"/>
        <v>OK</v>
      </c>
      <c r="U21" s="82"/>
      <c r="V21" s="79"/>
      <c r="W21" s="84"/>
      <c r="X21" s="81"/>
      <c r="Y21" s="84"/>
      <c r="Z21" s="3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</row>
    <row r="22" spans="1:38" ht="74.099999999999994" customHeight="1" x14ac:dyDescent="0.2">
      <c r="A22" s="38">
        <v>10</v>
      </c>
      <c r="B22" s="47" t="s">
        <v>31</v>
      </c>
      <c r="C22" s="40">
        <v>19</v>
      </c>
      <c r="D22" s="47" t="s">
        <v>27</v>
      </c>
      <c r="E22" s="39" t="s">
        <v>23</v>
      </c>
      <c r="F22" s="44" t="s">
        <v>16</v>
      </c>
      <c r="G22" s="44" t="s">
        <v>17</v>
      </c>
      <c r="H22" s="41" t="s">
        <v>199</v>
      </c>
      <c r="I22" s="39" t="s">
        <v>24</v>
      </c>
      <c r="J22" s="42">
        <v>0.4</v>
      </c>
      <c r="K22" s="52">
        <v>10000</v>
      </c>
      <c r="L22" s="140">
        <f t="shared" si="0"/>
        <v>5800</v>
      </c>
      <c r="M22" s="140">
        <f t="shared" si="1"/>
        <v>5800</v>
      </c>
      <c r="N22" s="141"/>
      <c r="O22" s="142">
        <f t="shared" si="2"/>
        <v>2500</v>
      </c>
      <c r="P22" s="141"/>
      <c r="Q22" s="141"/>
      <c r="R22" s="141"/>
      <c r="S22" s="159">
        <f t="shared" si="4"/>
        <v>4200</v>
      </c>
      <c r="T22" s="32" t="str">
        <f t="shared" si="3"/>
        <v>OK</v>
      </c>
      <c r="U22" s="82"/>
      <c r="V22" s="79"/>
      <c r="W22" s="84">
        <v>5000</v>
      </c>
      <c r="X22" s="81"/>
      <c r="Y22" s="84"/>
      <c r="Z22" s="30"/>
      <c r="AA22" s="84"/>
      <c r="AB22" s="80"/>
      <c r="AC22" s="80"/>
      <c r="AD22" s="80"/>
      <c r="AE22" s="80"/>
      <c r="AF22" s="80"/>
      <c r="AG22" s="84">
        <v>800</v>
      </c>
      <c r="AH22" s="80"/>
      <c r="AI22" s="80"/>
      <c r="AJ22" s="80"/>
      <c r="AK22" s="80"/>
      <c r="AL22" s="80"/>
    </row>
    <row r="23" spans="1:38" ht="41.25" customHeight="1" x14ac:dyDescent="0.2">
      <c r="A23" s="194">
        <v>11</v>
      </c>
      <c r="B23" s="196" t="s">
        <v>65</v>
      </c>
      <c r="C23" s="26">
        <v>20</v>
      </c>
      <c r="D23" s="201" t="s">
        <v>25</v>
      </c>
      <c r="E23" s="28" t="s">
        <v>19</v>
      </c>
      <c r="F23" s="50" t="s">
        <v>16</v>
      </c>
      <c r="G23" s="50" t="s">
        <v>17</v>
      </c>
      <c r="H23" s="29" t="s">
        <v>202</v>
      </c>
      <c r="I23" s="28" t="s">
        <v>24</v>
      </c>
      <c r="J23" s="30">
        <v>3.95</v>
      </c>
      <c r="K23" s="31">
        <f>100</f>
        <v>100</v>
      </c>
      <c r="L23" s="140">
        <f t="shared" si="0"/>
        <v>1870</v>
      </c>
      <c r="M23" s="140">
        <f t="shared" si="1"/>
        <v>1870</v>
      </c>
      <c r="N23" s="141">
        <f>660+500+200+150+300+15</f>
        <v>1825</v>
      </c>
      <c r="O23" s="142">
        <f t="shared" si="2"/>
        <v>25</v>
      </c>
      <c r="P23" s="141"/>
      <c r="Q23" s="141"/>
      <c r="R23" s="141"/>
      <c r="S23" s="159">
        <f t="shared" si="4"/>
        <v>55</v>
      </c>
      <c r="T23" s="32" t="str">
        <f t="shared" si="3"/>
        <v>OK</v>
      </c>
      <c r="U23" s="82"/>
      <c r="V23" s="79"/>
      <c r="W23" s="80"/>
      <c r="X23" s="81"/>
      <c r="Y23" s="84"/>
      <c r="Z23" s="30"/>
      <c r="AA23" s="84"/>
      <c r="AB23" s="84"/>
      <c r="AC23" s="80"/>
      <c r="AD23" s="80"/>
      <c r="AE23" s="80"/>
      <c r="AF23" s="80"/>
      <c r="AG23" s="80"/>
      <c r="AH23" s="80"/>
      <c r="AI23" s="80"/>
      <c r="AJ23" s="160">
        <v>1870</v>
      </c>
      <c r="AK23" s="80"/>
      <c r="AL23" s="80"/>
    </row>
    <row r="24" spans="1:38" ht="38.25" customHeight="1" x14ac:dyDescent="0.2">
      <c r="A24" s="195"/>
      <c r="B24" s="197"/>
      <c r="C24" s="182">
        <v>21</v>
      </c>
      <c r="D24" s="232"/>
      <c r="E24" s="183" t="s">
        <v>20</v>
      </c>
      <c r="F24" s="184" t="s">
        <v>16</v>
      </c>
      <c r="G24" s="184" t="s">
        <v>17</v>
      </c>
      <c r="H24" s="185" t="s">
        <v>202</v>
      </c>
      <c r="I24" s="183" t="s">
        <v>24</v>
      </c>
      <c r="J24" s="186">
        <v>2.41</v>
      </c>
      <c r="K24" s="31">
        <f>200</f>
        <v>200</v>
      </c>
      <c r="L24" s="140">
        <f t="shared" si="0"/>
        <v>2660</v>
      </c>
      <c r="M24" s="140">
        <f t="shared" si="1"/>
        <v>2660</v>
      </c>
      <c r="N24" s="141">
        <f>1000+300+300+100+300+110+150+150+200-150</f>
        <v>2460</v>
      </c>
      <c r="O24" s="142">
        <f t="shared" si="2"/>
        <v>50</v>
      </c>
      <c r="P24" s="141"/>
      <c r="Q24" s="141"/>
      <c r="R24" s="141"/>
      <c r="S24" s="159">
        <f t="shared" si="4"/>
        <v>0</v>
      </c>
      <c r="T24" s="32" t="str">
        <f t="shared" si="3"/>
        <v>OK</v>
      </c>
      <c r="U24" s="79"/>
      <c r="V24" s="79"/>
      <c r="W24" s="80"/>
      <c r="X24" s="83">
        <v>101</v>
      </c>
      <c r="Y24" s="84"/>
      <c r="Z24" s="30"/>
      <c r="AA24" s="80"/>
      <c r="AB24" s="84">
        <v>2299</v>
      </c>
      <c r="AC24" s="80"/>
      <c r="AD24" s="80"/>
      <c r="AE24" s="80">
        <v>260</v>
      </c>
      <c r="AF24" s="80"/>
      <c r="AG24" s="80"/>
      <c r="AH24" s="80"/>
      <c r="AI24" s="80"/>
      <c r="AJ24" s="160"/>
      <c r="AK24" s="80"/>
      <c r="AL24" s="80"/>
    </row>
    <row r="25" spans="1:38" ht="50.25" customHeight="1" x14ac:dyDescent="0.2">
      <c r="A25" s="188">
        <v>12</v>
      </c>
      <c r="B25" s="190" t="s">
        <v>62</v>
      </c>
      <c r="C25" s="40">
        <v>22</v>
      </c>
      <c r="D25" s="199" t="s">
        <v>26</v>
      </c>
      <c r="E25" s="39" t="s">
        <v>19</v>
      </c>
      <c r="F25" s="44" t="s">
        <v>16</v>
      </c>
      <c r="G25" s="44" t="s">
        <v>17</v>
      </c>
      <c r="H25" s="41" t="s">
        <v>44</v>
      </c>
      <c r="I25" s="39" t="s">
        <v>24</v>
      </c>
      <c r="J25" s="42">
        <v>2.48</v>
      </c>
      <c r="K25" s="31">
        <f>100</f>
        <v>100</v>
      </c>
      <c r="L25" s="140">
        <f t="shared" si="0"/>
        <v>303</v>
      </c>
      <c r="M25" s="140">
        <f t="shared" si="1"/>
        <v>303</v>
      </c>
      <c r="N25" s="141">
        <f>500+200+50+1301+10</f>
        <v>2061</v>
      </c>
      <c r="O25" s="142">
        <f t="shared" si="2"/>
        <v>25</v>
      </c>
      <c r="P25" s="141"/>
      <c r="Q25" s="141"/>
      <c r="R25" s="141"/>
      <c r="S25" s="159">
        <f t="shared" si="4"/>
        <v>1858</v>
      </c>
      <c r="T25" s="32" t="str">
        <f t="shared" si="3"/>
        <v>OK</v>
      </c>
      <c r="U25" s="79"/>
      <c r="V25" s="79"/>
      <c r="W25" s="84"/>
      <c r="X25" s="81"/>
      <c r="Y25" s="84"/>
      <c r="Z25" s="30"/>
      <c r="AA25" s="80"/>
      <c r="AB25" s="80"/>
      <c r="AC25" s="80"/>
      <c r="AD25" s="80"/>
      <c r="AE25" s="80"/>
      <c r="AF25" s="80"/>
      <c r="AG25" s="80"/>
      <c r="AH25" s="80"/>
      <c r="AI25" s="48">
        <v>303</v>
      </c>
      <c r="AJ25" s="80"/>
      <c r="AK25" s="80"/>
      <c r="AL25" s="80"/>
    </row>
    <row r="26" spans="1:38" ht="36" customHeight="1" x14ac:dyDescent="0.2">
      <c r="A26" s="189"/>
      <c r="B26" s="191"/>
      <c r="C26" s="40">
        <v>23</v>
      </c>
      <c r="D26" s="200"/>
      <c r="E26" s="43" t="s">
        <v>20</v>
      </c>
      <c r="F26" s="44" t="s">
        <v>16</v>
      </c>
      <c r="G26" s="44" t="s">
        <v>17</v>
      </c>
      <c r="H26" s="41" t="s">
        <v>44</v>
      </c>
      <c r="I26" s="39" t="s">
        <v>24</v>
      </c>
      <c r="J26" s="42">
        <v>1.2</v>
      </c>
      <c r="K26" s="31">
        <f>200</f>
        <v>200</v>
      </c>
      <c r="L26" s="140">
        <f t="shared" si="0"/>
        <v>2509</v>
      </c>
      <c r="M26" s="140">
        <f t="shared" si="1"/>
        <v>2509</v>
      </c>
      <c r="N26" s="141">
        <f>100+600+400+600+0+110+2000+150+199+300</f>
        <v>4459</v>
      </c>
      <c r="O26" s="142">
        <f t="shared" si="2"/>
        <v>50</v>
      </c>
      <c r="P26" s="141"/>
      <c r="Q26" s="141"/>
      <c r="R26" s="141"/>
      <c r="S26" s="159">
        <f>K26+N26+P26+Q26-M26</f>
        <v>2150</v>
      </c>
      <c r="T26" s="32" t="str">
        <f t="shared" si="3"/>
        <v>OK</v>
      </c>
      <c r="U26" s="79"/>
      <c r="V26" s="79"/>
      <c r="W26" s="80"/>
      <c r="X26" s="81"/>
      <c r="Y26" s="84"/>
      <c r="Z26" s="30"/>
      <c r="AA26" s="80"/>
      <c r="AB26" s="80"/>
      <c r="AC26" s="84">
        <v>300</v>
      </c>
      <c r="AD26" s="80"/>
      <c r="AE26" s="80"/>
      <c r="AF26" s="80">
        <v>500</v>
      </c>
      <c r="AG26" s="80"/>
      <c r="AH26" s="80"/>
      <c r="AI26" s="48">
        <v>1709</v>
      </c>
      <c r="AJ26" s="80"/>
      <c r="AK26" s="80"/>
      <c r="AL26" s="80"/>
    </row>
    <row r="27" spans="1:38" ht="35.25" customHeight="1" x14ac:dyDescent="0.2">
      <c r="A27" s="228">
        <v>13</v>
      </c>
      <c r="B27" s="196" t="s">
        <v>65</v>
      </c>
      <c r="C27" s="161">
        <v>24</v>
      </c>
      <c r="D27" s="213" t="s">
        <v>66</v>
      </c>
      <c r="E27" s="134" t="s">
        <v>21</v>
      </c>
      <c r="F27" s="138" t="s">
        <v>16</v>
      </c>
      <c r="G27" s="135" t="s">
        <v>17</v>
      </c>
      <c r="H27" s="29" t="s">
        <v>202</v>
      </c>
      <c r="I27" s="134" t="s">
        <v>24</v>
      </c>
      <c r="J27" s="139">
        <v>0.33</v>
      </c>
      <c r="K27" s="31">
        <f>1000</f>
        <v>1000</v>
      </c>
      <c r="L27" s="140">
        <f t="shared" si="0"/>
        <v>9349</v>
      </c>
      <c r="M27" s="140">
        <f t="shared" si="1"/>
        <v>9349</v>
      </c>
      <c r="N27" s="141">
        <f>500+5000+1000+500+1350+300+200</f>
        <v>8850</v>
      </c>
      <c r="O27" s="142">
        <f t="shared" si="2"/>
        <v>250</v>
      </c>
      <c r="P27" s="141"/>
      <c r="Q27" s="141"/>
      <c r="R27" s="141"/>
      <c r="S27" s="159">
        <f t="shared" si="4"/>
        <v>501</v>
      </c>
      <c r="T27" s="32" t="str">
        <f t="shared" si="3"/>
        <v>OK</v>
      </c>
      <c r="U27" s="79"/>
      <c r="V27" s="79"/>
      <c r="W27" s="80"/>
      <c r="X27" s="81"/>
      <c r="Y27" s="84"/>
      <c r="Z27" s="30"/>
      <c r="AA27" s="84">
        <v>1000</v>
      </c>
      <c r="AB27" s="80"/>
      <c r="AC27" s="80"/>
      <c r="AD27" s="80"/>
      <c r="AE27" s="80"/>
      <c r="AF27" s="80"/>
      <c r="AG27" s="80"/>
      <c r="AH27" s="80"/>
      <c r="AI27" s="80"/>
      <c r="AJ27" s="160">
        <v>8349</v>
      </c>
      <c r="AK27" s="80"/>
      <c r="AL27" s="80"/>
    </row>
    <row r="28" spans="1:38" ht="35.25" customHeight="1" x14ac:dyDescent="0.2">
      <c r="A28" s="229"/>
      <c r="B28" s="197"/>
      <c r="C28" s="161">
        <v>25</v>
      </c>
      <c r="D28" s="215"/>
      <c r="E28" s="134" t="s">
        <v>22</v>
      </c>
      <c r="F28" s="138" t="s">
        <v>16</v>
      </c>
      <c r="G28" s="138" t="s">
        <v>17</v>
      </c>
      <c r="H28" s="29" t="s">
        <v>202</v>
      </c>
      <c r="I28" s="134" t="s">
        <v>24</v>
      </c>
      <c r="J28" s="139">
        <v>0.15</v>
      </c>
      <c r="K28" s="31">
        <f>25000</f>
        <v>25000</v>
      </c>
      <c r="L28" s="140">
        <f t="shared" si="0"/>
        <v>59000</v>
      </c>
      <c r="M28" s="140">
        <f t="shared" si="1"/>
        <v>59000</v>
      </c>
      <c r="N28" s="141">
        <f>7000+6001+3000+1100+4004+5000+8000</f>
        <v>34105</v>
      </c>
      <c r="O28" s="142">
        <f t="shared" si="2"/>
        <v>6250</v>
      </c>
      <c r="P28" s="141"/>
      <c r="Q28" s="141"/>
      <c r="R28" s="141"/>
      <c r="S28" s="159">
        <f t="shared" si="4"/>
        <v>105</v>
      </c>
      <c r="T28" s="32" t="str">
        <f t="shared" si="3"/>
        <v>OK</v>
      </c>
      <c r="U28" s="79"/>
      <c r="V28" s="79"/>
      <c r="W28" s="80"/>
      <c r="X28" s="83">
        <v>2000</v>
      </c>
      <c r="Y28" s="84"/>
      <c r="Z28" s="30"/>
      <c r="AA28" s="84">
        <v>23000</v>
      </c>
      <c r="AB28" s="80"/>
      <c r="AC28" s="80"/>
      <c r="AD28" s="80"/>
      <c r="AE28" s="80"/>
      <c r="AF28" s="80"/>
      <c r="AG28" s="80"/>
      <c r="AH28" s="80"/>
      <c r="AI28" s="80"/>
      <c r="AJ28" s="160">
        <v>34000</v>
      </c>
      <c r="AK28" s="80"/>
      <c r="AL28" s="80"/>
    </row>
    <row r="29" spans="1:38" ht="25.5" x14ac:dyDescent="0.2">
      <c r="A29" s="188">
        <v>14</v>
      </c>
      <c r="B29" s="190" t="s">
        <v>65</v>
      </c>
      <c r="C29" s="40">
        <v>26</v>
      </c>
      <c r="D29" s="230" t="s">
        <v>67</v>
      </c>
      <c r="E29" s="66" t="s">
        <v>21</v>
      </c>
      <c r="F29" s="44" t="s">
        <v>16</v>
      </c>
      <c r="G29" s="44" t="s">
        <v>17</v>
      </c>
      <c r="H29" s="41" t="s">
        <v>44</v>
      </c>
      <c r="I29" s="39" t="s">
        <v>24</v>
      </c>
      <c r="J29" s="42">
        <v>0.33</v>
      </c>
      <c r="K29" s="31">
        <v>5000</v>
      </c>
      <c r="L29" s="140">
        <f t="shared" si="0"/>
        <v>0</v>
      </c>
      <c r="M29" s="140">
        <f t="shared" si="1"/>
        <v>0</v>
      </c>
      <c r="N29" s="141"/>
      <c r="O29" s="142">
        <f t="shared" si="2"/>
        <v>1250</v>
      </c>
      <c r="P29" s="141"/>
      <c r="Q29" s="141"/>
      <c r="R29" s="141"/>
      <c r="S29" s="159">
        <f t="shared" si="4"/>
        <v>5000</v>
      </c>
      <c r="T29" s="32" t="str">
        <f t="shared" si="3"/>
        <v>OK</v>
      </c>
      <c r="U29" s="79"/>
      <c r="V29" s="79"/>
      <c r="W29" s="80"/>
      <c r="X29" s="81"/>
      <c r="Y29" s="84"/>
      <c r="Z29" s="3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</row>
    <row r="30" spans="1:38" ht="25.5" x14ac:dyDescent="0.2">
      <c r="A30" s="189"/>
      <c r="B30" s="191"/>
      <c r="C30" s="40">
        <v>27</v>
      </c>
      <c r="D30" s="231"/>
      <c r="E30" s="66" t="s">
        <v>22</v>
      </c>
      <c r="F30" s="44" t="s">
        <v>16</v>
      </c>
      <c r="G30" s="44" t="s">
        <v>17</v>
      </c>
      <c r="H30" s="41" t="s">
        <v>44</v>
      </c>
      <c r="I30" s="39" t="s">
        <v>24</v>
      </c>
      <c r="J30" s="42">
        <v>0.23</v>
      </c>
      <c r="K30" s="31">
        <v>5000</v>
      </c>
      <c r="L30" s="140">
        <f t="shared" si="0"/>
        <v>0</v>
      </c>
      <c r="M30" s="140">
        <f t="shared" si="1"/>
        <v>0</v>
      </c>
      <c r="N30" s="141"/>
      <c r="O30" s="142">
        <f t="shared" si="2"/>
        <v>1250</v>
      </c>
      <c r="P30" s="141"/>
      <c r="Q30" s="141"/>
      <c r="R30" s="141"/>
      <c r="S30" s="159">
        <f t="shared" si="4"/>
        <v>5000</v>
      </c>
      <c r="T30" s="32" t="str">
        <f t="shared" si="3"/>
        <v>OK</v>
      </c>
      <c r="U30" s="79"/>
      <c r="V30" s="79"/>
      <c r="W30" s="80"/>
      <c r="X30" s="81"/>
      <c r="Y30" s="84"/>
      <c r="Z30" s="3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</row>
    <row r="31" spans="1:38" ht="27" customHeight="1" x14ac:dyDescent="0.2">
      <c r="A31" s="194">
        <v>15</v>
      </c>
      <c r="B31" s="196" t="s">
        <v>31</v>
      </c>
      <c r="C31" s="26">
        <v>28</v>
      </c>
      <c r="D31" s="198" t="s">
        <v>68</v>
      </c>
      <c r="E31" s="28" t="s">
        <v>21</v>
      </c>
      <c r="F31" s="50" t="s">
        <v>16</v>
      </c>
      <c r="G31" s="50" t="s">
        <v>17</v>
      </c>
      <c r="H31" s="29" t="s">
        <v>44</v>
      </c>
      <c r="I31" s="28" t="s">
        <v>24</v>
      </c>
      <c r="J31" s="30">
        <v>0.4</v>
      </c>
      <c r="K31" s="31">
        <v>0</v>
      </c>
      <c r="L31" s="140">
        <f t="shared" si="0"/>
        <v>0</v>
      </c>
      <c r="M31" s="140">
        <f t="shared" si="1"/>
        <v>0</v>
      </c>
      <c r="N31" s="141"/>
      <c r="O31" s="142">
        <f t="shared" si="2"/>
        <v>0</v>
      </c>
      <c r="P31" s="141"/>
      <c r="Q31" s="141"/>
      <c r="R31" s="141"/>
      <c r="S31" s="159">
        <f t="shared" si="4"/>
        <v>0</v>
      </c>
      <c r="T31" s="32" t="str">
        <f t="shared" si="3"/>
        <v>OK</v>
      </c>
      <c r="U31" s="79"/>
      <c r="V31" s="82"/>
      <c r="W31" s="84"/>
      <c r="X31" s="81"/>
      <c r="Y31" s="84"/>
      <c r="Z31" s="3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</row>
    <row r="32" spans="1:38" ht="59.25" customHeight="1" x14ac:dyDescent="0.2">
      <c r="A32" s="195"/>
      <c r="B32" s="197"/>
      <c r="C32" s="26">
        <v>29</v>
      </c>
      <c r="D32" s="198"/>
      <c r="E32" s="28" t="s">
        <v>22</v>
      </c>
      <c r="F32" s="50" t="s">
        <v>16</v>
      </c>
      <c r="G32" s="50" t="s">
        <v>17</v>
      </c>
      <c r="H32" s="29" t="s">
        <v>44</v>
      </c>
      <c r="I32" s="28" t="s">
        <v>24</v>
      </c>
      <c r="J32" s="30">
        <v>0.44</v>
      </c>
      <c r="K32" s="31">
        <f>0</f>
        <v>0</v>
      </c>
      <c r="L32" s="140">
        <f t="shared" si="0"/>
        <v>2000</v>
      </c>
      <c r="M32" s="140">
        <f t="shared" si="1"/>
        <v>2000</v>
      </c>
      <c r="N32" s="141">
        <f>2000+2000+1500+3000</f>
        <v>8500</v>
      </c>
      <c r="O32" s="142">
        <f t="shared" si="2"/>
        <v>0</v>
      </c>
      <c r="P32" s="141"/>
      <c r="Q32" s="141"/>
      <c r="R32" s="141"/>
      <c r="S32" s="159">
        <f t="shared" si="4"/>
        <v>6500</v>
      </c>
      <c r="T32" s="32" t="str">
        <f t="shared" si="3"/>
        <v>OK</v>
      </c>
      <c r="U32" s="79"/>
      <c r="V32" s="79"/>
      <c r="W32" s="80"/>
      <c r="X32" s="81"/>
      <c r="Y32" s="84"/>
      <c r="Z32" s="80">
        <v>2000</v>
      </c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</row>
    <row r="33" spans="11:38" x14ac:dyDescent="0.2">
      <c r="K33" s="56">
        <f>SUM(K4:K32)</f>
        <v>50710</v>
      </c>
      <c r="S33" s="56">
        <f t="shared" ref="S33" si="5">SUM(S4:S32)</f>
        <v>29224</v>
      </c>
      <c r="U33" s="67">
        <f t="shared" ref="U33:AL33" si="6">SUMPRODUCT($J$4:$J$32,U4:U32)</f>
        <v>867</v>
      </c>
      <c r="V33" s="59">
        <f t="shared" si="6"/>
        <v>54415</v>
      </c>
      <c r="W33" s="59">
        <f>SUMPRODUCT($J$4:$J$32,W4:W32)</f>
        <v>2000</v>
      </c>
      <c r="X33" s="59">
        <f t="shared" si="6"/>
        <v>543.41000000000008</v>
      </c>
      <c r="Y33" s="85">
        <f t="shared" si="6"/>
        <v>322</v>
      </c>
      <c r="Z33" s="59">
        <f t="shared" si="6"/>
        <v>880</v>
      </c>
      <c r="AA33" s="59">
        <f t="shared" si="6"/>
        <v>3780</v>
      </c>
      <c r="AB33" s="85">
        <f t="shared" si="6"/>
        <v>5540.59</v>
      </c>
      <c r="AC33" s="85">
        <f t="shared" si="6"/>
        <v>360</v>
      </c>
      <c r="AD33" s="59">
        <f t="shared" si="6"/>
        <v>20444</v>
      </c>
      <c r="AE33" s="59">
        <f t="shared" si="6"/>
        <v>626.6</v>
      </c>
      <c r="AF33" s="59">
        <f t="shared" si="6"/>
        <v>600</v>
      </c>
      <c r="AG33" s="67">
        <f t="shared" si="6"/>
        <v>1221</v>
      </c>
      <c r="AH33" s="59">
        <f t="shared" si="6"/>
        <v>20444</v>
      </c>
      <c r="AI33" s="67">
        <f>SUMPRODUCT($J$4:$J$32,AI4:AI32)</f>
        <v>2802.24</v>
      </c>
      <c r="AJ33" s="67">
        <f>SUMPRODUCT($J$4:$J$32,AJ4:AJ32)</f>
        <v>15241.67</v>
      </c>
      <c r="AK33" s="59">
        <f t="shared" si="6"/>
        <v>4335</v>
      </c>
      <c r="AL33" s="163">
        <f t="shared" si="6"/>
        <v>0</v>
      </c>
    </row>
    <row r="34" spans="11:38" x14ac:dyDescent="0.2">
      <c r="K34" s="148">
        <f>SUMPRODUCT($J$4:$J$32,K4:K32)</f>
        <v>239011.05000000002</v>
      </c>
      <c r="L34" s="148">
        <f t="shared" ref="L34:M34" si="7">SUMPRODUCT($J$4:$J$32,L4:L32)</f>
        <v>134422.51</v>
      </c>
      <c r="M34" s="148">
        <f t="shared" si="7"/>
        <v>134422.51</v>
      </c>
      <c r="V34" s="75"/>
      <c r="W34" s="77"/>
      <c r="X34" s="78"/>
    </row>
    <row r="35" spans="11:38" x14ac:dyDescent="0.2">
      <c r="V35" s="76"/>
      <c r="AB35" s="131"/>
    </row>
    <row r="36" spans="11:38" x14ac:dyDescent="0.2">
      <c r="AG36" s="72"/>
      <c r="AH36" s="72"/>
      <c r="AI36" s="72"/>
      <c r="AJ36" s="72"/>
    </row>
    <row r="37" spans="11:38" x14ac:dyDescent="0.2">
      <c r="AG37" s="72"/>
      <c r="AH37" s="72"/>
      <c r="AI37" s="72"/>
      <c r="AJ37" s="72"/>
    </row>
  </sheetData>
  <autoFilter ref="A3:AL34" xr:uid="{00000000-0001-0000-0200-000000000000}"/>
  <mergeCells count="53">
    <mergeCell ref="B11:B13"/>
    <mergeCell ref="B14:B15"/>
    <mergeCell ref="D11:D13"/>
    <mergeCell ref="A11:A13"/>
    <mergeCell ref="A2:J2"/>
    <mergeCell ref="B4:B8"/>
    <mergeCell ref="A4:A8"/>
    <mergeCell ref="D4:D8"/>
    <mergeCell ref="A9:A10"/>
    <mergeCell ref="B9:B10"/>
    <mergeCell ref="D9:D10"/>
    <mergeCell ref="X1:X2"/>
    <mergeCell ref="V1:V2"/>
    <mergeCell ref="Z1:Z2"/>
    <mergeCell ref="Y1:Y2"/>
    <mergeCell ref="A1:C1"/>
    <mergeCell ref="W1:W2"/>
    <mergeCell ref="K1:T1"/>
    <mergeCell ref="U1:U2"/>
    <mergeCell ref="D1:J1"/>
    <mergeCell ref="K2:T2"/>
    <mergeCell ref="AL1:AL2"/>
    <mergeCell ref="AG1:AG2"/>
    <mergeCell ref="AE1:AE2"/>
    <mergeCell ref="AF1:AF2"/>
    <mergeCell ref="AA1:AA2"/>
    <mergeCell ref="AB1:AB2"/>
    <mergeCell ref="AC1:AC2"/>
    <mergeCell ref="AD1:AD2"/>
    <mergeCell ref="AH1:AH2"/>
    <mergeCell ref="AI1:AI2"/>
    <mergeCell ref="AJ1:AJ2"/>
    <mergeCell ref="AK1:AK2"/>
    <mergeCell ref="A19:A20"/>
    <mergeCell ref="B19:B20"/>
    <mergeCell ref="D19:D20"/>
    <mergeCell ref="D14:D15"/>
    <mergeCell ref="A14:A15"/>
    <mergeCell ref="A23:A24"/>
    <mergeCell ref="B23:B24"/>
    <mergeCell ref="A25:A26"/>
    <mergeCell ref="B25:B26"/>
    <mergeCell ref="D25:D26"/>
    <mergeCell ref="D23:D24"/>
    <mergeCell ref="A31:A32"/>
    <mergeCell ref="B31:B32"/>
    <mergeCell ref="A27:A28"/>
    <mergeCell ref="B27:B28"/>
    <mergeCell ref="D27:D28"/>
    <mergeCell ref="A29:A30"/>
    <mergeCell ref="B29:B30"/>
    <mergeCell ref="D29:D30"/>
    <mergeCell ref="D31:D32"/>
  </mergeCells>
  <conditionalFormatting sqref="U4:AL32">
    <cfRule type="cellIs" dxfId="26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66998-353D-4E78-A5C2-47530402A741}">
  <dimension ref="A1:AI34"/>
  <sheetViews>
    <sheetView topLeftCell="A22" workbookViewId="0">
      <selection activeCell="N31" sqref="N31"/>
    </sheetView>
  </sheetViews>
  <sheetFormatPr defaultColWidth="9.7109375" defaultRowHeight="12.75" x14ac:dyDescent="0.2"/>
  <cols>
    <col min="1" max="1" width="7.7109375" style="53" customWidth="1"/>
    <col min="2" max="2" width="10.85546875" style="53" customWidth="1"/>
    <col min="3" max="3" width="5.5703125" style="53" bestFit="1" customWidth="1"/>
    <col min="4" max="4" width="20" style="54" customWidth="1"/>
    <col min="5" max="5" width="10.85546875" style="53" bestFit="1" customWidth="1"/>
    <col min="6" max="6" width="12.28515625" style="53" customWidth="1"/>
    <col min="7" max="7" width="13" style="53" customWidth="1"/>
    <col min="8" max="8" width="11.85546875" style="53" customWidth="1"/>
    <col min="9" max="9" width="9.42578125" style="53" customWidth="1"/>
    <col min="10" max="10" width="12.7109375" style="55" bestFit="1" customWidth="1"/>
    <col min="11" max="11" width="11.7109375" style="56" customWidth="1"/>
    <col min="12" max="12" width="11.5703125" style="56" customWidth="1"/>
    <col min="13" max="13" width="10.5703125" style="56" customWidth="1"/>
    <col min="14" max="14" width="9.42578125" style="56" customWidth="1"/>
    <col min="15" max="15" width="14" style="56" bestFit="1" customWidth="1"/>
    <col min="16" max="16" width="8.85546875" style="56" customWidth="1"/>
    <col min="17" max="17" width="7.85546875" style="56" customWidth="1"/>
    <col min="18" max="18" width="11.5703125" style="56" customWidth="1"/>
    <col min="19" max="19" width="10.28515625" style="57" customWidth="1"/>
    <col min="20" max="20" width="12.5703125" style="58" customWidth="1"/>
    <col min="21" max="22" width="13.7109375" style="60" customWidth="1"/>
    <col min="23" max="35" width="13.7109375" style="18" customWidth="1"/>
    <col min="36" max="16384" width="9.7109375" style="18"/>
  </cols>
  <sheetData>
    <row r="1" spans="1:35" ht="34.5" customHeight="1" x14ac:dyDescent="0.2">
      <c r="A1" s="219" t="s">
        <v>69</v>
      </c>
      <c r="B1" s="220"/>
      <c r="C1" s="221"/>
      <c r="D1" s="220" t="s">
        <v>32</v>
      </c>
      <c r="E1" s="220"/>
      <c r="F1" s="220"/>
      <c r="G1" s="220"/>
      <c r="H1" s="220"/>
      <c r="I1" s="220"/>
      <c r="J1" s="221"/>
      <c r="K1" s="222" t="s">
        <v>33</v>
      </c>
      <c r="L1" s="223"/>
      <c r="M1" s="223"/>
      <c r="N1" s="223"/>
      <c r="O1" s="223"/>
      <c r="P1" s="223"/>
      <c r="Q1" s="223"/>
      <c r="R1" s="223"/>
      <c r="S1" s="223"/>
      <c r="T1" s="224"/>
      <c r="U1" s="218" t="s">
        <v>30</v>
      </c>
      <c r="V1" s="218" t="s">
        <v>30</v>
      </c>
      <c r="W1" s="218" t="s">
        <v>30</v>
      </c>
      <c r="X1" s="218" t="s">
        <v>30</v>
      </c>
      <c r="Y1" s="218" t="s">
        <v>30</v>
      </c>
      <c r="Z1" s="218" t="s">
        <v>30</v>
      </c>
      <c r="AA1" s="218" t="s">
        <v>30</v>
      </c>
      <c r="AB1" s="218" t="s">
        <v>30</v>
      </c>
      <c r="AC1" s="218" t="s">
        <v>30</v>
      </c>
      <c r="AD1" s="218" t="s">
        <v>30</v>
      </c>
      <c r="AE1" s="218" t="s">
        <v>30</v>
      </c>
      <c r="AF1" s="218" t="s">
        <v>30</v>
      </c>
      <c r="AG1" s="218" t="s">
        <v>30</v>
      </c>
      <c r="AH1" s="218" t="s">
        <v>30</v>
      </c>
      <c r="AI1" s="218" t="s">
        <v>30</v>
      </c>
    </row>
    <row r="2" spans="1:35" ht="28.5" customHeight="1" x14ac:dyDescent="0.2">
      <c r="A2" s="219" t="s">
        <v>71</v>
      </c>
      <c r="B2" s="220"/>
      <c r="C2" s="220"/>
      <c r="D2" s="220"/>
      <c r="E2" s="220"/>
      <c r="F2" s="220"/>
      <c r="G2" s="220"/>
      <c r="H2" s="220"/>
      <c r="I2" s="220"/>
      <c r="J2" s="221"/>
      <c r="K2" s="225" t="s">
        <v>91</v>
      </c>
      <c r="L2" s="226"/>
      <c r="M2" s="226"/>
      <c r="N2" s="226"/>
      <c r="O2" s="226"/>
      <c r="P2" s="226"/>
      <c r="Q2" s="226"/>
      <c r="R2" s="226"/>
      <c r="S2" s="226"/>
      <c r="T2" s="227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</row>
    <row r="3" spans="1:35" s="25" customFormat="1" ht="63.75" x14ac:dyDescent="0.2">
      <c r="A3" s="19" t="s">
        <v>5</v>
      </c>
      <c r="B3" s="19" t="s">
        <v>18</v>
      </c>
      <c r="C3" s="19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43</v>
      </c>
      <c r="I3" s="20" t="s">
        <v>4</v>
      </c>
      <c r="J3" s="21" t="s">
        <v>28</v>
      </c>
      <c r="K3" s="22" t="s">
        <v>6</v>
      </c>
      <c r="L3" s="145" t="s">
        <v>185</v>
      </c>
      <c r="M3" s="145" t="s">
        <v>186</v>
      </c>
      <c r="N3" s="145" t="s">
        <v>187</v>
      </c>
      <c r="O3" s="145" t="s">
        <v>188</v>
      </c>
      <c r="P3" s="145" t="s">
        <v>189</v>
      </c>
      <c r="Q3" s="145" t="s">
        <v>190</v>
      </c>
      <c r="R3" s="145" t="s">
        <v>191</v>
      </c>
      <c r="S3" s="146" t="s">
        <v>0</v>
      </c>
      <c r="T3" s="23" t="s">
        <v>2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  <c r="AG3" s="24" t="s">
        <v>1</v>
      </c>
      <c r="AH3" s="24" t="s">
        <v>1</v>
      </c>
      <c r="AI3" s="24" t="s">
        <v>1</v>
      </c>
    </row>
    <row r="4" spans="1:35" ht="23.25" customHeight="1" x14ac:dyDescent="0.2">
      <c r="A4" s="203">
        <v>1</v>
      </c>
      <c r="B4" s="196" t="s">
        <v>31</v>
      </c>
      <c r="C4" s="26">
        <v>1</v>
      </c>
      <c r="D4" s="201" t="s">
        <v>34</v>
      </c>
      <c r="E4" s="28" t="s">
        <v>35</v>
      </c>
      <c r="F4" s="29" t="s">
        <v>16</v>
      </c>
      <c r="G4" s="29" t="s">
        <v>17</v>
      </c>
      <c r="H4" s="29" t="s">
        <v>44</v>
      </c>
      <c r="I4" s="28" t="s">
        <v>24</v>
      </c>
      <c r="J4" s="30">
        <v>12.15</v>
      </c>
      <c r="K4" s="31">
        <v>0</v>
      </c>
      <c r="L4" s="140">
        <f t="shared" ref="L4:L32" si="0">IF(SUM(U4:AL4)&gt;K4+N4,K4+N4,SUM(U4:AL4))</f>
        <v>0</v>
      </c>
      <c r="M4" s="140">
        <f t="shared" ref="M4:M32" si="1">(SUM(U4:AL4))</f>
        <v>0</v>
      </c>
      <c r="N4" s="141"/>
      <c r="O4" s="142">
        <f t="shared" ref="O4:O32" si="2">ROUND(IF(K4*0.25-0.5&lt;0,0,K4*0.25-0.5),0)-R4-P4</f>
        <v>0</v>
      </c>
      <c r="P4" s="141"/>
      <c r="Q4" s="141"/>
      <c r="R4" s="141"/>
      <c r="S4" s="143">
        <f t="shared" ref="S4:S32" si="3">K4+N4+P4+Q4-M4</f>
        <v>0</v>
      </c>
      <c r="T4" s="32" t="str">
        <f t="shared" ref="T4:T32" si="4">IF(S4&lt;0,"ATENÇÃO","OK")</f>
        <v>OK</v>
      </c>
      <c r="U4" s="33"/>
      <c r="V4" s="33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</row>
    <row r="5" spans="1:35" ht="26.45" customHeight="1" x14ac:dyDescent="0.2">
      <c r="A5" s="204"/>
      <c r="B5" s="206"/>
      <c r="C5" s="26">
        <v>2</v>
      </c>
      <c r="D5" s="207"/>
      <c r="E5" s="28" t="s">
        <v>36</v>
      </c>
      <c r="F5" s="29" t="s">
        <v>16</v>
      </c>
      <c r="G5" s="29" t="s">
        <v>17</v>
      </c>
      <c r="H5" s="29" t="s">
        <v>44</v>
      </c>
      <c r="I5" s="28" t="s">
        <v>24</v>
      </c>
      <c r="J5" s="30">
        <v>40.5</v>
      </c>
      <c r="K5" s="31">
        <v>0</v>
      </c>
      <c r="L5" s="140">
        <f t="shared" si="0"/>
        <v>0</v>
      </c>
      <c r="M5" s="140">
        <f t="shared" si="1"/>
        <v>0</v>
      </c>
      <c r="N5" s="141"/>
      <c r="O5" s="142">
        <f t="shared" si="2"/>
        <v>0</v>
      </c>
      <c r="P5" s="141"/>
      <c r="Q5" s="141"/>
      <c r="R5" s="141"/>
      <c r="S5" s="143">
        <f t="shared" si="3"/>
        <v>0</v>
      </c>
      <c r="T5" s="32" t="str">
        <f t="shared" si="4"/>
        <v>OK</v>
      </c>
      <c r="U5" s="33"/>
      <c r="V5" s="33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</row>
    <row r="6" spans="1:35" ht="24" customHeight="1" x14ac:dyDescent="0.2">
      <c r="A6" s="204"/>
      <c r="B6" s="206"/>
      <c r="C6" s="26">
        <v>3</v>
      </c>
      <c r="D6" s="207"/>
      <c r="E6" s="28" t="s">
        <v>37</v>
      </c>
      <c r="F6" s="29" t="s">
        <v>16</v>
      </c>
      <c r="G6" s="29" t="s">
        <v>17</v>
      </c>
      <c r="H6" s="29" t="s">
        <v>44</v>
      </c>
      <c r="I6" s="28" t="s">
        <v>24</v>
      </c>
      <c r="J6" s="30">
        <v>49.5</v>
      </c>
      <c r="K6" s="31">
        <v>0</v>
      </c>
      <c r="L6" s="140">
        <f t="shared" si="0"/>
        <v>0</v>
      </c>
      <c r="M6" s="140">
        <f t="shared" si="1"/>
        <v>0</v>
      </c>
      <c r="N6" s="141"/>
      <c r="O6" s="142">
        <f t="shared" si="2"/>
        <v>0</v>
      </c>
      <c r="P6" s="141"/>
      <c r="Q6" s="141"/>
      <c r="R6" s="141"/>
      <c r="S6" s="143">
        <f t="shared" si="3"/>
        <v>0</v>
      </c>
      <c r="T6" s="32" t="str">
        <f t="shared" si="4"/>
        <v>OK</v>
      </c>
      <c r="U6" s="33"/>
      <c r="V6" s="35"/>
      <c r="W6" s="36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</row>
    <row r="7" spans="1:35" ht="24" customHeight="1" x14ac:dyDescent="0.2">
      <c r="A7" s="204"/>
      <c r="B7" s="206"/>
      <c r="C7" s="26">
        <v>4</v>
      </c>
      <c r="D7" s="207"/>
      <c r="E7" s="28" t="s">
        <v>38</v>
      </c>
      <c r="F7" s="29" t="s">
        <v>16</v>
      </c>
      <c r="G7" s="29" t="s">
        <v>17</v>
      </c>
      <c r="H7" s="29" t="s">
        <v>44</v>
      </c>
      <c r="I7" s="28" t="s">
        <v>24</v>
      </c>
      <c r="J7" s="30">
        <v>53</v>
      </c>
      <c r="K7" s="31">
        <v>0</v>
      </c>
      <c r="L7" s="140">
        <f t="shared" si="0"/>
        <v>0</v>
      </c>
      <c r="M7" s="140">
        <f t="shared" si="1"/>
        <v>0</v>
      </c>
      <c r="N7" s="141"/>
      <c r="O7" s="142">
        <f t="shared" si="2"/>
        <v>0</v>
      </c>
      <c r="P7" s="141"/>
      <c r="Q7" s="141"/>
      <c r="R7" s="141"/>
      <c r="S7" s="143">
        <f t="shared" si="3"/>
        <v>0</v>
      </c>
      <c r="T7" s="32" t="str">
        <f t="shared" si="4"/>
        <v>OK</v>
      </c>
      <c r="U7" s="33"/>
      <c r="V7" s="33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</row>
    <row r="8" spans="1:35" ht="19.5" customHeight="1" x14ac:dyDescent="0.2">
      <c r="A8" s="205"/>
      <c r="B8" s="197"/>
      <c r="C8" s="26">
        <v>5</v>
      </c>
      <c r="D8" s="202"/>
      <c r="E8" s="28" t="s">
        <v>39</v>
      </c>
      <c r="F8" s="29" t="s">
        <v>16</v>
      </c>
      <c r="G8" s="29" t="s">
        <v>17</v>
      </c>
      <c r="H8" s="29" t="s">
        <v>44</v>
      </c>
      <c r="I8" s="28" t="s">
        <v>24</v>
      </c>
      <c r="J8" s="30">
        <v>30.4</v>
      </c>
      <c r="K8" s="31">
        <v>0</v>
      </c>
      <c r="L8" s="140">
        <f t="shared" si="0"/>
        <v>0</v>
      </c>
      <c r="M8" s="140">
        <f t="shared" si="1"/>
        <v>0</v>
      </c>
      <c r="N8" s="141"/>
      <c r="O8" s="142">
        <f t="shared" si="2"/>
        <v>0</v>
      </c>
      <c r="P8" s="141"/>
      <c r="Q8" s="141"/>
      <c r="R8" s="141"/>
      <c r="S8" s="143">
        <f t="shared" si="3"/>
        <v>0</v>
      </c>
      <c r="T8" s="32" t="str">
        <f t="shared" si="4"/>
        <v>OK</v>
      </c>
      <c r="U8" s="33"/>
      <c r="V8" s="33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</row>
    <row r="9" spans="1:35" ht="21.75" customHeight="1" x14ac:dyDescent="0.2">
      <c r="A9" s="216">
        <v>2</v>
      </c>
      <c r="B9" s="190" t="s">
        <v>31</v>
      </c>
      <c r="C9" s="40">
        <v>6</v>
      </c>
      <c r="D9" s="199" t="s">
        <v>40</v>
      </c>
      <c r="E9" s="39" t="s">
        <v>35</v>
      </c>
      <c r="F9" s="41" t="s">
        <v>16</v>
      </c>
      <c r="G9" s="41" t="s">
        <v>17</v>
      </c>
      <c r="H9" s="41" t="s">
        <v>44</v>
      </c>
      <c r="I9" s="39" t="s">
        <v>24</v>
      </c>
      <c r="J9" s="42">
        <v>14.21</v>
      </c>
      <c r="K9" s="31">
        <v>0</v>
      </c>
      <c r="L9" s="140">
        <f t="shared" si="0"/>
        <v>0</v>
      </c>
      <c r="M9" s="140">
        <f t="shared" si="1"/>
        <v>0</v>
      </c>
      <c r="N9" s="141"/>
      <c r="O9" s="142">
        <f t="shared" si="2"/>
        <v>0</v>
      </c>
      <c r="P9" s="141"/>
      <c r="Q9" s="141"/>
      <c r="R9" s="141"/>
      <c r="S9" s="143">
        <f t="shared" si="3"/>
        <v>0</v>
      </c>
      <c r="T9" s="32" t="str">
        <f t="shared" si="4"/>
        <v>OK</v>
      </c>
      <c r="U9" s="33"/>
      <c r="V9" s="33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</row>
    <row r="10" spans="1:35" ht="20.25" customHeight="1" x14ac:dyDescent="0.2">
      <c r="A10" s="217"/>
      <c r="B10" s="191"/>
      <c r="C10" s="40">
        <v>7</v>
      </c>
      <c r="D10" s="200"/>
      <c r="E10" s="39" t="s">
        <v>41</v>
      </c>
      <c r="F10" s="41" t="s">
        <v>16</v>
      </c>
      <c r="G10" s="41" t="s">
        <v>17</v>
      </c>
      <c r="H10" s="41" t="s">
        <v>44</v>
      </c>
      <c r="I10" s="39" t="s">
        <v>24</v>
      </c>
      <c r="J10" s="42">
        <v>20.9</v>
      </c>
      <c r="K10" s="31">
        <v>0</v>
      </c>
      <c r="L10" s="140">
        <f t="shared" si="0"/>
        <v>0</v>
      </c>
      <c r="M10" s="140">
        <f t="shared" si="1"/>
        <v>0</v>
      </c>
      <c r="N10" s="141"/>
      <c r="O10" s="142">
        <f t="shared" si="2"/>
        <v>0</v>
      </c>
      <c r="P10" s="141"/>
      <c r="Q10" s="141"/>
      <c r="R10" s="141"/>
      <c r="S10" s="143">
        <f t="shared" si="3"/>
        <v>0</v>
      </c>
      <c r="T10" s="32" t="str">
        <f t="shared" si="4"/>
        <v>OK</v>
      </c>
      <c r="U10" s="35"/>
      <c r="V10" s="33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</row>
    <row r="11" spans="1:35" ht="25.5" x14ac:dyDescent="0.2">
      <c r="A11" s="203">
        <v>3</v>
      </c>
      <c r="B11" s="196" t="s">
        <v>42</v>
      </c>
      <c r="C11" s="26">
        <v>8</v>
      </c>
      <c r="D11" s="201" t="s">
        <v>45</v>
      </c>
      <c r="E11" s="28" t="s">
        <v>46</v>
      </c>
      <c r="F11" s="29" t="s">
        <v>16</v>
      </c>
      <c r="G11" s="29" t="s">
        <v>17</v>
      </c>
      <c r="H11" s="29" t="s">
        <v>44</v>
      </c>
      <c r="I11" s="28" t="s">
        <v>24</v>
      </c>
      <c r="J11" s="30">
        <v>423</v>
      </c>
      <c r="K11" s="31">
        <v>0</v>
      </c>
      <c r="L11" s="140">
        <f t="shared" si="0"/>
        <v>0</v>
      </c>
      <c r="M11" s="140">
        <f t="shared" si="1"/>
        <v>0</v>
      </c>
      <c r="N11" s="141"/>
      <c r="O11" s="142">
        <f t="shared" si="2"/>
        <v>0</v>
      </c>
      <c r="P11" s="141"/>
      <c r="Q11" s="141"/>
      <c r="R11" s="141"/>
      <c r="S11" s="143">
        <f t="shared" si="3"/>
        <v>0</v>
      </c>
      <c r="T11" s="32" t="str">
        <f t="shared" si="4"/>
        <v>OK</v>
      </c>
      <c r="U11" s="33"/>
      <c r="V11" s="33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</row>
    <row r="12" spans="1:35" ht="21.2" customHeight="1" x14ac:dyDescent="0.2">
      <c r="A12" s="204"/>
      <c r="B12" s="206"/>
      <c r="C12" s="26">
        <v>9</v>
      </c>
      <c r="D12" s="207"/>
      <c r="E12" s="28" t="s">
        <v>47</v>
      </c>
      <c r="F12" s="29" t="s">
        <v>16</v>
      </c>
      <c r="G12" s="29" t="s">
        <v>17</v>
      </c>
      <c r="H12" s="29" t="s">
        <v>44</v>
      </c>
      <c r="I12" s="28" t="s">
        <v>24</v>
      </c>
      <c r="J12" s="30">
        <v>1613</v>
      </c>
      <c r="K12" s="31">
        <v>0</v>
      </c>
      <c r="L12" s="140">
        <f t="shared" si="0"/>
        <v>0</v>
      </c>
      <c r="M12" s="140">
        <f t="shared" si="1"/>
        <v>0</v>
      </c>
      <c r="N12" s="141"/>
      <c r="O12" s="142">
        <f t="shared" si="2"/>
        <v>0</v>
      </c>
      <c r="P12" s="141"/>
      <c r="Q12" s="141"/>
      <c r="R12" s="141"/>
      <c r="S12" s="143">
        <f t="shared" si="3"/>
        <v>0</v>
      </c>
      <c r="T12" s="32" t="str">
        <f t="shared" si="4"/>
        <v>OK</v>
      </c>
      <c r="U12" s="33"/>
      <c r="V12" s="33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</row>
    <row r="13" spans="1:35" ht="19.5" customHeight="1" x14ac:dyDescent="0.2">
      <c r="A13" s="205"/>
      <c r="B13" s="197"/>
      <c r="C13" s="26">
        <v>10</v>
      </c>
      <c r="D13" s="202"/>
      <c r="E13" s="28" t="s">
        <v>48</v>
      </c>
      <c r="F13" s="29" t="s">
        <v>16</v>
      </c>
      <c r="G13" s="29" t="s">
        <v>17</v>
      </c>
      <c r="H13" s="29" t="s">
        <v>44</v>
      </c>
      <c r="I13" s="28" t="s">
        <v>24</v>
      </c>
      <c r="J13" s="30">
        <v>1749</v>
      </c>
      <c r="K13" s="31">
        <v>0</v>
      </c>
      <c r="L13" s="140">
        <f t="shared" si="0"/>
        <v>0</v>
      </c>
      <c r="M13" s="140">
        <f t="shared" si="1"/>
        <v>0</v>
      </c>
      <c r="N13" s="141"/>
      <c r="O13" s="142">
        <f t="shared" si="2"/>
        <v>0</v>
      </c>
      <c r="P13" s="141"/>
      <c r="Q13" s="141"/>
      <c r="R13" s="141"/>
      <c r="S13" s="143">
        <f t="shared" si="3"/>
        <v>0</v>
      </c>
      <c r="T13" s="32" t="str">
        <f t="shared" si="4"/>
        <v>OK</v>
      </c>
      <c r="U13" s="33"/>
      <c r="V13" s="33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</row>
    <row r="14" spans="1:35" ht="25.15" customHeight="1" x14ac:dyDescent="0.2">
      <c r="A14" s="208">
        <v>4</v>
      </c>
      <c r="B14" s="209" t="s">
        <v>49</v>
      </c>
      <c r="C14" s="40">
        <v>11</v>
      </c>
      <c r="D14" s="211" t="s">
        <v>50</v>
      </c>
      <c r="E14" s="39" t="s">
        <v>51</v>
      </c>
      <c r="F14" s="41" t="s">
        <v>16</v>
      </c>
      <c r="G14" s="41" t="s">
        <v>17</v>
      </c>
      <c r="H14" s="41" t="s">
        <v>44</v>
      </c>
      <c r="I14" s="39" t="s">
        <v>53</v>
      </c>
      <c r="J14" s="42">
        <v>19.63</v>
      </c>
      <c r="K14" s="31">
        <v>0</v>
      </c>
      <c r="L14" s="140">
        <f t="shared" si="0"/>
        <v>0</v>
      </c>
      <c r="M14" s="140">
        <f t="shared" si="1"/>
        <v>0</v>
      </c>
      <c r="N14" s="141"/>
      <c r="O14" s="142">
        <f t="shared" si="2"/>
        <v>0</v>
      </c>
      <c r="P14" s="141"/>
      <c r="Q14" s="141"/>
      <c r="R14" s="141"/>
      <c r="S14" s="143">
        <f t="shared" si="3"/>
        <v>0</v>
      </c>
      <c r="T14" s="32" t="str">
        <f t="shared" si="4"/>
        <v>OK</v>
      </c>
      <c r="U14" s="33"/>
      <c r="V14" s="33"/>
      <c r="W14" s="34"/>
      <c r="X14" s="34"/>
      <c r="Y14" s="36"/>
      <c r="Z14" s="36"/>
      <c r="AA14" s="34"/>
      <c r="AB14" s="34"/>
      <c r="AC14" s="34"/>
      <c r="AD14" s="34"/>
      <c r="AE14" s="34"/>
      <c r="AF14" s="34"/>
      <c r="AG14" s="34"/>
      <c r="AH14" s="34"/>
      <c r="AI14" s="34"/>
    </row>
    <row r="15" spans="1:35" ht="22.7" customHeight="1" x14ac:dyDescent="0.2">
      <c r="A15" s="208"/>
      <c r="B15" s="210"/>
      <c r="C15" s="40">
        <v>12</v>
      </c>
      <c r="D15" s="212"/>
      <c r="E15" s="39" t="s">
        <v>52</v>
      </c>
      <c r="F15" s="41" t="s">
        <v>16</v>
      </c>
      <c r="G15" s="41" t="s">
        <v>17</v>
      </c>
      <c r="H15" s="41" t="s">
        <v>44</v>
      </c>
      <c r="I15" s="39" t="s">
        <v>24</v>
      </c>
      <c r="J15" s="42">
        <v>20.27</v>
      </c>
      <c r="K15" s="31">
        <v>0</v>
      </c>
      <c r="L15" s="140">
        <f t="shared" si="0"/>
        <v>0</v>
      </c>
      <c r="M15" s="140">
        <f t="shared" si="1"/>
        <v>0</v>
      </c>
      <c r="N15" s="141"/>
      <c r="O15" s="142">
        <f t="shared" si="2"/>
        <v>0</v>
      </c>
      <c r="P15" s="141"/>
      <c r="Q15" s="141"/>
      <c r="R15" s="141"/>
      <c r="S15" s="143">
        <f t="shared" si="3"/>
        <v>0</v>
      </c>
      <c r="T15" s="32" t="str">
        <f t="shared" si="4"/>
        <v>OK</v>
      </c>
      <c r="U15" s="33"/>
      <c r="V15" s="33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</row>
    <row r="16" spans="1:35" ht="45" customHeight="1" x14ac:dyDescent="0.2">
      <c r="A16" s="48">
        <v>5</v>
      </c>
      <c r="B16" s="28" t="s">
        <v>49</v>
      </c>
      <c r="C16" s="26">
        <v>13</v>
      </c>
      <c r="D16" s="49" t="s">
        <v>54</v>
      </c>
      <c r="E16" s="63" t="s">
        <v>55</v>
      </c>
      <c r="F16" s="50" t="s">
        <v>16</v>
      </c>
      <c r="G16" s="50" t="s">
        <v>17</v>
      </c>
      <c r="H16" s="29" t="s">
        <v>44</v>
      </c>
      <c r="I16" s="28" t="s">
        <v>53</v>
      </c>
      <c r="J16" s="30">
        <v>28.9</v>
      </c>
      <c r="K16" s="31">
        <v>0</v>
      </c>
      <c r="L16" s="140">
        <f t="shared" si="0"/>
        <v>0</v>
      </c>
      <c r="M16" s="140">
        <f t="shared" si="1"/>
        <v>0</v>
      </c>
      <c r="N16" s="141"/>
      <c r="O16" s="142">
        <f t="shared" si="2"/>
        <v>0</v>
      </c>
      <c r="P16" s="141"/>
      <c r="Q16" s="141"/>
      <c r="R16" s="141"/>
      <c r="S16" s="143">
        <f t="shared" si="3"/>
        <v>0</v>
      </c>
      <c r="T16" s="32" t="str">
        <f t="shared" si="4"/>
        <v>OK</v>
      </c>
      <c r="U16" s="33"/>
      <c r="V16" s="33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</row>
    <row r="17" spans="1:35" ht="51" customHeight="1" x14ac:dyDescent="0.2">
      <c r="A17" s="38">
        <v>6</v>
      </c>
      <c r="B17" s="47" t="s">
        <v>49</v>
      </c>
      <c r="C17" s="40">
        <v>14</v>
      </c>
      <c r="D17" s="47" t="s">
        <v>57</v>
      </c>
      <c r="E17" s="39" t="s">
        <v>56</v>
      </c>
      <c r="F17" s="41" t="s">
        <v>16</v>
      </c>
      <c r="G17" s="41" t="s">
        <v>17</v>
      </c>
      <c r="H17" s="41" t="s">
        <v>44</v>
      </c>
      <c r="I17" s="39" t="s">
        <v>24</v>
      </c>
      <c r="J17" s="42">
        <v>9.5</v>
      </c>
      <c r="K17" s="31">
        <v>0</v>
      </c>
      <c r="L17" s="140">
        <f t="shared" si="0"/>
        <v>0</v>
      </c>
      <c r="M17" s="140">
        <f t="shared" si="1"/>
        <v>0</v>
      </c>
      <c r="N17" s="141"/>
      <c r="O17" s="142">
        <f t="shared" si="2"/>
        <v>0</v>
      </c>
      <c r="P17" s="141"/>
      <c r="Q17" s="141"/>
      <c r="R17" s="141"/>
      <c r="S17" s="143">
        <f t="shared" si="3"/>
        <v>0</v>
      </c>
      <c r="T17" s="32" t="str">
        <f t="shared" si="4"/>
        <v>OK</v>
      </c>
      <c r="U17" s="33"/>
      <c r="V17" s="35"/>
      <c r="W17" s="45"/>
      <c r="X17" s="34"/>
      <c r="Y17" s="34"/>
      <c r="Z17" s="36"/>
      <c r="AA17" s="34"/>
      <c r="AB17" s="34"/>
      <c r="AC17" s="34"/>
      <c r="AD17" s="34"/>
      <c r="AE17" s="34"/>
      <c r="AF17" s="34"/>
      <c r="AG17" s="34"/>
      <c r="AH17" s="34"/>
      <c r="AI17" s="34"/>
    </row>
    <row r="18" spans="1:35" ht="57.75" customHeight="1" x14ac:dyDescent="0.2">
      <c r="A18" s="65">
        <v>7</v>
      </c>
      <c r="B18" s="28" t="s">
        <v>49</v>
      </c>
      <c r="C18" s="64">
        <v>15</v>
      </c>
      <c r="D18" s="37" t="s">
        <v>58</v>
      </c>
      <c r="E18" s="61" t="s">
        <v>59</v>
      </c>
      <c r="F18" s="29" t="s">
        <v>16</v>
      </c>
      <c r="G18" s="29" t="s">
        <v>17</v>
      </c>
      <c r="H18" s="29" t="s">
        <v>44</v>
      </c>
      <c r="I18" s="28" t="s">
        <v>24</v>
      </c>
      <c r="J18" s="30">
        <v>197.76</v>
      </c>
      <c r="K18" s="31">
        <v>0</v>
      </c>
      <c r="L18" s="140">
        <f t="shared" si="0"/>
        <v>0</v>
      </c>
      <c r="M18" s="140">
        <f t="shared" si="1"/>
        <v>0</v>
      </c>
      <c r="N18" s="141"/>
      <c r="O18" s="142">
        <f t="shared" si="2"/>
        <v>0</v>
      </c>
      <c r="P18" s="141"/>
      <c r="Q18" s="141"/>
      <c r="R18" s="141"/>
      <c r="S18" s="143">
        <f t="shared" si="3"/>
        <v>0</v>
      </c>
      <c r="T18" s="32" t="str">
        <f t="shared" si="4"/>
        <v>OK</v>
      </c>
      <c r="U18" s="33"/>
      <c r="V18" s="35"/>
      <c r="W18" s="45"/>
      <c r="X18" s="34"/>
      <c r="Y18" s="34"/>
      <c r="Z18" s="36"/>
      <c r="AA18" s="34"/>
      <c r="AB18" s="34"/>
      <c r="AC18" s="34"/>
      <c r="AD18" s="34"/>
      <c r="AE18" s="34"/>
      <c r="AF18" s="34"/>
      <c r="AG18" s="34"/>
      <c r="AH18" s="34"/>
      <c r="AI18" s="34"/>
    </row>
    <row r="19" spans="1:35" ht="38.25" customHeight="1" x14ac:dyDescent="0.2">
      <c r="A19" s="188">
        <v>8</v>
      </c>
      <c r="B19" s="190" t="s">
        <v>49</v>
      </c>
      <c r="C19" s="40">
        <v>16</v>
      </c>
      <c r="D19" s="199" t="s">
        <v>12</v>
      </c>
      <c r="E19" s="39" t="s">
        <v>60</v>
      </c>
      <c r="F19" s="41" t="s">
        <v>16</v>
      </c>
      <c r="G19" s="41" t="s">
        <v>17</v>
      </c>
      <c r="H19" s="41" t="s">
        <v>44</v>
      </c>
      <c r="I19" s="39" t="s">
        <v>24</v>
      </c>
      <c r="J19" s="42">
        <v>22.35</v>
      </c>
      <c r="K19" s="31">
        <v>0</v>
      </c>
      <c r="L19" s="140">
        <f t="shared" si="0"/>
        <v>0</v>
      </c>
      <c r="M19" s="140">
        <f t="shared" si="1"/>
        <v>0</v>
      </c>
      <c r="N19" s="141"/>
      <c r="O19" s="142">
        <f t="shared" si="2"/>
        <v>0</v>
      </c>
      <c r="P19" s="141"/>
      <c r="Q19" s="141"/>
      <c r="R19" s="141"/>
      <c r="S19" s="143">
        <f t="shared" si="3"/>
        <v>0</v>
      </c>
      <c r="T19" s="32" t="str">
        <f t="shared" si="4"/>
        <v>OK</v>
      </c>
      <c r="U19" s="33"/>
      <c r="V19" s="35"/>
      <c r="W19" s="45"/>
      <c r="X19" s="34"/>
      <c r="Y19" s="34"/>
      <c r="Z19" s="36"/>
      <c r="AA19" s="34"/>
      <c r="AB19" s="34"/>
      <c r="AC19" s="34"/>
      <c r="AD19" s="34"/>
      <c r="AE19" s="34"/>
      <c r="AF19" s="34"/>
      <c r="AG19" s="34"/>
      <c r="AH19" s="34"/>
      <c r="AI19" s="34"/>
    </row>
    <row r="20" spans="1:35" ht="36" customHeight="1" x14ac:dyDescent="0.2">
      <c r="A20" s="189"/>
      <c r="B20" s="191"/>
      <c r="C20" s="40">
        <v>17</v>
      </c>
      <c r="D20" s="200"/>
      <c r="E20" s="39" t="s">
        <v>61</v>
      </c>
      <c r="F20" s="44" t="s">
        <v>16</v>
      </c>
      <c r="G20" s="44" t="s">
        <v>17</v>
      </c>
      <c r="H20" s="41" t="s">
        <v>44</v>
      </c>
      <c r="I20" s="39" t="s">
        <v>24</v>
      </c>
      <c r="J20" s="42">
        <v>4.5999999999999996</v>
      </c>
      <c r="K20" s="31">
        <v>0</v>
      </c>
      <c r="L20" s="140">
        <f t="shared" si="0"/>
        <v>0</v>
      </c>
      <c r="M20" s="140">
        <f t="shared" si="1"/>
        <v>0</v>
      </c>
      <c r="N20" s="141"/>
      <c r="O20" s="142">
        <f t="shared" si="2"/>
        <v>0</v>
      </c>
      <c r="P20" s="141"/>
      <c r="Q20" s="141"/>
      <c r="R20" s="141"/>
      <c r="S20" s="143">
        <f t="shared" si="3"/>
        <v>0</v>
      </c>
      <c r="T20" s="32" t="str">
        <f t="shared" si="4"/>
        <v>OK</v>
      </c>
      <c r="U20" s="33"/>
      <c r="V20" s="35"/>
      <c r="W20" s="45"/>
      <c r="X20" s="36"/>
      <c r="Y20" s="34"/>
      <c r="Z20" s="45"/>
      <c r="AA20" s="34"/>
      <c r="AB20" s="34"/>
      <c r="AC20" s="34"/>
      <c r="AD20" s="34"/>
      <c r="AE20" s="34"/>
      <c r="AF20" s="34"/>
      <c r="AG20" s="34"/>
      <c r="AH20" s="34"/>
      <c r="AI20" s="34"/>
    </row>
    <row r="21" spans="1:35" ht="36.75" customHeight="1" x14ac:dyDescent="0.2">
      <c r="A21" s="48">
        <v>9</v>
      </c>
      <c r="B21" s="28" t="s">
        <v>62</v>
      </c>
      <c r="C21" s="26">
        <v>18</v>
      </c>
      <c r="D21" s="27" t="s">
        <v>63</v>
      </c>
      <c r="E21" s="28" t="s">
        <v>64</v>
      </c>
      <c r="F21" s="50" t="s">
        <v>16</v>
      </c>
      <c r="G21" s="50" t="s">
        <v>17</v>
      </c>
      <c r="H21" s="29" t="s">
        <v>44</v>
      </c>
      <c r="I21" s="28" t="s">
        <v>24</v>
      </c>
      <c r="J21" s="30">
        <v>3.46</v>
      </c>
      <c r="K21" s="31">
        <v>0</v>
      </c>
      <c r="L21" s="140">
        <f t="shared" si="0"/>
        <v>0</v>
      </c>
      <c r="M21" s="140">
        <f t="shared" si="1"/>
        <v>0</v>
      </c>
      <c r="N21" s="141"/>
      <c r="O21" s="142">
        <f t="shared" si="2"/>
        <v>0</v>
      </c>
      <c r="P21" s="141"/>
      <c r="Q21" s="141"/>
      <c r="R21" s="141"/>
      <c r="S21" s="143">
        <f t="shared" si="3"/>
        <v>0</v>
      </c>
      <c r="T21" s="32" t="str">
        <f t="shared" si="4"/>
        <v>OK</v>
      </c>
      <c r="U21" s="35"/>
      <c r="V21" s="33"/>
      <c r="W21" s="45"/>
      <c r="X21" s="36"/>
      <c r="Y21" s="34"/>
      <c r="Z21" s="45"/>
      <c r="AA21" s="34"/>
      <c r="AB21" s="34"/>
      <c r="AC21" s="34"/>
      <c r="AD21" s="34"/>
      <c r="AE21" s="34"/>
      <c r="AF21" s="34"/>
      <c r="AG21" s="34"/>
      <c r="AH21" s="34"/>
      <c r="AI21" s="34"/>
    </row>
    <row r="22" spans="1:35" ht="45" customHeight="1" x14ac:dyDescent="0.2">
      <c r="A22" s="38">
        <v>10</v>
      </c>
      <c r="B22" s="47" t="s">
        <v>31</v>
      </c>
      <c r="C22" s="40">
        <v>19</v>
      </c>
      <c r="D22" s="47" t="s">
        <v>27</v>
      </c>
      <c r="E22" s="39" t="s">
        <v>23</v>
      </c>
      <c r="F22" s="44" t="s">
        <v>16</v>
      </c>
      <c r="G22" s="44" t="s">
        <v>17</v>
      </c>
      <c r="H22" s="41" t="s">
        <v>44</v>
      </c>
      <c r="I22" s="39" t="s">
        <v>24</v>
      </c>
      <c r="J22" s="42">
        <v>0.4</v>
      </c>
      <c r="K22" s="31">
        <v>0</v>
      </c>
      <c r="L22" s="140">
        <f t="shared" si="0"/>
        <v>0</v>
      </c>
      <c r="M22" s="140">
        <f t="shared" si="1"/>
        <v>0</v>
      </c>
      <c r="N22" s="141"/>
      <c r="O22" s="142">
        <f t="shared" si="2"/>
        <v>0</v>
      </c>
      <c r="P22" s="141"/>
      <c r="Q22" s="141"/>
      <c r="R22" s="141"/>
      <c r="S22" s="143">
        <f t="shared" si="3"/>
        <v>0</v>
      </c>
      <c r="T22" s="32" t="str">
        <f t="shared" si="4"/>
        <v>OK</v>
      </c>
      <c r="U22" s="35"/>
      <c r="V22" s="33"/>
      <c r="W22" s="45"/>
      <c r="X22" s="36"/>
      <c r="Y22" s="34"/>
      <c r="Z22" s="45"/>
      <c r="AA22" s="36"/>
      <c r="AB22" s="34"/>
      <c r="AC22" s="34"/>
      <c r="AD22" s="34"/>
      <c r="AE22" s="34"/>
      <c r="AF22" s="34"/>
      <c r="AG22" s="34"/>
      <c r="AH22" s="34"/>
      <c r="AI22" s="34"/>
    </row>
    <row r="23" spans="1:35" ht="28.15" customHeight="1" x14ac:dyDescent="0.2">
      <c r="A23" s="194">
        <v>11</v>
      </c>
      <c r="B23" s="196" t="s">
        <v>65</v>
      </c>
      <c r="C23" s="26">
        <v>20</v>
      </c>
      <c r="D23" s="201" t="s">
        <v>25</v>
      </c>
      <c r="E23" s="28" t="s">
        <v>19</v>
      </c>
      <c r="F23" s="50" t="s">
        <v>16</v>
      </c>
      <c r="G23" s="50" t="s">
        <v>17</v>
      </c>
      <c r="H23" s="29" t="s">
        <v>44</v>
      </c>
      <c r="I23" s="28" t="s">
        <v>24</v>
      </c>
      <c r="J23" s="30">
        <v>3.95</v>
      </c>
      <c r="K23" s="31">
        <v>0</v>
      </c>
      <c r="L23" s="140">
        <f t="shared" si="0"/>
        <v>0</v>
      </c>
      <c r="M23" s="140">
        <f t="shared" si="1"/>
        <v>0</v>
      </c>
      <c r="N23" s="141"/>
      <c r="O23" s="142">
        <f t="shared" si="2"/>
        <v>0</v>
      </c>
      <c r="P23" s="141"/>
      <c r="Q23" s="141"/>
      <c r="R23" s="141"/>
      <c r="S23" s="143">
        <f t="shared" si="3"/>
        <v>0</v>
      </c>
      <c r="T23" s="32" t="str">
        <f t="shared" si="4"/>
        <v>OK</v>
      </c>
      <c r="U23" s="35"/>
      <c r="V23" s="33"/>
      <c r="W23" s="45"/>
      <c r="X23" s="34"/>
      <c r="Y23" s="34"/>
      <c r="Z23" s="45"/>
      <c r="AA23" s="36"/>
      <c r="AB23" s="34"/>
      <c r="AC23" s="34"/>
      <c r="AD23" s="34"/>
      <c r="AE23" s="34"/>
      <c r="AF23" s="34"/>
      <c r="AG23" s="34"/>
      <c r="AH23" s="34"/>
      <c r="AI23" s="34"/>
    </row>
    <row r="24" spans="1:35" ht="25.15" customHeight="1" x14ac:dyDescent="0.2">
      <c r="A24" s="195"/>
      <c r="B24" s="197"/>
      <c r="C24" s="26">
        <v>21</v>
      </c>
      <c r="D24" s="202"/>
      <c r="E24" s="28" t="s">
        <v>20</v>
      </c>
      <c r="F24" s="50" t="s">
        <v>16</v>
      </c>
      <c r="G24" s="50" t="s">
        <v>17</v>
      </c>
      <c r="H24" s="29" t="s">
        <v>44</v>
      </c>
      <c r="I24" s="28" t="s">
        <v>24</v>
      </c>
      <c r="J24" s="30">
        <v>2.41</v>
      </c>
      <c r="K24" s="31">
        <v>0</v>
      </c>
      <c r="L24" s="140">
        <f t="shared" si="0"/>
        <v>0</v>
      </c>
      <c r="M24" s="140">
        <f t="shared" si="1"/>
        <v>0</v>
      </c>
      <c r="N24" s="141"/>
      <c r="O24" s="142">
        <f t="shared" si="2"/>
        <v>0</v>
      </c>
      <c r="P24" s="141"/>
      <c r="Q24" s="141"/>
      <c r="R24" s="141"/>
      <c r="S24" s="143">
        <f t="shared" si="3"/>
        <v>0</v>
      </c>
      <c r="T24" s="32" t="str">
        <f t="shared" si="4"/>
        <v>OK</v>
      </c>
      <c r="U24" s="33"/>
      <c r="V24" s="33"/>
      <c r="W24" s="45"/>
      <c r="X24" s="34"/>
      <c r="Y24" s="34"/>
      <c r="Z24" s="45"/>
      <c r="AA24" s="34"/>
      <c r="AB24" s="34"/>
      <c r="AC24" s="34"/>
      <c r="AD24" s="34"/>
      <c r="AE24" s="34"/>
      <c r="AF24" s="34"/>
      <c r="AG24" s="34"/>
      <c r="AH24" s="34"/>
      <c r="AI24" s="34"/>
    </row>
    <row r="25" spans="1:35" ht="26.45" customHeight="1" x14ac:dyDescent="0.2">
      <c r="A25" s="188">
        <v>12</v>
      </c>
      <c r="B25" s="190" t="s">
        <v>62</v>
      </c>
      <c r="C25" s="40">
        <v>22</v>
      </c>
      <c r="D25" s="199" t="s">
        <v>26</v>
      </c>
      <c r="E25" s="39" t="s">
        <v>19</v>
      </c>
      <c r="F25" s="44" t="s">
        <v>16</v>
      </c>
      <c r="G25" s="44" t="s">
        <v>17</v>
      </c>
      <c r="H25" s="41" t="s">
        <v>44</v>
      </c>
      <c r="I25" s="39" t="s">
        <v>24</v>
      </c>
      <c r="J25" s="42">
        <v>2.48</v>
      </c>
      <c r="K25" s="31">
        <v>0</v>
      </c>
      <c r="L25" s="140">
        <f t="shared" si="0"/>
        <v>0</v>
      </c>
      <c r="M25" s="140">
        <f t="shared" si="1"/>
        <v>0</v>
      </c>
      <c r="N25" s="141"/>
      <c r="O25" s="142">
        <f t="shared" si="2"/>
        <v>0</v>
      </c>
      <c r="P25" s="141"/>
      <c r="Q25" s="141"/>
      <c r="R25" s="141"/>
      <c r="S25" s="143">
        <f t="shared" si="3"/>
        <v>0</v>
      </c>
      <c r="T25" s="32" t="str">
        <f t="shared" si="4"/>
        <v>OK</v>
      </c>
      <c r="U25" s="33"/>
      <c r="V25" s="33"/>
      <c r="W25" s="45"/>
      <c r="X25" s="36"/>
      <c r="Y25" s="34"/>
      <c r="Z25" s="45"/>
      <c r="AA25" s="34"/>
      <c r="AB25" s="34"/>
      <c r="AC25" s="34"/>
      <c r="AD25" s="34"/>
      <c r="AE25" s="34"/>
      <c r="AF25" s="34"/>
      <c r="AG25" s="34"/>
      <c r="AH25" s="34"/>
      <c r="AI25" s="34"/>
    </row>
    <row r="26" spans="1:35" ht="24.4" customHeight="1" x14ac:dyDescent="0.2">
      <c r="A26" s="189"/>
      <c r="B26" s="191"/>
      <c r="C26" s="40">
        <v>23</v>
      </c>
      <c r="D26" s="200"/>
      <c r="E26" s="43" t="s">
        <v>20</v>
      </c>
      <c r="F26" s="44" t="s">
        <v>16</v>
      </c>
      <c r="G26" s="44" t="s">
        <v>17</v>
      </c>
      <c r="H26" s="41" t="s">
        <v>44</v>
      </c>
      <c r="I26" s="39" t="s">
        <v>24</v>
      </c>
      <c r="J26" s="42">
        <v>1.2</v>
      </c>
      <c r="K26" s="31">
        <v>0</v>
      </c>
      <c r="L26" s="140">
        <f t="shared" si="0"/>
        <v>0</v>
      </c>
      <c r="M26" s="140">
        <f t="shared" si="1"/>
        <v>0</v>
      </c>
      <c r="N26" s="141"/>
      <c r="O26" s="142">
        <f t="shared" si="2"/>
        <v>0</v>
      </c>
      <c r="P26" s="141"/>
      <c r="Q26" s="141"/>
      <c r="R26" s="141"/>
      <c r="S26" s="143">
        <f t="shared" si="3"/>
        <v>0</v>
      </c>
      <c r="T26" s="32" t="str">
        <f t="shared" si="4"/>
        <v>OK</v>
      </c>
      <c r="U26" s="33"/>
      <c r="V26" s="33"/>
      <c r="W26" s="45"/>
      <c r="X26" s="34"/>
      <c r="Y26" s="34"/>
      <c r="Z26" s="45"/>
      <c r="AA26" s="34"/>
      <c r="AB26" s="34"/>
      <c r="AC26" s="34"/>
      <c r="AD26" s="34"/>
      <c r="AE26" s="34"/>
      <c r="AF26" s="34"/>
      <c r="AG26" s="34"/>
      <c r="AH26" s="34"/>
      <c r="AI26" s="34"/>
    </row>
    <row r="27" spans="1:35" ht="24" customHeight="1" x14ac:dyDescent="0.2">
      <c r="A27" s="194">
        <v>13</v>
      </c>
      <c r="B27" s="196" t="s">
        <v>65</v>
      </c>
      <c r="C27" s="26">
        <v>24</v>
      </c>
      <c r="D27" s="201" t="s">
        <v>66</v>
      </c>
      <c r="E27" s="28" t="s">
        <v>21</v>
      </c>
      <c r="F27" s="50" t="s">
        <v>16</v>
      </c>
      <c r="G27" s="29" t="s">
        <v>17</v>
      </c>
      <c r="H27" s="29" t="s">
        <v>44</v>
      </c>
      <c r="I27" s="28" t="s">
        <v>24</v>
      </c>
      <c r="J27" s="30">
        <v>0.33</v>
      </c>
      <c r="K27" s="31">
        <v>200</v>
      </c>
      <c r="L27" s="140">
        <f t="shared" si="0"/>
        <v>0</v>
      </c>
      <c r="M27" s="140">
        <f t="shared" si="1"/>
        <v>0</v>
      </c>
      <c r="N27" s="141">
        <v>-200</v>
      </c>
      <c r="O27" s="142">
        <f t="shared" si="2"/>
        <v>50</v>
      </c>
      <c r="P27" s="141"/>
      <c r="Q27" s="141"/>
      <c r="R27" s="141"/>
      <c r="S27" s="143">
        <f t="shared" si="3"/>
        <v>0</v>
      </c>
      <c r="T27" s="32" t="str">
        <f t="shared" si="4"/>
        <v>OK</v>
      </c>
      <c r="U27" s="33"/>
      <c r="V27" s="33"/>
      <c r="W27" s="45"/>
      <c r="X27" s="34"/>
      <c r="Y27" s="34"/>
      <c r="Z27" s="45"/>
      <c r="AA27" s="34"/>
      <c r="AB27" s="34"/>
      <c r="AC27" s="34"/>
      <c r="AD27" s="34"/>
      <c r="AE27" s="34"/>
      <c r="AF27" s="34"/>
      <c r="AG27" s="34"/>
      <c r="AH27" s="34"/>
      <c r="AI27" s="34"/>
    </row>
    <row r="28" spans="1:35" ht="30.2" customHeight="1" x14ac:dyDescent="0.2">
      <c r="A28" s="195"/>
      <c r="B28" s="197"/>
      <c r="C28" s="26">
        <v>25</v>
      </c>
      <c r="D28" s="202"/>
      <c r="E28" s="28" t="s">
        <v>22</v>
      </c>
      <c r="F28" s="50" t="s">
        <v>16</v>
      </c>
      <c r="G28" s="50" t="s">
        <v>17</v>
      </c>
      <c r="H28" s="29" t="s">
        <v>44</v>
      </c>
      <c r="I28" s="28" t="s">
        <v>24</v>
      </c>
      <c r="J28" s="30">
        <v>0.15</v>
      </c>
      <c r="K28" s="31">
        <v>0</v>
      </c>
      <c r="L28" s="140">
        <f t="shared" si="0"/>
        <v>0</v>
      </c>
      <c r="M28" s="140">
        <f t="shared" si="1"/>
        <v>0</v>
      </c>
      <c r="N28" s="141"/>
      <c r="O28" s="142">
        <f t="shared" si="2"/>
        <v>0</v>
      </c>
      <c r="P28" s="141"/>
      <c r="Q28" s="141"/>
      <c r="R28" s="141"/>
      <c r="S28" s="143">
        <f t="shared" si="3"/>
        <v>0</v>
      </c>
      <c r="T28" s="32" t="str">
        <f t="shared" si="4"/>
        <v>OK</v>
      </c>
      <c r="U28" s="33"/>
      <c r="V28" s="33"/>
      <c r="W28" s="45"/>
      <c r="X28" s="34"/>
      <c r="Y28" s="34"/>
      <c r="Z28" s="45"/>
      <c r="AA28" s="34"/>
      <c r="AB28" s="34"/>
      <c r="AC28" s="34"/>
      <c r="AD28" s="34"/>
      <c r="AE28" s="34"/>
      <c r="AF28" s="34"/>
      <c r="AG28" s="34"/>
      <c r="AH28" s="34"/>
      <c r="AI28" s="34"/>
    </row>
    <row r="29" spans="1:35" ht="26.45" customHeight="1" x14ac:dyDescent="0.2">
      <c r="A29" s="188">
        <v>14</v>
      </c>
      <c r="B29" s="190" t="s">
        <v>65</v>
      </c>
      <c r="C29" s="40">
        <v>26</v>
      </c>
      <c r="D29" s="192" t="s">
        <v>67</v>
      </c>
      <c r="E29" s="66" t="s">
        <v>21</v>
      </c>
      <c r="F29" s="44" t="s">
        <v>16</v>
      </c>
      <c r="G29" s="44" t="s">
        <v>17</v>
      </c>
      <c r="H29" s="41" t="s">
        <v>44</v>
      </c>
      <c r="I29" s="39" t="s">
        <v>24</v>
      </c>
      <c r="J29" s="42">
        <v>0.33</v>
      </c>
      <c r="K29" s="31">
        <v>200</v>
      </c>
      <c r="L29" s="140">
        <f t="shared" si="0"/>
        <v>0</v>
      </c>
      <c r="M29" s="140">
        <f t="shared" si="1"/>
        <v>0</v>
      </c>
      <c r="N29" s="141"/>
      <c r="O29" s="142">
        <f t="shared" si="2"/>
        <v>50</v>
      </c>
      <c r="P29" s="141"/>
      <c r="Q29" s="141"/>
      <c r="R29" s="141"/>
      <c r="S29" s="143">
        <f t="shared" si="3"/>
        <v>200</v>
      </c>
      <c r="T29" s="32" t="str">
        <f t="shared" si="4"/>
        <v>OK</v>
      </c>
      <c r="U29" s="33"/>
      <c r="V29" s="33"/>
      <c r="W29" s="45"/>
      <c r="X29" s="34"/>
      <c r="Y29" s="34"/>
      <c r="Z29" s="45"/>
      <c r="AA29" s="34"/>
      <c r="AB29" s="34"/>
      <c r="AC29" s="34"/>
      <c r="AD29" s="34"/>
      <c r="AE29" s="34"/>
      <c r="AF29" s="34"/>
      <c r="AG29" s="34"/>
      <c r="AH29" s="34"/>
      <c r="AI29" s="34"/>
    </row>
    <row r="30" spans="1:35" ht="33.950000000000003" customHeight="1" x14ac:dyDescent="0.2">
      <c r="A30" s="189"/>
      <c r="B30" s="191"/>
      <c r="C30" s="40">
        <v>27</v>
      </c>
      <c r="D30" s="193"/>
      <c r="E30" s="66" t="s">
        <v>22</v>
      </c>
      <c r="F30" s="44" t="s">
        <v>16</v>
      </c>
      <c r="G30" s="44" t="s">
        <v>17</v>
      </c>
      <c r="H30" s="41" t="s">
        <v>44</v>
      </c>
      <c r="I30" s="39" t="s">
        <v>24</v>
      </c>
      <c r="J30" s="42">
        <v>0.23</v>
      </c>
      <c r="K30" s="31">
        <v>0</v>
      </c>
      <c r="L30" s="140">
        <f t="shared" si="0"/>
        <v>0</v>
      </c>
      <c r="M30" s="140">
        <f t="shared" si="1"/>
        <v>0</v>
      </c>
      <c r="N30" s="141"/>
      <c r="O30" s="142">
        <f t="shared" si="2"/>
        <v>0</v>
      </c>
      <c r="P30" s="141"/>
      <c r="Q30" s="141"/>
      <c r="R30" s="141"/>
      <c r="S30" s="143">
        <f t="shared" si="3"/>
        <v>0</v>
      </c>
      <c r="T30" s="32" t="str">
        <f t="shared" si="4"/>
        <v>OK</v>
      </c>
      <c r="U30" s="33"/>
      <c r="V30" s="33"/>
      <c r="W30" s="45"/>
      <c r="X30" s="34"/>
      <c r="Y30" s="34"/>
      <c r="Z30" s="45"/>
      <c r="AA30" s="34"/>
      <c r="AB30" s="34"/>
      <c r="AC30" s="34"/>
      <c r="AD30" s="34"/>
      <c r="AE30" s="34"/>
      <c r="AF30" s="34"/>
      <c r="AG30" s="34"/>
      <c r="AH30" s="34"/>
      <c r="AI30" s="34"/>
    </row>
    <row r="31" spans="1:35" ht="27" customHeight="1" x14ac:dyDescent="0.2">
      <c r="A31" s="194">
        <v>15</v>
      </c>
      <c r="B31" s="196" t="s">
        <v>31</v>
      </c>
      <c r="C31" s="68">
        <v>28</v>
      </c>
      <c r="D31" s="198" t="s">
        <v>68</v>
      </c>
      <c r="E31" s="28" t="s">
        <v>21</v>
      </c>
      <c r="F31" s="50" t="s">
        <v>16</v>
      </c>
      <c r="G31" s="50" t="s">
        <v>17</v>
      </c>
      <c r="H31" s="29" t="s">
        <v>44</v>
      </c>
      <c r="I31" s="28" t="s">
        <v>24</v>
      </c>
      <c r="J31" s="30">
        <v>0.4</v>
      </c>
      <c r="K31" s="31">
        <v>300</v>
      </c>
      <c r="L31" s="140">
        <f t="shared" si="0"/>
        <v>0</v>
      </c>
      <c r="M31" s="140">
        <f t="shared" si="1"/>
        <v>0</v>
      </c>
      <c r="N31" s="141">
        <v>-300</v>
      </c>
      <c r="O31" s="142">
        <f t="shared" si="2"/>
        <v>75</v>
      </c>
      <c r="P31" s="141"/>
      <c r="Q31" s="141"/>
      <c r="R31" s="141"/>
      <c r="S31" s="143">
        <f t="shared" si="3"/>
        <v>0</v>
      </c>
      <c r="T31" s="32" t="str">
        <f t="shared" si="4"/>
        <v>OK</v>
      </c>
      <c r="U31" s="33"/>
      <c r="V31" s="35"/>
      <c r="W31" s="45"/>
      <c r="X31" s="36"/>
      <c r="Y31" s="34"/>
      <c r="Z31" s="45"/>
      <c r="AA31" s="34"/>
      <c r="AB31" s="34"/>
      <c r="AC31" s="34"/>
      <c r="AD31" s="34"/>
      <c r="AE31" s="34"/>
      <c r="AF31" s="34"/>
      <c r="AG31" s="34"/>
      <c r="AH31" s="34"/>
      <c r="AI31" s="34"/>
    </row>
    <row r="32" spans="1:35" ht="29.25" customHeight="1" x14ac:dyDescent="0.2">
      <c r="A32" s="195"/>
      <c r="B32" s="197"/>
      <c r="C32" s="26">
        <v>29</v>
      </c>
      <c r="D32" s="198"/>
      <c r="E32" s="28" t="s">
        <v>22</v>
      </c>
      <c r="F32" s="50" t="s">
        <v>16</v>
      </c>
      <c r="G32" s="50" t="s">
        <v>17</v>
      </c>
      <c r="H32" s="29" t="s">
        <v>44</v>
      </c>
      <c r="I32" s="28" t="s">
        <v>24</v>
      </c>
      <c r="J32" s="30">
        <v>0.44</v>
      </c>
      <c r="K32" s="31">
        <v>0</v>
      </c>
      <c r="L32" s="140">
        <f t="shared" si="0"/>
        <v>0</v>
      </c>
      <c r="M32" s="140">
        <f t="shared" si="1"/>
        <v>0</v>
      </c>
      <c r="N32" s="141"/>
      <c r="O32" s="142">
        <f t="shared" si="2"/>
        <v>0</v>
      </c>
      <c r="P32" s="141"/>
      <c r="Q32" s="141"/>
      <c r="R32" s="141"/>
      <c r="S32" s="143">
        <f t="shared" si="3"/>
        <v>0</v>
      </c>
      <c r="T32" s="32" t="str">
        <f t="shared" si="4"/>
        <v>OK</v>
      </c>
      <c r="U32" s="33"/>
      <c r="V32" s="33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</row>
    <row r="33" spans="11:35" x14ac:dyDescent="0.2">
      <c r="K33" s="56">
        <f>SUM(K4:K32)</f>
        <v>700</v>
      </c>
      <c r="U33" s="67">
        <f t="shared" ref="U33:AI33" si="5">SUMPRODUCT($J$4:$J$32,U4:U32)</f>
        <v>0</v>
      </c>
      <c r="V33" s="59">
        <f t="shared" si="5"/>
        <v>0</v>
      </c>
      <c r="W33" s="59">
        <f t="shared" si="5"/>
        <v>0</v>
      </c>
      <c r="X33" s="59">
        <f t="shared" si="5"/>
        <v>0</v>
      </c>
      <c r="Y33" s="59">
        <f t="shared" si="5"/>
        <v>0</v>
      </c>
      <c r="Z33" s="59">
        <f t="shared" si="5"/>
        <v>0</v>
      </c>
      <c r="AA33" s="59">
        <f t="shared" si="5"/>
        <v>0</v>
      </c>
      <c r="AB33" s="59">
        <f t="shared" si="5"/>
        <v>0</v>
      </c>
      <c r="AC33" s="59">
        <f t="shared" si="5"/>
        <v>0</v>
      </c>
      <c r="AD33" s="59">
        <f t="shared" si="5"/>
        <v>0</v>
      </c>
      <c r="AE33" s="59">
        <f t="shared" si="5"/>
        <v>0</v>
      </c>
      <c r="AF33" s="59">
        <f t="shared" si="5"/>
        <v>0</v>
      </c>
      <c r="AG33" s="59">
        <f t="shared" si="5"/>
        <v>0</v>
      </c>
      <c r="AH33" s="59">
        <f t="shared" si="5"/>
        <v>0</v>
      </c>
      <c r="AI33" s="59">
        <f t="shared" si="5"/>
        <v>0</v>
      </c>
    </row>
    <row r="34" spans="11:35" x14ac:dyDescent="0.2">
      <c r="K34" s="148">
        <f>SUMPRODUCT($J$4:$J$32,K4:K32)</f>
        <v>252</v>
      </c>
      <c r="L34" s="148">
        <f t="shared" ref="L34:M34" si="6">SUMPRODUCT($J$4:$J$32,L4:L32)</f>
        <v>0</v>
      </c>
      <c r="M34" s="148">
        <f t="shared" si="6"/>
        <v>0</v>
      </c>
    </row>
  </sheetData>
  <mergeCells count="50">
    <mergeCell ref="W1:W2"/>
    <mergeCell ref="A1:C1"/>
    <mergeCell ref="D1:J1"/>
    <mergeCell ref="K1:T1"/>
    <mergeCell ref="U1:U2"/>
    <mergeCell ref="V1:V2"/>
    <mergeCell ref="K2:T2"/>
    <mergeCell ref="A2:J2"/>
    <mergeCell ref="AI1:AI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4:A8"/>
    <mergeCell ref="B4:B8"/>
    <mergeCell ref="D4:D8"/>
    <mergeCell ref="A9:A10"/>
    <mergeCell ref="B9:B10"/>
    <mergeCell ref="D9:D10"/>
    <mergeCell ref="A11:A13"/>
    <mergeCell ref="B11:B13"/>
    <mergeCell ref="D11:D13"/>
    <mergeCell ref="A14:A15"/>
    <mergeCell ref="B14:B15"/>
    <mergeCell ref="D14:D15"/>
    <mergeCell ref="A19:A20"/>
    <mergeCell ref="B19:B20"/>
    <mergeCell ref="D19:D20"/>
    <mergeCell ref="A23:A24"/>
    <mergeCell ref="B23:B24"/>
    <mergeCell ref="D23:D24"/>
    <mergeCell ref="A25:A26"/>
    <mergeCell ref="B25:B26"/>
    <mergeCell ref="D25:D26"/>
    <mergeCell ref="A27:A28"/>
    <mergeCell ref="B27:B28"/>
    <mergeCell ref="D27:D28"/>
    <mergeCell ref="A29:A30"/>
    <mergeCell ref="B29:B30"/>
    <mergeCell ref="D29:D30"/>
    <mergeCell ref="A31:A32"/>
    <mergeCell ref="B31:B32"/>
    <mergeCell ref="D31:D32"/>
  </mergeCells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11BB6-5C85-424D-93AD-EF6E288308E0}">
  <dimension ref="A1:AI34"/>
  <sheetViews>
    <sheetView topLeftCell="A16" zoomScale="90" zoomScaleNormal="90" workbookViewId="0">
      <pane xSplit="20" topLeftCell="U1" activePane="topRight" state="frozen"/>
      <selection pane="topRight" activeCell="C25" sqref="C25"/>
    </sheetView>
  </sheetViews>
  <sheetFormatPr defaultColWidth="9.7109375" defaultRowHeight="12.75" x14ac:dyDescent="0.2"/>
  <cols>
    <col min="1" max="1" width="7.7109375" style="53" customWidth="1"/>
    <col min="2" max="2" width="11.85546875" style="53" customWidth="1"/>
    <col min="3" max="3" width="5.5703125" style="53" bestFit="1" customWidth="1"/>
    <col min="4" max="4" width="29.140625" style="54" customWidth="1"/>
    <col min="5" max="5" width="10.85546875" style="53" bestFit="1" customWidth="1"/>
    <col min="6" max="6" width="3.7109375" style="53" hidden="1" customWidth="1"/>
    <col min="7" max="7" width="4" style="53" hidden="1" customWidth="1"/>
    <col min="8" max="9" width="9.42578125" style="53" customWidth="1"/>
    <col min="10" max="10" width="11.42578125" style="55" customWidth="1"/>
    <col min="11" max="11" width="15.5703125" style="56" bestFit="1" customWidth="1"/>
    <col min="12" max="12" width="12.42578125" style="56" customWidth="1"/>
    <col min="13" max="13" width="11.7109375" style="56" customWidth="1"/>
    <col min="14" max="14" width="13" style="56" customWidth="1"/>
    <col min="15" max="15" width="14" style="56" bestFit="1" customWidth="1"/>
    <col min="16" max="16" width="7.5703125" style="56" customWidth="1"/>
    <col min="17" max="17" width="7.140625" style="56" customWidth="1"/>
    <col min="18" max="18" width="5.85546875" style="56" customWidth="1"/>
    <col min="19" max="19" width="10.28515625" style="57" customWidth="1"/>
    <col min="20" max="20" width="9.42578125" style="58" customWidth="1"/>
    <col min="21" max="22" width="13.7109375" style="60" customWidth="1"/>
    <col min="23" max="35" width="13.7109375" style="18" customWidth="1"/>
    <col min="36" max="16384" width="9.7109375" style="18"/>
  </cols>
  <sheetData>
    <row r="1" spans="1:35" ht="34.5" customHeight="1" x14ac:dyDescent="0.2">
      <c r="A1" s="219" t="s">
        <v>69</v>
      </c>
      <c r="B1" s="220"/>
      <c r="C1" s="221"/>
      <c r="D1" s="220" t="s">
        <v>32</v>
      </c>
      <c r="E1" s="220"/>
      <c r="F1" s="220"/>
      <c r="G1" s="220"/>
      <c r="H1" s="220"/>
      <c r="I1" s="220"/>
      <c r="J1" s="221"/>
      <c r="K1" s="222" t="s">
        <v>33</v>
      </c>
      <c r="L1" s="223"/>
      <c r="M1" s="223"/>
      <c r="N1" s="223"/>
      <c r="O1" s="223"/>
      <c r="P1" s="223"/>
      <c r="Q1" s="223"/>
      <c r="R1" s="223"/>
      <c r="S1" s="223"/>
      <c r="T1" s="224"/>
      <c r="U1" s="218" t="s">
        <v>92</v>
      </c>
      <c r="V1" s="218" t="s">
        <v>179</v>
      </c>
      <c r="W1" s="218" t="s">
        <v>180</v>
      </c>
      <c r="X1" s="218" t="s">
        <v>183</v>
      </c>
      <c r="Y1" s="218" t="s">
        <v>184</v>
      </c>
      <c r="Z1" s="218" t="s">
        <v>184</v>
      </c>
      <c r="AA1" s="218" t="s">
        <v>184</v>
      </c>
      <c r="AB1" s="218" t="s">
        <v>184</v>
      </c>
      <c r="AC1" s="218" t="s">
        <v>184</v>
      </c>
      <c r="AD1" s="218" t="s">
        <v>184</v>
      </c>
      <c r="AE1" s="218" t="s">
        <v>184</v>
      </c>
      <c r="AF1" s="218" t="s">
        <v>184</v>
      </c>
      <c r="AG1" s="218" t="s">
        <v>184</v>
      </c>
      <c r="AH1" s="218" t="s">
        <v>184</v>
      </c>
      <c r="AI1" s="218" t="s">
        <v>184</v>
      </c>
    </row>
    <row r="2" spans="1:35" ht="27" customHeight="1" x14ac:dyDescent="0.2">
      <c r="A2" s="219" t="s">
        <v>70</v>
      </c>
      <c r="B2" s="220"/>
      <c r="C2" s="220"/>
      <c r="D2" s="220"/>
      <c r="E2" s="220"/>
      <c r="F2" s="220"/>
      <c r="G2" s="220"/>
      <c r="H2" s="220"/>
      <c r="I2" s="220"/>
      <c r="J2" s="221"/>
      <c r="K2" s="225" t="s">
        <v>91</v>
      </c>
      <c r="L2" s="226"/>
      <c r="M2" s="226"/>
      <c r="N2" s="226"/>
      <c r="O2" s="226"/>
      <c r="P2" s="226"/>
      <c r="Q2" s="226"/>
      <c r="R2" s="226"/>
      <c r="S2" s="226"/>
      <c r="T2" s="227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</row>
    <row r="3" spans="1:35" s="25" customFormat="1" ht="76.5" x14ac:dyDescent="0.2">
      <c r="A3" s="19" t="s">
        <v>5</v>
      </c>
      <c r="B3" s="19" t="s">
        <v>18</v>
      </c>
      <c r="C3" s="69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43</v>
      </c>
      <c r="I3" s="20" t="s">
        <v>4</v>
      </c>
      <c r="J3" s="21" t="s">
        <v>28</v>
      </c>
      <c r="K3" s="22" t="s">
        <v>6</v>
      </c>
      <c r="L3" s="145" t="s">
        <v>185</v>
      </c>
      <c r="M3" s="145" t="s">
        <v>186</v>
      </c>
      <c r="N3" s="145" t="s">
        <v>187</v>
      </c>
      <c r="O3" s="145" t="s">
        <v>188</v>
      </c>
      <c r="P3" s="145" t="s">
        <v>189</v>
      </c>
      <c r="Q3" s="145" t="s">
        <v>190</v>
      </c>
      <c r="R3" s="145" t="s">
        <v>191</v>
      </c>
      <c r="S3" s="146" t="s">
        <v>0</v>
      </c>
      <c r="T3" s="23" t="s">
        <v>2</v>
      </c>
      <c r="U3" s="74">
        <v>45440</v>
      </c>
      <c r="V3" s="74">
        <v>45601</v>
      </c>
      <c r="W3" s="74">
        <v>45601</v>
      </c>
      <c r="X3" s="74">
        <v>45681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  <c r="AG3" s="24" t="s">
        <v>1</v>
      </c>
      <c r="AH3" s="24" t="s">
        <v>1</v>
      </c>
      <c r="AI3" s="24" t="s">
        <v>1</v>
      </c>
    </row>
    <row r="4" spans="1:35" ht="23.25" customHeight="1" x14ac:dyDescent="0.2">
      <c r="A4" s="203">
        <v>1</v>
      </c>
      <c r="B4" s="196" t="s">
        <v>31</v>
      </c>
      <c r="C4" s="26">
        <v>1</v>
      </c>
      <c r="D4" s="201" t="s">
        <v>34</v>
      </c>
      <c r="E4" s="28" t="s">
        <v>35</v>
      </c>
      <c r="F4" s="29" t="s">
        <v>16</v>
      </c>
      <c r="G4" s="29" t="s">
        <v>17</v>
      </c>
      <c r="H4" s="29" t="s">
        <v>44</v>
      </c>
      <c r="I4" s="28" t="s">
        <v>24</v>
      </c>
      <c r="J4" s="30">
        <v>12.15</v>
      </c>
      <c r="K4" s="31">
        <v>0</v>
      </c>
      <c r="L4" s="140">
        <f t="shared" ref="L4:L32" si="0">IF(SUM(U4:AL4)&gt;K4+N4,K4+N4,SUM(U4:AL4))</f>
        <v>0</v>
      </c>
      <c r="M4" s="140">
        <f t="shared" ref="M4:M32" si="1">(SUM(U4:AL4))</f>
        <v>0</v>
      </c>
      <c r="N4" s="141"/>
      <c r="O4" s="142">
        <f t="shared" ref="O4:O32" si="2">ROUND(IF(K4*0.25-0.5&lt;0,0,K4*0.25-0.5),0)-R4-P4</f>
        <v>0</v>
      </c>
      <c r="P4" s="141"/>
      <c r="Q4" s="141"/>
      <c r="R4" s="141"/>
      <c r="S4" s="143">
        <f t="shared" ref="S4:S32" si="3">K4+N4+P4+Q4-M4</f>
        <v>0</v>
      </c>
      <c r="T4" s="32" t="str">
        <f t="shared" ref="T4:T32" si="4">IF(S4&lt;0,"ATENÇÃO","OK")</f>
        <v>OK</v>
      </c>
      <c r="U4" s="82"/>
      <c r="V4" s="82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</row>
    <row r="5" spans="1:35" ht="26.45" customHeight="1" x14ac:dyDescent="0.2">
      <c r="A5" s="204"/>
      <c r="B5" s="206"/>
      <c r="C5" s="26">
        <v>2</v>
      </c>
      <c r="D5" s="207"/>
      <c r="E5" s="28" t="s">
        <v>36</v>
      </c>
      <c r="F5" s="29" t="s">
        <v>16</v>
      </c>
      <c r="G5" s="29" t="s">
        <v>17</v>
      </c>
      <c r="H5" s="29" t="s">
        <v>44</v>
      </c>
      <c r="I5" s="28" t="s">
        <v>24</v>
      </c>
      <c r="J5" s="30">
        <v>40.5</v>
      </c>
      <c r="K5" s="31">
        <v>0</v>
      </c>
      <c r="L5" s="140">
        <f t="shared" si="0"/>
        <v>0</v>
      </c>
      <c r="M5" s="140">
        <f t="shared" si="1"/>
        <v>0</v>
      </c>
      <c r="N5" s="141"/>
      <c r="O5" s="142">
        <f t="shared" si="2"/>
        <v>0</v>
      </c>
      <c r="P5" s="141"/>
      <c r="Q5" s="141"/>
      <c r="R5" s="141"/>
      <c r="S5" s="143">
        <f t="shared" si="3"/>
        <v>0</v>
      </c>
      <c r="T5" s="32" t="str">
        <f t="shared" si="4"/>
        <v>OK</v>
      </c>
      <c r="U5" s="82"/>
      <c r="V5" s="82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</row>
    <row r="6" spans="1:35" ht="24" customHeight="1" x14ac:dyDescent="0.2">
      <c r="A6" s="204"/>
      <c r="B6" s="206"/>
      <c r="C6" s="26">
        <v>3</v>
      </c>
      <c r="D6" s="207"/>
      <c r="E6" s="28" t="s">
        <v>37</v>
      </c>
      <c r="F6" s="29" t="s">
        <v>16</v>
      </c>
      <c r="G6" s="29" t="s">
        <v>17</v>
      </c>
      <c r="H6" s="29" t="s">
        <v>44</v>
      </c>
      <c r="I6" s="28" t="s">
        <v>24</v>
      </c>
      <c r="J6" s="30">
        <v>49.5</v>
      </c>
      <c r="K6" s="31">
        <v>0</v>
      </c>
      <c r="L6" s="140">
        <f t="shared" si="0"/>
        <v>0</v>
      </c>
      <c r="M6" s="140">
        <f t="shared" si="1"/>
        <v>0</v>
      </c>
      <c r="N6" s="141"/>
      <c r="O6" s="142">
        <f t="shared" si="2"/>
        <v>0</v>
      </c>
      <c r="P6" s="141"/>
      <c r="Q6" s="141"/>
      <c r="R6" s="141"/>
      <c r="S6" s="143">
        <f t="shared" si="3"/>
        <v>0</v>
      </c>
      <c r="T6" s="32" t="str">
        <f t="shared" si="4"/>
        <v>OK</v>
      </c>
      <c r="U6" s="82"/>
      <c r="V6" s="82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</row>
    <row r="7" spans="1:35" ht="24" customHeight="1" x14ac:dyDescent="0.2">
      <c r="A7" s="204"/>
      <c r="B7" s="206"/>
      <c r="C7" s="26">
        <v>4</v>
      </c>
      <c r="D7" s="207"/>
      <c r="E7" s="28" t="s">
        <v>38</v>
      </c>
      <c r="F7" s="29" t="s">
        <v>16</v>
      </c>
      <c r="G7" s="29" t="s">
        <v>17</v>
      </c>
      <c r="H7" s="29" t="s">
        <v>44</v>
      </c>
      <c r="I7" s="28" t="s">
        <v>24</v>
      </c>
      <c r="J7" s="30">
        <v>53</v>
      </c>
      <c r="K7" s="31">
        <v>3</v>
      </c>
      <c r="L7" s="140">
        <f t="shared" si="0"/>
        <v>3</v>
      </c>
      <c r="M7" s="140">
        <f t="shared" si="1"/>
        <v>3</v>
      </c>
      <c r="N7" s="141"/>
      <c r="O7" s="142">
        <f t="shared" si="2"/>
        <v>0</v>
      </c>
      <c r="P7" s="141"/>
      <c r="Q7" s="141"/>
      <c r="R7" s="141"/>
      <c r="S7" s="143">
        <f t="shared" si="3"/>
        <v>0</v>
      </c>
      <c r="T7" s="32" t="str">
        <f t="shared" si="4"/>
        <v>OK</v>
      </c>
      <c r="U7" s="82"/>
      <c r="V7" s="82"/>
      <c r="W7" s="84">
        <v>3</v>
      </c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</row>
    <row r="8" spans="1:35" ht="85.5" customHeight="1" x14ac:dyDescent="0.2">
      <c r="A8" s="205"/>
      <c r="B8" s="197"/>
      <c r="C8" s="26">
        <v>5</v>
      </c>
      <c r="D8" s="202"/>
      <c r="E8" s="28" t="s">
        <v>39</v>
      </c>
      <c r="F8" s="29" t="s">
        <v>16</v>
      </c>
      <c r="G8" s="29" t="s">
        <v>17</v>
      </c>
      <c r="H8" s="29" t="s">
        <v>44</v>
      </c>
      <c r="I8" s="28" t="s">
        <v>24</v>
      </c>
      <c r="J8" s="30">
        <v>30.4</v>
      </c>
      <c r="K8" s="31">
        <v>15</v>
      </c>
      <c r="L8" s="140">
        <f t="shared" si="0"/>
        <v>15</v>
      </c>
      <c r="M8" s="140">
        <f t="shared" si="1"/>
        <v>15</v>
      </c>
      <c r="N8" s="141"/>
      <c r="O8" s="142">
        <f t="shared" si="2"/>
        <v>3</v>
      </c>
      <c r="P8" s="141"/>
      <c r="Q8" s="141"/>
      <c r="R8" s="141"/>
      <c r="S8" s="143">
        <f t="shared" si="3"/>
        <v>0</v>
      </c>
      <c r="T8" s="32" t="str">
        <f t="shared" si="4"/>
        <v>OK</v>
      </c>
      <c r="U8" s="82">
        <v>10</v>
      </c>
      <c r="V8" s="82"/>
      <c r="W8" s="84">
        <v>5</v>
      </c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</row>
    <row r="9" spans="1:35" ht="21.75" customHeight="1" x14ac:dyDescent="0.2">
      <c r="A9" s="216">
        <v>2</v>
      </c>
      <c r="B9" s="190" t="s">
        <v>31</v>
      </c>
      <c r="C9" s="40">
        <v>6</v>
      </c>
      <c r="D9" s="199" t="s">
        <v>40</v>
      </c>
      <c r="E9" s="39" t="s">
        <v>35</v>
      </c>
      <c r="F9" s="41" t="s">
        <v>16</v>
      </c>
      <c r="G9" s="41" t="s">
        <v>17</v>
      </c>
      <c r="H9" s="41" t="s">
        <v>44</v>
      </c>
      <c r="I9" s="39" t="s">
        <v>24</v>
      </c>
      <c r="J9" s="42">
        <v>14.21</v>
      </c>
      <c r="K9" s="31">
        <v>0</v>
      </c>
      <c r="L9" s="140">
        <f t="shared" si="0"/>
        <v>0</v>
      </c>
      <c r="M9" s="140">
        <f t="shared" si="1"/>
        <v>0</v>
      </c>
      <c r="N9" s="141"/>
      <c r="O9" s="142">
        <f t="shared" si="2"/>
        <v>0</v>
      </c>
      <c r="P9" s="141"/>
      <c r="Q9" s="141"/>
      <c r="R9" s="141"/>
      <c r="S9" s="143">
        <f t="shared" si="3"/>
        <v>0</v>
      </c>
      <c r="T9" s="32" t="str">
        <f t="shared" si="4"/>
        <v>OK</v>
      </c>
      <c r="U9" s="82"/>
      <c r="V9" s="82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</row>
    <row r="10" spans="1:35" ht="20.25" customHeight="1" x14ac:dyDescent="0.2">
      <c r="A10" s="217"/>
      <c r="B10" s="191"/>
      <c r="C10" s="40">
        <v>7</v>
      </c>
      <c r="D10" s="200"/>
      <c r="E10" s="39" t="s">
        <v>41</v>
      </c>
      <c r="F10" s="41" t="s">
        <v>16</v>
      </c>
      <c r="G10" s="41" t="s">
        <v>17</v>
      </c>
      <c r="H10" s="41" t="s">
        <v>44</v>
      </c>
      <c r="I10" s="39" t="s">
        <v>24</v>
      </c>
      <c r="J10" s="42">
        <v>20.9</v>
      </c>
      <c r="K10" s="31">
        <v>0</v>
      </c>
      <c r="L10" s="140">
        <f t="shared" si="0"/>
        <v>0</v>
      </c>
      <c r="M10" s="140">
        <f t="shared" si="1"/>
        <v>0</v>
      </c>
      <c r="N10" s="141"/>
      <c r="O10" s="142">
        <f t="shared" si="2"/>
        <v>0</v>
      </c>
      <c r="P10" s="141"/>
      <c r="Q10" s="141"/>
      <c r="R10" s="141"/>
      <c r="S10" s="143">
        <f t="shared" si="3"/>
        <v>0</v>
      </c>
      <c r="T10" s="32" t="str">
        <f t="shared" si="4"/>
        <v>OK</v>
      </c>
      <c r="U10" s="82"/>
      <c r="V10" s="82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</row>
    <row r="11" spans="1:35" ht="38.25" x14ac:dyDescent="0.2">
      <c r="A11" s="203">
        <v>3</v>
      </c>
      <c r="B11" s="196" t="s">
        <v>42</v>
      </c>
      <c r="C11" s="26">
        <v>8</v>
      </c>
      <c r="D11" s="201" t="s">
        <v>45</v>
      </c>
      <c r="E11" s="28" t="s">
        <v>46</v>
      </c>
      <c r="F11" s="29" t="s">
        <v>16</v>
      </c>
      <c r="G11" s="29" t="s">
        <v>17</v>
      </c>
      <c r="H11" s="29" t="s">
        <v>44</v>
      </c>
      <c r="I11" s="28" t="s">
        <v>24</v>
      </c>
      <c r="J11" s="30">
        <v>423</v>
      </c>
      <c r="K11" s="31">
        <v>0</v>
      </c>
      <c r="L11" s="140">
        <f t="shared" si="0"/>
        <v>0</v>
      </c>
      <c r="M11" s="140">
        <f t="shared" si="1"/>
        <v>0</v>
      </c>
      <c r="N11" s="141"/>
      <c r="O11" s="142">
        <f t="shared" si="2"/>
        <v>0</v>
      </c>
      <c r="P11" s="141"/>
      <c r="Q11" s="141"/>
      <c r="R11" s="141"/>
      <c r="S11" s="143">
        <f t="shared" si="3"/>
        <v>0</v>
      </c>
      <c r="T11" s="32" t="str">
        <f t="shared" si="4"/>
        <v>OK</v>
      </c>
      <c r="U11" s="82"/>
      <c r="V11" s="82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</row>
    <row r="12" spans="1:35" ht="21.2" customHeight="1" x14ac:dyDescent="0.2">
      <c r="A12" s="204"/>
      <c r="B12" s="206"/>
      <c r="C12" s="26">
        <v>9</v>
      </c>
      <c r="D12" s="207"/>
      <c r="E12" s="28" t="s">
        <v>47</v>
      </c>
      <c r="F12" s="29" t="s">
        <v>16</v>
      </c>
      <c r="G12" s="29" t="s">
        <v>17</v>
      </c>
      <c r="H12" s="29" t="s">
        <v>44</v>
      </c>
      <c r="I12" s="28" t="s">
        <v>24</v>
      </c>
      <c r="J12" s="30">
        <v>1613</v>
      </c>
      <c r="K12" s="31">
        <v>0</v>
      </c>
      <c r="L12" s="140">
        <f t="shared" si="0"/>
        <v>0</v>
      </c>
      <c r="M12" s="140">
        <f t="shared" si="1"/>
        <v>0</v>
      </c>
      <c r="N12" s="141"/>
      <c r="O12" s="142">
        <f t="shared" si="2"/>
        <v>0</v>
      </c>
      <c r="P12" s="141"/>
      <c r="Q12" s="141"/>
      <c r="R12" s="141"/>
      <c r="S12" s="143">
        <f t="shared" si="3"/>
        <v>0</v>
      </c>
      <c r="T12" s="32" t="str">
        <f t="shared" si="4"/>
        <v>OK</v>
      </c>
      <c r="U12" s="82"/>
      <c r="V12" s="82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</row>
    <row r="13" spans="1:35" ht="19.5" customHeight="1" x14ac:dyDescent="0.2">
      <c r="A13" s="205"/>
      <c r="B13" s="197"/>
      <c r="C13" s="26">
        <v>10</v>
      </c>
      <c r="D13" s="202"/>
      <c r="E13" s="28" t="s">
        <v>48</v>
      </c>
      <c r="F13" s="29" t="s">
        <v>16</v>
      </c>
      <c r="G13" s="29" t="s">
        <v>17</v>
      </c>
      <c r="H13" s="29" t="s">
        <v>44</v>
      </c>
      <c r="I13" s="28" t="s">
        <v>24</v>
      </c>
      <c r="J13" s="30">
        <v>1749</v>
      </c>
      <c r="K13" s="31">
        <v>2</v>
      </c>
      <c r="L13" s="140">
        <f t="shared" si="0"/>
        <v>0</v>
      </c>
      <c r="M13" s="140">
        <f t="shared" si="1"/>
        <v>0</v>
      </c>
      <c r="N13" s="141">
        <v>-2</v>
      </c>
      <c r="O13" s="142">
        <f t="shared" si="2"/>
        <v>0</v>
      </c>
      <c r="P13" s="141"/>
      <c r="Q13" s="141"/>
      <c r="R13" s="141"/>
      <c r="S13" s="143">
        <f t="shared" si="3"/>
        <v>0</v>
      </c>
      <c r="T13" s="32" t="str">
        <f t="shared" si="4"/>
        <v>OK</v>
      </c>
      <c r="U13" s="82"/>
      <c r="V13" s="82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</row>
    <row r="14" spans="1:35" ht="25.15" customHeight="1" x14ac:dyDescent="0.2">
      <c r="A14" s="208">
        <v>4</v>
      </c>
      <c r="B14" s="209" t="s">
        <v>49</v>
      </c>
      <c r="C14" s="40">
        <v>11</v>
      </c>
      <c r="D14" s="211" t="s">
        <v>50</v>
      </c>
      <c r="E14" s="39" t="s">
        <v>51</v>
      </c>
      <c r="F14" s="41" t="s">
        <v>16</v>
      </c>
      <c r="G14" s="41" t="s">
        <v>17</v>
      </c>
      <c r="H14" s="41" t="s">
        <v>44</v>
      </c>
      <c r="I14" s="39" t="s">
        <v>53</v>
      </c>
      <c r="J14" s="42">
        <v>19.63</v>
      </c>
      <c r="K14" s="31">
        <v>50</v>
      </c>
      <c r="L14" s="140">
        <f t="shared" si="0"/>
        <v>0</v>
      </c>
      <c r="M14" s="140">
        <f t="shared" si="1"/>
        <v>0</v>
      </c>
      <c r="N14" s="141"/>
      <c r="O14" s="142">
        <f t="shared" si="2"/>
        <v>12</v>
      </c>
      <c r="P14" s="141"/>
      <c r="Q14" s="141"/>
      <c r="R14" s="141"/>
      <c r="S14" s="143">
        <f t="shared" si="3"/>
        <v>50</v>
      </c>
      <c r="T14" s="32" t="str">
        <f t="shared" si="4"/>
        <v>OK</v>
      </c>
      <c r="U14" s="82"/>
      <c r="V14" s="82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</row>
    <row r="15" spans="1:35" ht="22.7" customHeight="1" x14ac:dyDescent="0.2">
      <c r="A15" s="208"/>
      <c r="B15" s="210"/>
      <c r="C15" s="40">
        <v>12</v>
      </c>
      <c r="D15" s="212"/>
      <c r="E15" s="39" t="s">
        <v>52</v>
      </c>
      <c r="F15" s="41" t="s">
        <v>16</v>
      </c>
      <c r="G15" s="41" t="s">
        <v>17</v>
      </c>
      <c r="H15" s="41" t="s">
        <v>44</v>
      </c>
      <c r="I15" s="39" t="s">
        <v>24</v>
      </c>
      <c r="J15" s="42">
        <v>20.27</v>
      </c>
      <c r="K15" s="31">
        <v>0</v>
      </c>
      <c r="L15" s="140">
        <f t="shared" si="0"/>
        <v>0</v>
      </c>
      <c r="M15" s="140">
        <f t="shared" si="1"/>
        <v>0</v>
      </c>
      <c r="N15" s="141"/>
      <c r="O15" s="142">
        <f t="shared" si="2"/>
        <v>0</v>
      </c>
      <c r="P15" s="141"/>
      <c r="Q15" s="141"/>
      <c r="R15" s="141"/>
      <c r="S15" s="143">
        <f t="shared" si="3"/>
        <v>0</v>
      </c>
      <c r="T15" s="32" t="str">
        <f t="shared" si="4"/>
        <v>OK</v>
      </c>
      <c r="U15" s="82"/>
      <c r="V15" s="82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</row>
    <row r="16" spans="1:35" ht="45" customHeight="1" x14ac:dyDescent="0.2">
      <c r="A16" s="48">
        <v>5</v>
      </c>
      <c r="B16" s="28" t="s">
        <v>49</v>
      </c>
      <c r="C16" s="26">
        <v>13</v>
      </c>
      <c r="D16" s="49" t="s">
        <v>54</v>
      </c>
      <c r="E16" s="63" t="s">
        <v>55</v>
      </c>
      <c r="F16" s="50" t="s">
        <v>16</v>
      </c>
      <c r="G16" s="50" t="s">
        <v>17</v>
      </c>
      <c r="H16" s="29" t="s">
        <v>44</v>
      </c>
      <c r="I16" s="28" t="s">
        <v>53</v>
      </c>
      <c r="J16" s="30">
        <v>28.9</v>
      </c>
      <c r="K16" s="31">
        <v>80</v>
      </c>
      <c r="L16" s="140">
        <f t="shared" si="0"/>
        <v>0</v>
      </c>
      <c r="M16" s="140">
        <f t="shared" si="1"/>
        <v>0</v>
      </c>
      <c r="N16" s="141"/>
      <c r="O16" s="142">
        <f t="shared" si="2"/>
        <v>20</v>
      </c>
      <c r="P16" s="141"/>
      <c r="Q16" s="141"/>
      <c r="R16" s="141"/>
      <c r="S16" s="143">
        <f t="shared" si="3"/>
        <v>80</v>
      </c>
      <c r="T16" s="32" t="str">
        <f t="shared" si="4"/>
        <v>OK</v>
      </c>
      <c r="U16" s="82"/>
      <c r="V16" s="82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</row>
    <row r="17" spans="1:35" ht="54" customHeight="1" x14ac:dyDescent="0.2">
      <c r="A17" s="38">
        <v>6</v>
      </c>
      <c r="B17" s="47" t="s">
        <v>49</v>
      </c>
      <c r="C17" s="40">
        <v>14</v>
      </c>
      <c r="D17" s="47" t="s">
        <v>57</v>
      </c>
      <c r="E17" s="39" t="s">
        <v>56</v>
      </c>
      <c r="F17" s="41" t="s">
        <v>16</v>
      </c>
      <c r="G17" s="41" t="s">
        <v>17</v>
      </c>
      <c r="H17" s="41" t="s">
        <v>44</v>
      </c>
      <c r="I17" s="39" t="s">
        <v>24</v>
      </c>
      <c r="J17" s="42">
        <v>9.5</v>
      </c>
      <c r="K17" s="31">
        <v>20</v>
      </c>
      <c r="L17" s="140">
        <f t="shared" si="0"/>
        <v>0</v>
      </c>
      <c r="M17" s="140">
        <f t="shared" si="1"/>
        <v>0</v>
      </c>
      <c r="N17" s="141"/>
      <c r="O17" s="142">
        <f t="shared" si="2"/>
        <v>5</v>
      </c>
      <c r="P17" s="141"/>
      <c r="Q17" s="141"/>
      <c r="R17" s="141"/>
      <c r="S17" s="143">
        <f t="shared" si="3"/>
        <v>20</v>
      </c>
      <c r="T17" s="32" t="str">
        <f t="shared" si="4"/>
        <v>OK</v>
      </c>
      <c r="U17" s="82"/>
      <c r="V17" s="82"/>
      <c r="W17" s="87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</row>
    <row r="18" spans="1:35" ht="48" customHeight="1" x14ac:dyDescent="0.2">
      <c r="A18" s="65">
        <v>7</v>
      </c>
      <c r="B18" s="28" t="s">
        <v>49</v>
      </c>
      <c r="C18" s="64">
        <v>15</v>
      </c>
      <c r="D18" s="37" t="s">
        <v>58</v>
      </c>
      <c r="E18" s="61" t="s">
        <v>59</v>
      </c>
      <c r="F18" s="29" t="s">
        <v>16</v>
      </c>
      <c r="G18" s="29" t="s">
        <v>17</v>
      </c>
      <c r="H18" s="29" t="s">
        <v>44</v>
      </c>
      <c r="I18" s="28" t="s">
        <v>24</v>
      </c>
      <c r="J18" s="30">
        <v>197.76</v>
      </c>
      <c r="K18" s="31">
        <v>30</v>
      </c>
      <c r="L18" s="140">
        <f t="shared" si="0"/>
        <v>0</v>
      </c>
      <c r="M18" s="140">
        <f t="shared" si="1"/>
        <v>0</v>
      </c>
      <c r="N18" s="141"/>
      <c r="O18" s="142">
        <f t="shared" si="2"/>
        <v>7</v>
      </c>
      <c r="P18" s="141"/>
      <c r="Q18" s="141"/>
      <c r="R18" s="141"/>
      <c r="S18" s="143">
        <f t="shared" si="3"/>
        <v>30</v>
      </c>
      <c r="T18" s="32" t="str">
        <f t="shared" si="4"/>
        <v>OK</v>
      </c>
      <c r="U18" s="82"/>
      <c r="V18" s="82"/>
      <c r="W18" s="87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</row>
    <row r="19" spans="1:35" ht="38.25" customHeight="1" x14ac:dyDescent="0.2">
      <c r="A19" s="188">
        <v>8</v>
      </c>
      <c r="B19" s="190" t="s">
        <v>49</v>
      </c>
      <c r="C19" s="40">
        <v>16</v>
      </c>
      <c r="D19" s="199" t="s">
        <v>12</v>
      </c>
      <c r="E19" s="39" t="s">
        <v>60</v>
      </c>
      <c r="F19" s="41" t="s">
        <v>16</v>
      </c>
      <c r="G19" s="41" t="s">
        <v>17</v>
      </c>
      <c r="H19" s="41" t="s">
        <v>44</v>
      </c>
      <c r="I19" s="39" t="s">
        <v>24</v>
      </c>
      <c r="J19" s="42">
        <v>22.35</v>
      </c>
      <c r="K19" s="31">
        <v>0</v>
      </c>
      <c r="L19" s="140">
        <f t="shared" si="0"/>
        <v>0</v>
      </c>
      <c r="M19" s="140">
        <f t="shared" si="1"/>
        <v>0</v>
      </c>
      <c r="N19" s="141"/>
      <c r="O19" s="142">
        <f t="shared" si="2"/>
        <v>0</v>
      </c>
      <c r="P19" s="141"/>
      <c r="Q19" s="141"/>
      <c r="R19" s="141"/>
      <c r="S19" s="143">
        <f t="shared" si="3"/>
        <v>0</v>
      </c>
      <c r="T19" s="32" t="str">
        <f t="shared" si="4"/>
        <v>OK</v>
      </c>
      <c r="U19" s="82"/>
      <c r="V19" s="82"/>
      <c r="W19" s="87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</row>
    <row r="20" spans="1:35" ht="45" customHeight="1" x14ac:dyDescent="0.2">
      <c r="A20" s="189"/>
      <c r="B20" s="191"/>
      <c r="C20" s="40">
        <v>17</v>
      </c>
      <c r="D20" s="200"/>
      <c r="E20" s="39" t="s">
        <v>61</v>
      </c>
      <c r="F20" s="44" t="s">
        <v>16</v>
      </c>
      <c r="G20" s="44" t="s">
        <v>17</v>
      </c>
      <c r="H20" s="41" t="s">
        <v>44</v>
      </c>
      <c r="I20" s="39" t="s">
        <v>24</v>
      </c>
      <c r="J20" s="42">
        <v>4.5999999999999996</v>
      </c>
      <c r="K20" s="31">
        <v>0</v>
      </c>
      <c r="L20" s="140">
        <f t="shared" si="0"/>
        <v>0</v>
      </c>
      <c r="M20" s="140">
        <f t="shared" si="1"/>
        <v>0</v>
      </c>
      <c r="N20" s="141"/>
      <c r="O20" s="142">
        <f t="shared" si="2"/>
        <v>0</v>
      </c>
      <c r="P20" s="141"/>
      <c r="Q20" s="141"/>
      <c r="R20" s="141"/>
      <c r="S20" s="143">
        <f t="shared" si="3"/>
        <v>0</v>
      </c>
      <c r="T20" s="32" t="str">
        <f t="shared" si="4"/>
        <v>OK</v>
      </c>
      <c r="U20" s="82"/>
      <c r="V20" s="82"/>
      <c r="W20" s="87"/>
      <c r="X20" s="84"/>
      <c r="Y20" s="84"/>
      <c r="Z20" s="87"/>
      <c r="AA20" s="84"/>
      <c r="AB20" s="84"/>
      <c r="AC20" s="84"/>
      <c r="AD20" s="84"/>
      <c r="AE20" s="84"/>
      <c r="AF20" s="84"/>
      <c r="AG20" s="84"/>
      <c r="AH20" s="84"/>
      <c r="AI20" s="84"/>
    </row>
    <row r="21" spans="1:35" ht="58.7" customHeight="1" x14ac:dyDescent="0.2">
      <c r="A21" s="157">
        <v>9</v>
      </c>
      <c r="B21" s="134" t="s">
        <v>62</v>
      </c>
      <c r="C21" s="68">
        <v>18</v>
      </c>
      <c r="D21" s="158" t="s">
        <v>63</v>
      </c>
      <c r="E21" s="134" t="s">
        <v>64</v>
      </c>
      <c r="F21" s="138" t="s">
        <v>16</v>
      </c>
      <c r="G21" s="138" t="s">
        <v>17</v>
      </c>
      <c r="H21" s="135" t="s">
        <v>44</v>
      </c>
      <c r="I21" s="134" t="s">
        <v>24</v>
      </c>
      <c r="J21" s="139">
        <v>3.46</v>
      </c>
      <c r="K21" s="31">
        <f>50</f>
        <v>50</v>
      </c>
      <c r="L21" s="140">
        <f t="shared" si="0"/>
        <v>87</v>
      </c>
      <c r="M21" s="140">
        <f t="shared" si="1"/>
        <v>87</v>
      </c>
      <c r="N21" s="141">
        <v>37</v>
      </c>
      <c r="O21" s="142">
        <f t="shared" si="2"/>
        <v>12</v>
      </c>
      <c r="P21" s="141"/>
      <c r="Q21" s="141"/>
      <c r="R21" s="141"/>
      <c r="S21" s="143">
        <f>K21+N21+P21+Q21-M21</f>
        <v>0</v>
      </c>
      <c r="T21" s="32" t="str">
        <f t="shared" si="4"/>
        <v>OK</v>
      </c>
      <c r="U21" s="82"/>
      <c r="V21" s="82"/>
      <c r="W21" s="87"/>
      <c r="X21" s="84">
        <v>87</v>
      </c>
      <c r="Y21" s="84"/>
      <c r="Z21" s="87"/>
      <c r="AA21" s="84"/>
      <c r="AB21" s="84"/>
      <c r="AC21" s="84"/>
      <c r="AD21" s="84"/>
      <c r="AE21" s="84"/>
      <c r="AF21" s="84"/>
      <c r="AG21" s="84"/>
      <c r="AH21" s="84"/>
      <c r="AI21" s="84"/>
    </row>
    <row r="22" spans="1:35" ht="45" customHeight="1" x14ac:dyDescent="0.2">
      <c r="A22" s="38">
        <v>10</v>
      </c>
      <c r="B22" s="47" t="s">
        <v>31</v>
      </c>
      <c r="C22" s="40">
        <v>19</v>
      </c>
      <c r="D22" s="47" t="s">
        <v>27</v>
      </c>
      <c r="E22" s="39" t="s">
        <v>23</v>
      </c>
      <c r="F22" s="44" t="s">
        <v>16</v>
      </c>
      <c r="G22" s="44" t="s">
        <v>17</v>
      </c>
      <c r="H22" s="41" t="s">
        <v>44</v>
      </c>
      <c r="I22" s="39" t="s">
        <v>24</v>
      </c>
      <c r="J22" s="42">
        <v>0.4</v>
      </c>
      <c r="K22" s="31">
        <v>0</v>
      </c>
      <c r="L22" s="140">
        <f t="shared" si="0"/>
        <v>0</v>
      </c>
      <c r="M22" s="140">
        <f t="shared" si="1"/>
        <v>0</v>
      </c>
      <c r="N22" s="141"/>
      <c r="O22" s="142">
        <f t="shared" si="2"/>
        <v>0</v>
      </c>
      <c r="P22" s="141"/>
      <c r="Q22" s="141"/>
      <c r="R22" s="141"/>
      <c r="S22" s="143">
        <f t="shared" si="3"/>
        <v>0</v>
      </c>
      <c r="T22" s="32" t="str">
        <f t="shared" si="4"/>
        <v>OK</v>
      </c>
      <c r="U22" s="82"/>
      <c r="V22" s="82"/>
      <c r="W22" s="87"/>
      <c r="X22" s="84"/>
      <c r="Y22" s="84"/>
      <c r="Z22" s="87"/>
      <c r="AA22" s="84"/>
      <c r="AB22" s="84"/>
      <c r="AC22" s="84"/>
      <c r="AD22" s="84"/>
      <c r="AE22" s="84"/>
      <c r="AF22" s="84"/>
      <c r="AG22" s="84"/>
      <c r="AH22" s="84"/>
      <c r="AI22" s="84"/>
    </row>
    <row r="23" spans="1:35" ht="63.75" customHeight="1" x14ac:dyDescent="0.2">
      <c r="A23" s="194">
        <v>11</v>
      </c>
      <c r="B23" s="196" t="s">
        <v>65</v>
      </c>
      <c r="C23" s="26">
        <v>20</v>
      </c>
      <c r="D23" s="201" t="s">
        <v>25</v>
      </c>
      <c r="E23" s="28" t="s">
        <v>19</v>
      </c>
      <c r="F23" s="50" t="s">
        <v>16</v>
      </c>
      <c r="G23" s="50" t="s">
        <v>17</v>
      </c>
      <c r="H23" s="29" t="s">
        <v>44</v>
      </c>
      <c r="I23" s="28" t="s">
        <v>24</v>
      </c>
      <c r="J23" s="30">
        <v>3.95</v>
      </c>
      <c r="K23" s="31">
        <v>100</v>
      </c>
      <c r="L23" s="140">
        <f t="shared" si="0"/>
        <v>100</v>
      </c>
      <c r="M23" s="140">
        <f t="shared" si="1"/>
        <v>100</v>
      </c>
      <c r="N23" s="141"/>
      <c r="O23" s="142">
        <f t="shared" si="2"/>
        <v>25</v>
      </c>
      <c r="P23" s="141"/>
      <c r="Q23" s="141"/>
      <c r="R23" s="141"/>
      <c r="S23" s="143">
        <f t="shared" si="3"/>
        <v>0</v>
      </c>
      <c r="T23" s="32" t="str">
        <f t="shared" si="4"/>
        <v>OK</v>
      </c>
      <c r="U23" s="82"/>
      <c r="V23" s="82">
        <v>100</v>
      </c>
      <c r="W23" s="87"/>
      <c r="X23" s="84"/>
      <c r="Y23" s="84"/>
      <c r="Z23" s="87"/>
      <c r="AA23" s="84"/>
      <c r="AB23" s="84"/>
      <c r="AC23" s="84"/>
      <c r="AD23" s="84"/>
      <c r="AE23" s="84"/>
      <c r="AF23" s="84"/>
      <c r="AG23" s="84"/>
      <c r="AH23" s="84"/>
      <c r="AI23" s="84"/>
    </row>
    <row r="24" spans="1:35" ht="25.15" customHeight="1" x14ac:dyDescent="0.2">
      <c r="A24" s="195"/>
      <c r="B24" s="197"/>
      <c r="C24" s="26">
        <v>21</v>
      </c>
      <c r="D24" s="202"/>
      <c r="E24" s="28" t="s">
        <v>20</v>
      </c>
      <c r="F24" s="50" t="s">
        <v>16</v>
      </c>
      <c r="G24" s="50" t="s">
        <v>17</v>
      </c>
      <c r="H24" s="29" t="s">
        <v>44</v>
      </c>
      <c r="I24" s="28" t="s">
        <v>24</v>
      </c>
      <c r="J24" s="30">
        <v>2.41</v>
      </c>
      <c r="K24" s="31">
        <v>0</v>
      </c>
      <c r="L24" s="140">
        <f t="shared" si="0"/>
        <v>0</v>
      </c>
      <c r="M24" s="140">
        <f t="shared" si="1"/>
        <v>0</v>
      </c>
      <c r="N24" s="141"/>
      <c r="O24" s="142">
        <f t="shared" si="2"/>
        <v>0</v>
      </c>
      <c r="P24" s="141"/>
      <c r="Q24" s="141"/>
      <c r="R24" s="141"/>
      <c r="S24" s="143">
        <f t="shared" si="3"/>
        <v>0</v>
      </c>
      <c r="T24" s="32" t="str">
        <f t="shared" si="4"/>
        <v>OK</v>
      </c>
      <c r="U24" s="82"/>
      <c r="V24" s="82"/>
      <c r="W24" s="87"/>
      <c r="X24" s="84"/>
      <c r="Y24" s="84"/>
      <c r="Z24" s="87"/>
      <c r="AA24" s="84"/>
      <c r="AB24" s="84"/>
      <c r="AC24" s="84"/>
      <c r="AD24" s="84"/>
      <c r="AE24" s="84"/>
      <c r="AF24" s="84"/>
      <c r="AG24" s="84"/>
      <c r="AH24" s="84"/>
      <c r="AI24" s="84"/>
    </row>
    <row r="25" spans="1:35" ht="26.45" customHeight="1" x14ac:dyDescent="0.2">
      <c r="A25" s="188">
        <v>12</v>
      </c>
      <c r="B25" s="190" t="s">
        <v>62</v>
      </c>
      <c r="C25" s="40">
        <v>22</v>
      </c>
      <c r="D25" s="199" t="s">
        <v>26</v>
      </c>
      <c r="E25" s="39" t="s">
        <v>19</v>
      </c>
      <c r="F25" s="44" t="s">
        <v>16</v>
      </c>
      <c r="G25" s="44" t="s">
        <v>17</v>
      </c>
      <c r="H25" s="41" t="s">
        <v>44</v>
      </c>
      <c r="I25" s="39" t="s">
        <v>24</v>
      </c>
      <c r="J25" s="42">
        <v>2.48</v>
      </c>
      <c r="K25" s="31">
        <v>0</v>
      </c>
      <c r="L25" s="140">
        <f t="shared" si="0"/>
        <v>0</v>
      </c>
      <c r="M25" s="140">
        <f t="shared" si="1"/>
        <v>0</v>
      </c>
      <c r="N25" s="141"/>
      <c r="O25" s="142">
        <f t="shared" si="2"/>
        <v>0</v>
      </c>
      <c r="P25" s="141"/>
      <c r="Q25" s="141"/>
      <c r="R25" s="141"/>
      <c r="S25" s="143">
        <f t="shared" si="3"/>
        <v>0</v>
      </c>
      <c r="T25" s="32" t="str">
        <f t="shared" si="4"/>
        <v>OK</v>
      </c>
      <c r="U25" s="82"/>
      <c r="V25" s="82"/>
      <c r="W25" s="87"/>
      <c r="X25" s="84"/>
      <c r="Y25" s="84"/>
      <c r="Z25" s="87"/>
      <c r="AA25" s="84"/>
      <c r="AB25" s="84"/>
      <c r="AC25" s="84"/>
      <c r="AD25" s="84"/>
      <c r="AE25" s="84"/>
      <c r="AF25" s="84"/>
      <c r="AG25" s="84"/>
      <c r="AH25" s="84"/>
      <c r="AI25" s="84"/>
    </row>
    <row r="26" spans="1:35" ht="24.4" customHeight="1" x14ac:dyDescent="0.2">
      <c r="A26" s="189"/>
      <c r="B26" s="191"/>
      <c r="C26" s="40">
        <v>23</v>
      </c>
      <c r="D26" s="200"/>
      <c r="E26" s="43" t="s">
        <v>20</v>
      </c>
      <c r="F26" s="44" t="s">
        <v>16</v>
      </c>
      <c r="G26" s="44" t="s">
        <v>17</v>
      </c>
      <c r="H26" s="41" t="s">
        <v>44</v>
      </c>
      <c r="I26" s="39" t="s">
        <v>24</v>
      </c>
      <c r="J26" s="42">
        <v>1.2</v>
      </c>
      <c r="K26" s="31">
        <f>500</f>
        <v>500</v>
      </c>
      <c r="L26" s="140">
        <f t="shared" si="0"/>
        <v>0</v>
      </c>
      <c r="M26" s="140">
        <f t="shared" si="1"/>
        <v>0</v>
      </c>
      <c r="N26" s="141">
        <f>-100-400</f>
        <v>-500</v>
      </c>
      <c r="O26" s="142">
        <f t="shared" si="2"/>
        <v>125</v>
      </c>
      <c r="P26" s="141"/>
      <c r="Q26" s="141"/>
      <c r="R26" s="141"/>
      <c r="S26" s="143">
        <f t="shared" si="3"/>
        <v>0</v>
      </c>
      <c r="T26" s="32" t="str">
        <f t="shared" si="4"/>
        <v>OK</v>
      </c>
      <c r="U26" s="82"/>
      <c r="V26" s="82"/>
      <c r="W26" s="87"/>
      <c r="X26" s="84"/>
      <c r="Y26" s="84"/>
      <c r="Z26" s="87"/>
      <c r="AA26" s="84"/>
      <c r="AB26" s="84"/>
      <c r="AC26" s="84"/>
      <c r="AD26" s="84"/>
      <c r="AE26" s="84"/>
      <c r="AF26" s="84"/>
      <c r="AG26" s="84"/>
      <c r="AH26" s="84"/>
      <c r="AI26" s="84"/>
    </row>
    <row r="27" spans="1:35" ht="24" customHeight="1" x14ac:dyDescent="0.2">
      <c r="A27" s="194">
        <v>13</v>
      </c>
      <c r="B27" s="196" t="s">
        <v>65</v>
      </c>
      <c r="C27" s="26">
        <v>24</v>
      </c>
      <c r="D27" s="201" t="s">
        <v>66</v>
      </c>
      <c r="E27" s="28" t="s">
        <v>21</v>
      </c>
      <c r="F27" s="50" t="s">
        <v>16</v>
      </c>
      <c r="G27" s="29" t="s">
        <v>17</v>
      </c>
      <c r="H27" s="29" t="s">
        <v>44</v>
      </c>
      <c r="I27" s="28" t="s">
        <v>24</v>
      </c>
      <c r="J27" s="30">
        <v>0.33</v>
      </c>
      <c r="K27" s="31">
        <v>0</v>
      </c>
      <c r="L27" s="140">
        <f t="shared" si="0"/>
        <v>0</v>
      </c>
      <c r="M27" s="140">
        <f t="shared" si="1"/>
        <v>0</v>
      </c>
      <c r="N27" s="141"/>
      <c r="O27" s="142">
        <f t="shared" si="2"/>
        <v>0</v>
      </c>
      <c r="P27" s="141"/>
      <c r="Q27" s="141"/>
      <c r="R27" s="141"/>
      <c r="S27" s="143">
        <f t="shared" si="3"/>
        <v>0</v>
      </c>
      <c r="T27" s="32" t="str">
        <f t="shared" si="4"/>
        <v>OK</v>
      </c>
      <c r="U27" s="82"/>
      <c r="V27" s="82"/>
      <c r="W27" s="87"/>
      <c r="X27" s="84"/>
      <c r="Y27" s="84"/>
      <c r="Z27" s="87"/>
      <c r="AA27" s="84"/>
      <c r="AB27" s="84"/>
      <c r="AC27" s="84"/>
      <c r="AD27" s="84"/>
      <c r="AE27" s="84"/>
      <c r="AF27" s="84"/>
      <c r="AG27" s="84"/>
      <c r="AH27" s="84"/>
      <c r="AI27" s="84"/>
    </row>
    <row r="28" spans="1:35" ht="30.2" customHeight="1" x14ac:dyDescent="0.2">
      <c r="A28" s="195"/>
      <c r="B28" s="197"/>
      <c r="C28" s="26">
        <v>25</v>
      </c>
      <c r="D28" s="202"/>
      <c r="E28" s="28" t="s">
        <v>22</v>
      </c>
      <c r="F28" s="50" t="s">
        <v>16</v>
      </c>
      <c r="G28" s="50" t="s">
        <v>17</v>
      </c>
      <c r="H28" s="29" t="s">
        <v>44</v>
      </c>
      <c r="I28" s="28" t="s">
        <v>24</v>
      </c>
      <c r="J28" s="30">
        <v>0.15</v>
      </c>
      <c r="K28" s="31">
        <v>0</v>
      </c>
      <c r="L28" s="140">
        <f t="shared" si="0"/>
        <v>0</v>
      </c>
      <c r="M28" s="140">
        <f t="shared" si="1"/>
        <v>0</v>
      </c>
      <c r="N28" s="141"/>
      <c r="O28" s="142">
        <f t="shared" si="2"/>
        <v>0</v>
      </c>
      <c r="P28" s="141"/>
      <c r="Q28" s="141"/>
      <c r="R28" s="141"/>
      <c r="S28" s="143">
        <f t="shared" si="3"/>
        <v>0</v>
      </c>
      <c r="T28" s="32" t="str">
        <f t="shared" si="4"/>
        <v>OK</v>
      </c>
      <c r="U28" s="82"/>
      <c r="V28" s="82"/>
      <c r="W28" s="87"/>
      <c r="X28" s="84"/>
      <c r="Y28" s="84"/>
      <c r="Z28" s="87"/>
      <c r="AA28" s="84"/>
      <c r="AB28" s="84"/>
      <c r="AC28" s="84"/>
      <c r="AD28" s="84"/>
      <c r="AE28" s="84"/>
      <c r="AF28" s="84"/>
      <c r="AG28" s="84"/>
      <c r="AH28" s="84"/>
      <c r="AI28" s="84"/>
    </row>
    <row r="29" spans="1:35" ht="26.45" customHeight="1" x14ac:dyDescent="0.2">
      <c r="A29" s="188">
        <v>14</v>
      </c>
      <c r="B29" s="190" t="s">
        <v>65</v>
      </c>
      <c r="C29" s="40">
        <v>26</v>
      </c>
      <c r="D29" s="192" t="s">
        <v>67</v>
      </c>
      <c r="E29" s="66" t="s">
        <v>21</v>
      </c>
      <c r="F29" s="44" t="s">
        <v>16</v>
      </c>
      <c r="G29" s="44" t="s">
        <v>17</v>
      </c>
      <c r="H29" s="41" t="s">
        <v>44</v>
      </c>
      <c r="I29" s="39" t="s">
        <v>24</v>
      </c>
      <c r="J29" s="42">
        <v>0.33</v>
      </c>
      <c r="K29" s="31">
        <v>0</v>
      </c>
      <c r="L29" s="140">
        <f t="shared" si="0"/>
        <v>0</v>
      </c>
      <c r="M29" s="140">
        <f t="shared" si="1"/>
        <v>0</v>
      </c>
      <c r="N29" s="141"/>
      <c r="O29" s="142">
        <f t="shared" si="2"/>
        <v>0</v>
      </c>
      <c r="P29" s="141"/>
      <c r="Q29" s="141"/>
      <c r="R29" s="141"/>
      <c r="S29" s="143">
        <f t="shared" si="3"/>
        <v>0</v>
      </c>
      <c r="T29" s="32" t="str">
        <f t="shared" si="4"/>
        <v>OK</v>
      </c>
      <c r="U29" s="82"/>
      <c r="V29" s="82"/>
      <c r="W29" s="87"/>
      <c r="X29" s="84"/>
      <c r="Y29" s="84"/>
      <c r="Z29" s="87"/>
      <c r="AA29" s="84"/>
      <c r="AB29" s="84"/>
      <c r="AC29" s="84"/>
      <c r="AD29" s="84"/>
      <c r="AE29" s="84"/>
      <c r="AF29" s="84"/>
      <c r="AG29" s="84"/>
      <c r="AH29" s="84"/>
      <c r="AI29" s="84"/>
    </row>
    <row r="30" spans="1:35" ht="33.950000000000003" customHeight="1" x14ac:dyDescent="0.2">
      <c r="A30" s="189"/>
      <c r="B30" s="191"/>
      <c r="C30" s="40">
        <v>27</v>
      </c>
      <c r="D30" s="193"/>
      <c r="E30" s="66" t="s">
        <v>22</v>
      </c>
      <c r="F30" s="44" t="s">
        <v>16</v>
      </c>
      <c r="G30" s="44" t="s">
        <v>17</v>
      </c>
      <c r="H30" s="41" t="s">
        <v>44</v>
      </c>
      <c r="I30" s="39" t="s">
        <v>24</v>
      </c>
      <c r="J30" s="42">
        <v>0.23</v>
      </c>
      <c r="K30" s="31">
        <v>0</v>
      </c>
      <c r="L30" s="140">
        <f t="shared" si="0"/>
        <v>0</v>
      </c>
      <c r="M30" s="140">
        <f t="shared" si="1"/>
        <v>0</v>
      </c>
      <c r="N30" s="141"/>
      <c r="O30" s="142">
        <f t="shared" si="2"/>
        <v>0</v>
      </c>
      <c r="P30" s="141"/>
      <c r="Q30" s="141"/>
      <c r="R30" s="141"/>
      <c r="S30" s="143">
        <f t="shared" si="3"/>
        <v>0</v>
      </c>
      <c r="T30" s="32" t="str">
        <f t="shared" si="4"/>
        <v>OK</v>
      </c>
      <c r="U30" s="82"/>
      <c r="V30" s="82"/>
      <c r="W30" s="87"/>
      <c r="X30" s="84"/>
      <c r="Y30" s="84"/>
      <c r="Z30" s="87"/>
      <c r="AA30" s="84"/>
      <c r="AB30" s="84"/>
      <c r="AC30" s="84"/>
      <c r="AD30" s="84"/>
      <c r="AE30" s="84"/>
      <c r="AF30" s="84"/>
      <c r="AG30" s="84"/>
      <c r="AH30" s="84"/>
      <c r="AI30" s="84"/>
    </row>
    <row r="31" spans="1:35" ht="27" customHeight="1" x14ac:dyDescent="0.2">
      <c r="A31" s="194">
        <v>15</v>
      </c>
      <c r="B31" s="196" t="s">
        <v>31</v>
      </c>
      <c r="C31" s="68">
        <v>28</v>
      </c>
      <c r="D31" s="198" t="s">
        <v>68</v>
      </c>
      <c r="E31" s="28" t="s">
        <v>21</v>
      </c>
      <c r="F31" s="50" t="s">
        <v>16</v>
      </c>
      <c r="G31" s="50" t="s">
        <v>17</v>
      </c>
      <c r="H31" s="29" t="s">
        <v>44</v>
      </c>
      <c r="I31" s="28" t="s">
        <v>24</v>
      </c>
      <c r="J31" s="30">
        <v>0.4</v>
      </c>
      <c r="K31" s="31">
        <v>0</v>
      </c>
      <c r="L31" s="140">
        <f t="shared" si="0"/>
        <v>0</v>
      </c>
      <c r="M31" s="140">
        <f t="shared" si="1"/>
        <v>0</v>
      </c>
      <c r="N31" s="141"/>
      <c r="O31" s="142">
        <f t="shared" si="2"/>
        <v>0</v>
      </c>
      <c r="P31" s="141"/>
      <c r="Q31" s="141"/>
      <c r="R31" s="141"/>
      <c r="S31" s="143">
        <f t="shared" si="3"/>
        <v>0</v>
      </c>
      <c r="T31" s="32" t="str">
        <f t="shared" si="4"/>
        <v>OK</v>
      </c>
      <c r="U31" s="82"/>
      <c r="V31" s="82"/>
      <c r="W31" s="87"/>
      <c r="X31" s="84"/>
      <c r="Y31" s="84"/>
      <c r="Z31" s="87"/>
      <c r="AA31" s="84"/>
      <c r="AB31" s="84"/>
      <c r="AC31" s="84"/>
      <c r="AD31" s="84"/>
      <c r="AE31" s="84"/>
      <c r="AF31" s="84"/>
      <c r="AG31" s="84"/>
      <c r="AH31" s="84"/>
      <c r="AI31" s="84"/>
    </row>
    <row r="32" spans="1:35" ht="24.75" customHeight="1" x14ac:dyDescent="0.2">
      <c r="A32" s="195"/>
      <c r="B32" s="197"/>
      <c r="C32" s="26">
        <v>29</v>
      </c>
      <c r="D32" s="198"/>
      <c r="E32" s="28" t="s">
        <v>22</v>
      </c>
      <c r="F32" s="50" t="s">
        <v>16</v>
      </c>
      <c r="G32" s="50" t="s">
        <v>17</v>
      </c>
      <c r="H32" s="29" t="s">
        <v>44</v>
      </c>
      <c r="I32" s="28" t="s">
        <v>24</v>
      </c>
      <c r="J32" s="30">
        <v>0.44</v>
      </c>
      <c r="K32" s="31">
        <v>3000</v>
      </c>
      <c r="L32" s="140">
        <f t="shared" si="0"/>
        <v>1500</v>
      </c>
      <c r="M32" s="140">
        <f t="shared" si="1"/>
        <v>1500</v>
      </c>
      <c r="N32" s="141">
        <v>-1500</v>
      </c>
      <c r="O32" s="142">
        <f t="shared" si="2"/>
        <v>750</v>
      </c>
      <c r="P32" s="141"/>
      <c r="Q32" s="141"/>
      <c r="R32" s="141"/>
      <c r="S32" s="143">
        <f t="shared" si="3"/>
        <v>0</v>
      </c>
      <c r="T32" s="32" t="str">
        <f t="shared" si="4"/>
        <v>OK</v>
      </c>
      <c r="U32" s="82"/>
      <c r="V32" s="82"/>
      <c r="W32" s="84">
        <v>1500</v>
      </c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</row>
    <row r="33" spans="11:35" x14ac:dyDescent="0.2">
      <c r="K33" s="56">
        <f>SUM(K4:K32)</f>
        <v>3850</v>
      </c>
      <c r="U33" s="67">
        <f t="shared" ref="U33:AI33" si="5">SUMPRODUCT($J$4:$J$32,U4:U32)</f>
        <v>304</v>
      </c>
      <c r="V33" s="59">
        <f t="shared" si="5"/>
        <v>395</v>
      </c>
      <c r="W33" s="59">
        <f t="shared" si="5"/>
        <v>971</v>
      </c>
      <c r="X33" s="59">
        <f t="shared" si="5"/>
        <v>301.02</v>
      </c>
      <c r="Y33" s="59">
        <f t="shared" si="5"/>
        <v>0</v>
      </c>
      <c r="Z33" s="59">
        <f t="shared" si="5"/>
        <v>0</v>
      </c>
      <c r="AA33" s="59">
        <f t="shared" si="5"/>
        <v>0</v>
      </c>
      <c r="AB33" s="59">
        <f t="shared" si="5"/>
        <v>0</v>
      </c>
      <c r="AC33" s="59">
        <f t="shared" si="5"/>
        <v>0</v>
      </c>
      <c r="AD33" s="59">
        <f t="shared" si="5"/>
        <v>0</v>
      </c>
      <c r="AE33" s="59">
        <f t="shared" si="5"/>
        <v>0</v>
      </c>
      <c r="AF33" s="59">
        <f t="shared" si="5"/>
        <v>0</v>
      </c>
      <c r="AG33" s="59">
        <f t="shared" si="5"/>
        <v>0</v>
      </c>
      <c r="AH33" s="59">
        <f t="shared" si="5"/>
        <v>0</v>
      </c>
      <c r="AI33" s="59">
        <f t="shared" si="5"/>
        <v>0</v>
      </c>
    </row>
    <row r="34" spans="11:35" x14ac:dyDescent="0.2">
      <c r="K34" s="148">
        <f>SUMPRODUCT($J$4:$J$32,K4:K32)</f>
        <v>16017.3</v>
      </c>
      <c r="L34" s="148">
        <f t="shared" ref="L34:M34" si="6">SUMPRODUCT($J$4:$J$32,L4:L32)</f>
        <v>1971.02</v>
      </c>
      <c r="M34" s="148">
        <f t="shared" si="6"/>
        <v>1971.02</v>
      </c>
    </row>
  </sheetData>
  <autoFilter ref="A3:AI34" xr:uid="{72711BB6-5C85-424D-93AD-EF6E288308E0}"/>
  <mergeCells count="50">
    <mergeCell ref="W1:W2"/>
    <mergeCell ref="A1:C1"/>
    <mergeCell ref="D1:J1"/>
    <mergeCell ref="K1:T1"/>
    <mergeCell ref="U1:U2"/>
    <mergeCell ref="V1:V2"/>
    <mergeCell ref="K2:T2"/>
    <mergeCell ref="A2:J2"/>
    <mergeCell ref="AI1:AI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4:A8"/>
    <mergeCell ref="B4:B8"/>
    <mergeCell ref="D4:D8"/>
    <mergeCell ref="A9:A10"/>
    <mergeCell ref="B9:B10"/>
    <mergeCell ref="D9:D10"/>
    <mergeCell ref="A11:A13"/>
    <mergeCell ref="B11:B13"/>
    <mergeCell ref="D11:D13"/>
    <mergeCell ref="A14:A15"/>
    <mergeCell ref="B14:B15"/>
    <mergeCell ref="D14:D15"/>
    <mergeCell ref="A19:A20"/>
    <mergeCell ref="B19:B20"/>
    <mergeCell ref="D19:D20"/>
    <mergeCell ref="A23:A24"/>
    <mergeCell ref="B23:B24"/>
    <mergeCell ref="D23:D24"/>
    <mergeCell ref="A25:A26"/>
    <mergeCell ref="B25:B26"/>
    <mergeCell ref="D25:D26"/>
    <mergeCell ref="A27:A28"/>
    <mergeCell ref="B27:B28"/>
    <mergeCell ref="D27:D28"/>
    <mergeCell ref="A29:A30"/>
    <mergeCell ref="B29:B30"/>
    <mergeCell ref="D29:D30"/>
    <mergeCell ref="A31:A32"/>
    <mergeCell ref="B31:B32"/>
    <mergeCell ref="D31:D32"/>
  </mergeCells>
  <conditionalFormatting sqref="U4:AI32">
    <cfRule type="cellIs" dxfId="25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94F79-591D-4EE5-83B8-4FB0F16CB343}">
  <dimension ref="A1:AI36"/>
  <sheetViews>
    <sheetView topLeftCell="A22" workbookViewId="0">
      <selection activeCell="N25" sqref="N25"/>
    </sheetView>
  </sheetViews>
  <sheetFormatPr defaultColWidth="9.7109375" defaultRowHeight="12.75" x14ac:dyDescent="0.2"/>
  <cols>
    <col min="1" max="1" width="7.7109375" style="53" customWidth="1"/>
    <col min="2" max="2" width="15.85546875" style="53" customWidth="1"/>
    <col min="3" max="3" width="5.5703125" style="53" bestFit="1" customWidth="1"/>
    <col min="4" max="4" width="24.5703125" style="54" customWidth="1"/>
    <col min="5" max="5" width="10.85546875" style="53" bestFit="1" customWidth="1"/>
    <col min="6" max="6" width="8.28515625" style="53" customWidth="1"/>
    <col min="7" max="7" width="11.42578125" style="53" customWidth="1"/>
    <col min="8" max="8" width="14.85546875" style="53" customWidth="1"/>
    <col min="9" max="9" width="9.42578125" style="53" customWidth="1"/>
    <col min="10" max="10" width="12.7109375" style="55" bestFit="1" customWidth="1"/>
    <col min="11" max="11" width="13.28515625" style="56" customWidth="1"/>
    <col min="12" max="13" width="14" style="56" bestFit="1" customWidth="1"/>
    <col min="14" max="14" width="11.42578125" style="56" customWidth="1"/>
    <col min="15" max="15" width="14" style="56" bestFit="1" customWidth="1"/>
    <col min="16" max="18" width="10.140625" style="56" customWidth="1"/>
    <col min="19" max="19" width="10.28515625" style="57" customWidth="1"/>
    <col min="20" max="20" width="12.5703125" style="58" customWidth="1"/>
    <col min="21" max="22" width="13.7109375" style="60" customWidth="1"/>
    <col min="23" max="35" width="13.7109375" style="18" customWidth="1"/>
    <col min="36" max="16384" width="9.7109375" style="18"/>
  </cols>
  <sheetData>
    <row r="1" spans="1:35" ht="34.5" customHeight="1" x14ac:dyDescent="0.2">
      <c r="A1" s="219" t="s">
        <v>69</v>
      </c>
      <c r="B1" s="220"/>
      <c r="C1" s="221"/>
      <c r="D1" s="220" t="s">
        <v>32</v>
      </c>
      <c r="E1" s="220"/>
      <c r="F1" s="220"/>
      <c r="G1" s="220"/>
      <c r="H1" s="220"/>
      <c r="I1" s="220"/>
      <c r="J1" s="221"/>
      <c r="K1" s="222" t="s">
        <v>33</v>
      </c>
      <c r="L1" s="223"/>
      <c r="M1" s="223"/>
      <c r="N1" s="223"/>
      <c r="O1" s="223"/>
      <c r="P1" s="223"/>
      <c r="Q1" s="223"/>
      <c r="R1" s="223"/>
      <c r="S1" s="223"/>
      <c r="T1" s="224"/>
      <c r="U1" s="218" t="s">
        <v>94</v>
      </c>
      <c r="V1" s="218" t="s">
        <v>97</v>
      </c>
      <c r="W1" s="218" t="s">
        <v>30</v>
      </c>
      <c r="X1" s="218" t="s">
        <v>30</v>
      </c>
      <c r="Y1" s="218" t="s">
        <v>30</v>
      </c>
      <c r="Z1" s="218" t="s">
        <v>30</v>
      </c>
      <c r="AA1" s="218" t="s">
        <v>30</v>
      </c>
      <c r="AB1" s="218" t="s">
        <v>30</v>
      </c>
      <c r="AC1" s="218" t="s">
        <v>30</v>
      </c>
      <c r="AD1" s="218" t="s">
        <v>30</v>
      </c>
      <c r="AE1" s="218" t="s">
        <v>30</v>
      </c>
      <c r="AF1" s="218" t="s">
        <v>30</v>
      </c>
      <c r="AG1" s="218" t="s">
        <v>30</v>
      </c>
      <c r="AH1" s="218" t="s">
        <v>30</v>
      </c>
      <c r="AI1" s="218" t="s">
        <v>30</v>
      </c>
    </row>
    <row r="2" spans="1:35" ht="13.7" customHeight="1" x14ac:dyDescent="0.2">
      <c r="A2" s="219" t="s">
        <v>73</v>
      </c>
      <c r="B2" s="220"/>
      <c r="C2" s="220"/>
      <c r="D2" s="220"/>
      <c r="E2" s="220"/>
      <c r="F2" s="220"/>
      <c r="G2" s="220"/>
      <c r="H2" s="220"/>
      <c r="I2" s="220"/>
      <c r="J2" s="221"/>
      <c r="K2" s="225" t="s">
        <v>91</v>
      </c>
      <c r="L2" s="226"/>
      <c r="M2" s="226"/>
      <c r="N2" s="226"/>
      <c r="O2" s="226"/>
      <c r="P2" s="226"/>
      <c r="Q2" s="226"/>
      <c r="R2" s="226"/>
      <c r="S2" s="226"/>
      <c r="T2" s="227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</row>
    <row r="3" spans="1:35" s="25" customFormat="1" ht="38.25" x14ac:dyDescent="0.2">
      <c r="A3" s="19" t="s">
        <v>5</v>
      </c>
      <c r="B3" s="19" t="s">
        <v>18</v>
      </c>
      <c r="C3" s="69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43</v>
      </c>
      <c r="I3" s="20" t="s">
        <v>4</v>
      </c>
      <c r="J3" s="21" t="s">
        <v>28</v>
      </c>
      <c r="K3" s="22" t="s">
        <v>6</v>
      </c>
      <c r="L3" s="145" t="s">
        <v>185</v>
      </c>
      <c r="M3" s="145" t="s">
        <v>186</v>
      </c>
      <c r="N3" s="145" t="s">
        <v>187</v>
      </c>
      <c r="O3" s="145" t="s">
        <v>188</v>
      </c>
      <c r="P3" s="145" t="s">
        <v>189</v>
      </c>
      <c r="Q3" s="145" t="s">
        <v>190</v>
      </c>
      <c r="R3" s="145" t="s">
        <v>191</v>
      </c>
      <c r="S3" s="146" t="s">
        <v>0</v>
      </c>
      <c r="T3" s="23" t="s">
        <v>2</v>
      </c>
      <c r="U3" s="74">
        <v>45490</v>
      </c>
      <c r="V3" s="74">
        <v>45497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  <c r="AG3" s="24" t="s">
        <v>1</v>
      </c>
      <c r="AH3" s="24" t="s">
        <v>1</v>
      </c>
      <c r="AI3" s="24" t="s">
        <v>1</v>
      </c>
    </row>
    <row r="4" spans="1:35" ht="23.25" customHeight="1" x14ac:dyDescent="0.2">
      <c r="A4" s="203">
        <v>1</v>
      </c>
      <c r="B4" s="196" t="s">
        <v>31</v>
      </c>
      <c r="C4" s="26">
        <v>1</v>
      </c>
      <c r="D4" s="201" t="s">
        <v>34</v>
      </c>
      <c r="E4" s="28" t="s">
        <v>35</v>
      </c>
      <c r="F4" s="29" t="s">
        <v>16</v>
      </c>
      <c r="G4" s="29" t="s">
        <v>17</v>
      </c>
      <c r="H4" s="29" t="s">
        <v>44</v>
      </c>
      <c r="I4" s="28" t="s">
        <v>24</v>
      </c>
      <c r="J4" s="30">
        <v>12.15</v>
      </c>
      <c r="K4" s="31">
        <v>0</v>
      </c>
      <c r="L4" s="140">
        <f t="shared" ref="L4:L32" si="0">IF(SUM(U4:AL4)&gt;K4+N4,K4+N4,SUM(U4:AL4))</f>
        <v>0</v>
      </c>
      <c r="M4" s="140">
        <f t="shared" ref="M4:M32" si="1">(SUM(U4:AL4))</f>
        <v>0</v>
      </c>
      <c r="N4" s="141"/>
      <c r="O4" s="142">
        <f t="shared" ref="O4:O32" si="2">ROUND(IF(K4*0.25-0.5&lt;0,0,K4*0.25-0.5),0)-R4-P4</f>
        <v>0</v>
      </c>
      <c r="P4" s="141"/>
      <c r="Q4" s="141"/>
      <c r="R4" s="141"/>
      <c r="S4" s="143">
        <f t="shared" ref="S4:S32" si="3">K4+N4+P4+Q4-M4</f>
        <v>0</v>
      </c>
      <c r="T4" s="32" t="str">
        <f t="shared" ref="T4:T32" si="4">IF(S4&lt;0,"ATENÇÃO","OK")</f>
        <v>OK</v>
      </c>
      <c r="U4" s="33"/>
      <c r="V4" s="33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</row>
    <row r="5" spans="1:35" ht="26.45" customHeight="1" x14ac:dyDescent="0.2">
      <c r="A5" s="204"/>
      <c r="B5" s="206"/>
      <c r="C5" s="26">
        <v>2</v>
      </c>
      <c r="D5" s="207"/>
      <c r="E5" s="28" t="s">
        <v>36</v>
      </c>
      <c r="F5" s="29" t="s">
        <v>16</v>
      </c>
      <c r="G5" s="29" t="s">
        <v>17</v>
      </c>
      <c r="H5" s="29" t="s">
        <v>44</v>
      </c>
      <c r="I5" s="28" t="s">
        <v>24</v>
      </c>
      <c r="J5" s="30">
        <v>40.5</v>
      </c>
      <c r="K5" s="31">
        <v>20</v>
      </c>
      <c r="L5" s="140">
        <f t="shared" si="0"/>
        <v>9</v>
      </c>
      <c r="M5" s="140">
        <f t="shared" si="1"/>
        <v>9</v>
      </c>
      <c r="N5" s="141"/>
      <c r="O5" s="142">
        <f t="shared" si="2"/>
        <v>5</v>
      </c>
      <c r="P5" s="141"/>
      <c r="Q5" s="141"/>
      <c r="R5" s="141"/>
      <c r="S5" s="143">
        <f t="shared" si="3"/>
        <v>11</v>
      </c>
      <c r="T5" s="32" t="str">
        <f t="shared" si="4"/>
        <v>OK</v>
      </c>
      <c r="U5" s="33"/>
      <c r="V5" s="89">
        <v>9</v>
      </c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</row>
    <row r="6" spans="1:35" ht="24" customHeight="1" x14ac:dyDescent="0.2">
      <c r="A6" s="204"/>
      <c r="B6" s="206"/>
      <c r="C6" s="26">
        <v>3</v>
      </c>
      <c r="D6" s="207"/>
      <c r="E6" s="28" t="s">
        <v>37</v>
      </c>
      <c r="F6" s="29" t="s">
        <v>16</v>
      </c>
      <c r="G6" s="29" t="s">
        <v>17</v>
      </c>
      <c r="H6" s="29" t="s">
        <v>44</v>
      </c>
      <c r="I6" s="28" t="s">
        <v>24</v>
      </c>
      <c r="J6" s="30">
        <v>49.5</v>
      </c>
      <c r="K6" s="31">
        <v>0</v>
      </c>
      <c r="L6" s="140">
        <f t="shared" si="0"/>
        <v>0</v>
      </c>
      <c r="M6" s="140">
        <f t="shared" si="1"/>
        <v>0</v>
      </c>
      <c r="N6" s="141"/>
      <c r="O6" s="142">
        <f t="shared" si="2"/>
        <v>0</v>
      </c>
      <c r="P6" s="141"/>
      <c r="Q6" s="141"/>
      <c r="R6" s="141"/>
      <c r="S6" s="143">
        <f t="shared" si="3"/>
        <v>0</v>
      </c>
      <c r="T6" s="32" t="str">
        <f t="shared" si="4"/>
        <v>OK</v>
      </c>
      <c r="U6" s="33"/>
      <c r="V6" s="35"/>
      <c r="W6" s="36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</row>
    <row r="7" spans="1:35" ht="24" customHeight="1" x14ac:dyDescent="0.2">
      <c r="A7" s="204"/>
      <c r="B7" s="206"/>
      <c r="C7" s="26">
        <v>4</v>
      </c>
      <c r="D7" s="207"/>
      <c r="E7" s="28" t="s">
        <v>38</v>
      </c>
      <c r="F7" s="29" t="s">
        <v>16</v>
      </c>
      <c r="G7" s="29" t="s">
        <v>17</v>
      </c>
      <c r="H7" s="29" t="s">
        <v>44</v>
      </c>
      <c r="I7" s="28" t="s">
        <v>24</v>
      </c>
      <c r="J7" s="30">
        <v>53</v>
      </c>
      <c r="K7" s="31">
        <v>0</v>
      </c>
      <c r="L7" s="140">
        <f t="shared" si="0"/>
        <v>0</v>
      </c>
      <c r="M7" s="140">
        <f t="shared" si="1"/>
        <v>0</v>
      </c>
      <c r="N7" s="141"/>
      <c r="O7" s="142">
        <f t="shared" si="2"/>
        <v>0</v>
      </c>
      <c r="P7" s="141"/>
      <c r="Q7" s="141"/>
      <c r="R7" s="141"/>
      <c r="S7" s="143">
        <f t="shared" si="3"/>
        <v>0</v>
      </c>
      <c r="T7" s="32" t="str">
        <f t="shared" si="4"/>
        <v>OK</v>
      </c>
      <c r="U7" s="33"/>
      <c r="V7" s="33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</row>
    <row r="8" spans="1:35" ht="19.5" customHeight="1" x14ac:dyDescent="0.2">
      <c r="A8" s="205"/>
      <c r="B8" s="197"/>
      <c r="C8" s="26">
        <v>5</v>
      </c>
      <c r="D8" s="202"/>
      <c r="E8" s="28" t="s">
        <v>39</v>
      </c>
      <c r="F8" s="29" t="s">
        <v>16</v>
      </c>
      <c r="G8" s="29" t="s">
        <v>17</v>
      </c>
      <c r="H8" s="29" t="s">
        <v>44</v>
      </c>
      <c r="I8" s="28" t="s">
        <v>24</v>
      </c>
      <c r="J8" s="30">
        <v>30.4</v>
      </c>
      <c r="K8" s="31">
        <v>20</v>
      </c>
      <c r="L8" s="140">
        <f t="shared" si="0"/>
        <v>9</v>
      </c>
      <c r="M8" s="140">
        <f t="shared" si="1"/>
        <v>9</v>
      </c>
      <c r="N8" s="141"/>
      <c r="O8" s="142">
        <f t="shared" si="2"/>
        <v>5</v>
      </c>
      <c r="P8" s="141"/>
      <c r="Q8" s="141"/>
      <c r="R8" s="141"/>
      <c r="S8" s="143">
        <f t="shared" si="3"/>
        <v>11</v>
      </c>
      <c r="T8" s="32" t="str">
        <f t="shared" si="4"/>
        <v>OK</v>
      </c>
      <c r="U8" s="33"/>
      <c r="V8" s="89">
        <v>9</v>
      </c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</row>
    <row r="9" spans="1:35" ht="21.75" customHeight="1" x14ac:dyDescent="0.2">
      <c r="A9" s="216">
        <v>2</v>
      </c>
      <c r="B9" s="190" t="s">
        <v>31</v>
      </c>
      <c r="C9" s="40">
        <v>6</v>
      </c>
      <c r="D9" s="199" t="s">
        <v>40</v>
      </c>
      <c r="E9" s="39" t="s">
        <v>35</v>
      </c>
      <c r="F9" s="41" t="s">
        <v>16</v>
      </c>
      <c r="G9" s="41" t="s">
        <v>17</v>
      </c>
      <c r="H9" s="41" t="s">
        <v>44</v>
      </c>
      <c r="I9" s="39" t="s">
        <v>24</v>
      </c>
      <c r="J9" s="42">
        <v>14.21</v>
      </c>
      <c r="K9" s="31">
        <v>0</v>
      </c>
      <c r="L9" s="140">
        <f t="shared" si="0"/>
        <v>0</v>
      </c>
      <c r="M9" s="140">
        <f t="shared" si="1"/>
        <v>0</v>
      </c>
      <c r="N9" s="141"/>
      <c r="O9" s="142">
        <f t="shared" si="2"/>
        <v>0</v>
      </c>
      <c r="P9" s="141"/>
      <c r="Q9" s="141"/>
      <c r="R9" s="141"/>
      <c r="S9" s="143">
        <f t="shared" si="3"/>
        <v>0</v>
      </c>
      <c r="T9" s="32" t="str">
        <f t="shared" si="4"/>
        <v>OK</v>
      </c>
      <c r="U9" s="33"/>
      <c r="V9" s="33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</row>
    <row r="10" spans="1:35" ht="20.25" customHeight="1" x14ac:dyDescent="0.2">
      <c r="A10" s="217"/>
      <c r="B10" s="191"/>
      <c r="C10" s="40">
        <v>7</v>
      </c>
      <c r="D10" s="200"/>
      <c r="E10" s="39" t="s">
        <v>41</v>
      </c>
      <c r="F10" s="41" t="s">
        <v>16</v>
      </c>
      <c r="G10" s="41" t="s">
        <v>17</v>
      </c>
      <c r="H10" s="41" t="s">
        <v>44</v>
      </c>
      <c r="I10" s="39" t="s">
        <v>24</v>
      </c>
      <c r="J10" s="42">
        <v>20.9</v>
      </c>
      <c r="K10" s="31">
        <v>0</v>
      </c>
      <c r="L10" s="140">
        <f t="shared" si="0"/>
        <v>0</v>
      </c>
      <c r="M10" s="140">
        <f t="shared" si="1"/>
        <v>0</v>
      </c>
      <c r="N10" s="141"/>
      <c r="O10" s="142">
        <f t="shared" si="2"/>
        <v>0</v>
      </c>
      <c r="P10" s="141"/>
      <c r="Q10" s="141"/>
      <c r="R10" s="141"/>
      <c r="S10" s="143">
        <f t="shared" si="3"/>
        <v>0</v>
      </c>
      <c r="T10" s="32" t="str">
        <f t="shared" si="4"/>
        <v>OK</v>
      </c>
      <c r="U10" s="35"/>
      <c r="V10" s="33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</row>
    <row r="11" spans="1:35" ht="25.5" x14ac:dyDescent="0.2">
      <c r="A11" s="203">
        <v>3</v>
      </c>
      <c r="B11" s="196" t="s">
        <v>42</v>
      </c>
      <c r="C11" s="26">
        <v>8</v>
      </c>
      <c r="D11" s="201" t="s">
        <v>45</v>
      </c>
      <c r="E11" s="28" t="s">
        <v>46</v>
      </c>
      <c r="F11" s="29" t="s">
        <v>16</v>
      </c>
      <c r="G11" s="29" t="s">
        <v>17</v>
      </c>
      <c r="H11" s="29" t="s">
        <v>44</v>
      </c>
      <c r="I11" s="28" t="s">
        <v>24</v>
      </c>
      <c r="J11" s="30">
        <v>423</v>
      </c>
      <c r="K11" s="31">
        <v>0</v>
      </c>
      <c r="L11" s="140">
        <f t="shared" si="0"/>
        <v>0</v>
      </c>
      <c r="M11" s="140">
        <f t="shared" si="1"/>
        <v>0</v>
      </c>
      <c r="N11" s="141"/>
      <c r="O11" s="142">
        <f t="shared" si="2"/>
        <v>0</v>
      </c>
      <c r="P11" s="141"/>
      <c r="Q11" s="141"/>
      <c r="R11" s="141"/>
      <c r="S11" s="143">
        <f t="shared" si="3"/>
        <v>0</v>
      </c>
      <c r="T11" s="32" t="str">
        <f t="shared" si="4"/>
        <v>OK</v>
      </c>
      <c r="U11" s="33"/>
      <c r="V11" s="33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</row>
    <row r="12" spans="1:35" ht="21.2" customHeight="1" x14ac:dyDescent="0.2">
      <c r="A12" s="204"/>
      <c r="B12" s="206"/>
      <c r="C12" s="26">
        <v>9</v>
      </c>
      <c r="D12" s="207"/>
      <c r="E12" s="28" t="s">
        <v>47</v>
      </c>
      <c r="F12" s="29" t="s">
        <v>16</v>
      </c>
      <c r="G12" s="29" t="s">
        <v>17</v>
      </c>
      <c r="H12" s="29" t="s">
        <v>44</v>
      </c>
      <c r="I12" s="28" t="s">
        <v>24</v>
      </c>
      <c r="J12" s="30">
        <v>1613</v>
      </c>
      <c r="K12" s="31">
        <v>0</v>
      </c>
      <c r="L12" s="140">
        <f t="shared" si="0"/>
        <v>0</v>
      </c>
      <c r="M12" s="140">
        <f t="shared" si="1"/>
        <v>0</v>
      </c>
      <c r="N12" s="141"/>
      <c r="O12" s="142">
        <f t="shared" si="2"/>
        <v>0</v>
      </c>
      <c r="P12" s="141"/>
      <c r="Q12" s="141"/>
      <c r="R12" s="141"/>
      <c r="S12" s="143">
        <f t="shared" si="3"/>
        <v>0</v>
      </c>
      <c r="T12" s="32" t="str">
        <f t="shared" si="4"/>
        <v>OK</v>
      </c>
      <c r="U12" s="33"/>
      <c r="V12" s="33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</row>
    <row r="13" spans="1:35" ht="19.5" customHeight="1" x14ac:dyDescent="0.2">
      <c r="A13" s="205"/>
      <c r="B13" s="197"/>
      <c r="C13" s="26">
        <v>10</v>
      </c>
      <c r="D13" s="202"/>
      <c r="E13" s="28" t="s">
        <v>48</v>
      </c>
      <c r="F13" s="29" t="s">
        <v>16</v>
      </c>
      <c r="G13" s="29" t="s">
        <v>17</v>
      </c>
      <c r="H13" s="29" t="s">
        <v>44</v>
      </c>
      <c r="I13" s="28" t="s">
        <v>24</v>
      </c>
      <c r="J13" s="30">
        <v>1749</v>
      </c>
      <c r="K13" s="31">
        <f>0</f>
        <v>0</v>
      </c>
      <c r="L13" s="140">
        <f t="shared" si="0"/>
        <v>1</v>
      </c>
      <c r="M13" s="140">
        <f t="shared" si="1"/>
        <v>1</v>
      </c>
      <c r="N13" s="141">
        <v>1</v>
      </c>
      <c r="O13" s="142">
        <f t="shared" si="2"/>
        <v>0</v>
      </c>
      <c r="P13" s="141"/>
      <c r="Q13" s="141"/>
      <c r="R13" s="141"/>
      <c r="S13" s="143">
        <f t="shared" si="3"/>
        <v>0</v>
      </c>
      <c r="T13" s="32" t="str">
        <f t="shared" si="4"/>
        <v>OK</v>
      </c>
      <c r="U13" s="90">
        <v>1</v>
      </c>
      <c r="V13" s="33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</row>
    <row r="14" spans="1:35" ht="25.15" customHeight="1" x14ac:dyDescent="0.2">
      <c r="A14" s="208">
        <v>4</v>
      </c>
      <c r="B14" s="209" t="s">
        <v>49</v>
      </c>
      <c r="C14" s="40">
        <v>11</v>
      </c>
      <c r="D14" s="211" t="s">
        <v>50</v>
      </c>
      <c r="E14" s="39" t="s">
        <v>51</v>
      </c>
      <c r="F14" s="41" t="s">
        <v>16</v>
      </c>
      <c r="G14" s="41" t="s">
        <v>17</v>
      </c>
      <c r="H14" s="41" t="s">
        <v>44</v>
      </c>
      <c r="I14" s="39" t="s">
        <v>53</v>
      </c>
      <c r="J14" s="42">
        <v>19.63</v>
      </c>
      <c r="K14" s="31">
        <v>0</v>
      </c>
      <c r="L14" s="140">
        <f t="shared" si="0"/>
        <v>0</v>
      </c>
      <c r="M14" s="140">
        <f t="shared" si="1"/>
        <v>0</v>
      </c>
      <c r="N14" s="141"/>
      <c r="O14" s="142">
        <f t="shared" si="2"/>
        <v>0</v>
      </c>
      <c r="P14" s="141"/>
      <c r="Q14" s="141"/>
      <c r="R14" s="141"/>
      <c r="S14" s="143">
        <f t="shared" si="3"/>
        <v>0</v>
      </c>
      <c r="T14" s="32" t="str">
        <f t="shared" si="4"/>
        <v>OK</v>
      </c>
      <c r="U14" s="33"/>
      <c r="V14" s="33"/>
      <c r="W14" s="34"/>
      <c r="X14" s="34"/>
      <c r="Y14" s="36"/>
      <c r="Z14" s="36"/>
      <c r="AA14" s="34"/>
      <c r="AB14" s="34"/>
      <c r="AC14" s="34"/>
      <c r="AD14" s="34"/>
      <c r="AE14" s="34"/>
      <c r="AF14" s="34"/>
      <c r="AG14" s="34"/>
      <c r="AH14" s="34"/>
      <c r="AI14" s="34"/>
    </row>
    <row r="15" spans="1:35" ht="22.7" customHeight="1" x14ac:dyDescent="0.2">
      <c r="A15" s="208"/>
      <c r="B15" s="210"/>
      <c r="C15" s="40">
        <v>12</v>
      </c>
      <c r="D15" s="212"/>
      <c r="E15" s="39" t="s">
        <v>52</v>
      </c>
      <c r="F15" s="41" t="s">
        <v>16</v>
      </c>
      <c r="G15" s="41" t="s">
        <v>17</v>
      </c>
      <c r="H15" s="41" t="s">
        <v>44</v>
      </c>
      <c r="I15" s="39" t="s">
        <v>24</v>
      </c>
      <c r="J15" s="42">
        <v>20.27</v>
      </c>
      <c r="K15" s="31">
        <v>0</v>
      </c>
      <c r="L15" s="140">
        <f t="shared" si="0"/>
        <v>0</v>
      </c>
      <c r="M15" s="140">
        <f t="shared" si="1"/>
        <v>0</v>
      </c>
      <c r="N15" s="141"/>
      <c r="O15" s="142">
        <f t="shared" si="2"/>
        <v>0</v>
      </c>
      <c r="P15" s="141"/>
      <c r="Q15" s="141"/>
      <c r="R15" s="141"/>
      <c r="S15" s="143">
        <f t="shared" si="3"/>
        <v>0</v>
      </c>
      <c r="T15" s="32" t="str">
        <f t="shared" si="4"/>
        <v>OK</v>
      </c>
      <c r="U15" s="33"/>
      <c r="V15" s="33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</row>
    <row r="16" spans="1:35" ht="45" customHeight="1" x14ac:dyDescent="0.2">
      <c r="A16" s="48">
        <v>5</v>
      </c>
      <c r="B16" s="28" t="s">
        <v>49</v>
      </c>
      <c r="C16" s="26">
        <v>13</v>
      </c>
      <c r="D16" s="49" t="s">
        <v>54</v>
      </c>
      <c r="E16" s="63" t="s">
        <v>55</v>
      </c>
      <c r="F16" s="50" t="s">
        <v>16</v>
      </c>
      <c r="G16" s="50" t="s">
        <v>17</v>
      </c>
      <c r="H16" s="29" t="s">
        <v>44</v>
      </c>
      <c r="I16" s="28" t="s">
        <v>53</v>
      </c>
      <c r="J16" s="30">
        <v>28.9</v>
      </c>
      <c r="K16" s="31">
        <v>0</v>
      </c>
      <c r="L16" s="140">
        <f t="shared" si="0"/>
        <v>0</v>
      </c>
      <c r="M16" s="140">
        <f t="shared" si="1"/>
        <v>0</v>
      </c>
      <c r="N16" s="141"/>
      <c r="O16" s="142">
        <f t="shared" si="2"/>
        <v>0</v>
      </c>
      <c r="P16" s="141"/>
      <c r="Q16" s="141"/>
      <c r="R16" s="141"/>
      <c r="S16" s="143">
        <f t="shared" si="3"/>
        <v>0</v>
      </c>
      <c r="T16" s="32" t="str">
        <f t="shared" si="4"/>
        <v>OK</v>
      </c>
      <c r="U16" s="33"/>
      <c r="V16" s="33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</row>
    <row r="17" spans="1:35" ht="73.5" customHeight="1" x14ac:dyDescent="0.2">
      <c r="A17" s="38">
        <v>6</v>
      </c>
      <c r="B17" s="47" t="s">
        <v>49</v>
      </c>
      <c r="C17" s="40">
        <v>14</v>
      </c>
      <c r="D17" s="47" t="s">
        <v>57</v>
      </c>
      <c r="E17" s="39" t="s">
        <v>56</v>
      </c>
      <c r="F17" s="41" t="s">
        <v>16</v>
      </c>
      <c r="G17" s="41" t="s">
        <v>17</v>
      </c>
      <c r="H17" s="41" t="s">
        <v>44</v>
      </c>
      <c r="I17" s="39" t="s">
        <v>24</v>
      </c>
      <c r="J17" s="42">
        <v>9.5</v>
      </c>
      <c r="K17" s="31">
        <v>0</v>
      </c>
      <c r="L17" s="140">
        <f t="shared" si="0"/>
        <v>0</v>
      </c>
      <c r="M17" s="140">
        <f t="shared" si="1"/>
        <v>0</v>
      </c>
      <c r="N17" s="141"/>
      <c r="O17" s="142">
        <f t="shared" si="2"/>
        <v>0</v>
      </c>
      <c r="P17" s="141"/>
      <c r="Q17" s="141"/>
      <c r="R17" s="141"/>
      <c r="S17" s="143">
        <f t="shared" si="3"/>
        <v>0</v>
      </c>
      <c r="T17" s="32" t="str">
        <f t="shared" si="4"/>
        <v>OK</v>
      </c>
      <c r="U17" s="33"/>
      <c r="V17" s="35"/>
      <c r="W17" s="45"/>
      <c r="X17" s="34"/>
      <c r="Y17" s="34"/>
      <c r="Z17" s="36"/>
      <c r="AA17" s="34"/>
      <c r="AB17" s="34"/>
      <c r="AC17" s="34"/>
      <c r="AD17" s="34"/>
      <c r="AE17" s="34"/>
      <c r="AF17" s="34"/>
      <c r="AG17" s="34"/>
      <c r="AH17" s="34"/>
      <c r="AI17" s="34"/>
    </row>
    <row r="18" spans="1:35" ht="69" customHeight="1" x14ac:dyDescent="0.2">
      <c r="A18" s="65">
        <v>7</v>
      </c>
      <c r="B18" s="28" t="s">
        <v>49</v>
      </c>
      <c r="C18" s="64">
        <v>15</v>
      </c>
      <c r="D18" s="37" t="s">
        <v>58</v>
      </c>
      <c r="E18" s="61" t="s">
        <v>59</v>
      </c>
      <c r="F18" s="29" t="s">
        <v>16</v>
      </c>
      <c r="G18" s="29" t="s">
        <v>17</v>
      </c>
      <c r="H18" s="29" t="s">
        <v>44</v>
      </c>
      <c r="I18" s="28" t="s">
        <v>24</v>
      </c>
      <c r="J18" s="30">
        <v>197.76</v>
      </c>
      <c r="K18" s="31">
        <v>0</v>
      </c>
      <c r="L18" s="140">
        <f t="shared" si="0"/>
        <v>0</v>
      </c>
      <c r="M18" s="140">
        <f t="shared" si="1"/>
        <v>0</v>
      </c>
      <c r="N18" s="141"/>
      <c r="O18" s="142">
        <f t="shared" si="2"/>
        <v>0</v>
      </c>
      <c r="P18" s="141"/>
      <c r="Q18" s="141"/>
      <c r="R18" s="141"/>
      <c r="S18" s="143">
        <f t="shared" si="3"/>
        <v>0</v>
      </c>
      <c r="T18" s="32" t="str">
        <f t="shared" si="4"/>
        <v>OK</v>
      </c>
      <c r="U18" s="33"/>
      <c r="V18" s="35"/>
      <c r="W18" s="45"/>
      <c r="X18" s="34"/>
      <c r="Y18" s="34"/>
      <c r="Z18" s="36"/>
      <c r="AA18" s="34"/>
      <c r="AB18" s="34"/>
      <c r="AC18" s="34"/>
      <c r="AD18" s="34"/>
      <c r="AE18" s="34"/>
      <c r="AF18" s="34"/>
      <c r="AG18" s="34"/>
      <c r="AH18" s="34"/>
      <c r="AI18" s="34"/>
    </row>
    <row r="19" spans="1:35" ht="38.25" customHeight="1" x14ac:dyDescent="0.2">
      <c r="A19" s="188">
        <v>8</v>
      </c>
      <c r="B19" s="190" t="s">
        <v>49</v>
      </c>
      <c r="C19" s="40">
        <v>16</v>
      </c>
      <c r="D19" s="199" t="s">
        <v>12</v>
      </c>
      <c r="E19" s="39" t="s">
        <v>60</v>
      </c>
      <c r="F19" s="41" t="s">
        <v>16</v>
      </c>
      <c r="G19" s="41" t="s">
        <v>17</v>
      </c>
      <c r="H19" s="41" t="s">
        <v>44</v>
      </c>
      <c r="I19" s="39" t="s">
        <v>24</v>
      </c>
      <c r="J19" s="42">
        <v>22.35</v>
      </c>
      <c r="K19" s="31">
        <v>0</v>
      </c>
      <c r="L19" s="140">
        <f t="shared" si="0"/>
        <v>0</v>
      </c>
      <c r="M19" s="140">
        <f t="shared" si="1"/>
        <v>0</v>
      </c>
      <c r="N19" s="141"/>
      <c r="O19" s="142">
        <f t="shared" si="2"/>
        <v>0</v>
      </c>
      <c r="P19" s="141"/>
      <c r="Q19" s="141"/>
      <c r="R19" s="141"/>
      <c r="S19" s="143">
        <f t="shared" si="3"/>
        <v>0</v>
      </c>
      <c r="T19" s="32" t="str">
        <f t="shared" si="4"/>
        <v>OK</v>
      </c>
      <c r="U19" s="33"/>
      <c r="V19" s="35"/>
      <c r="W19" s="45"/>
      <c r="X19" s="34"/>
      <c r="Y19" s="34"/>
      <c r="Z19" s="36"/>
      <c r="AA19" s="34"/>
      <c r="AB19" s="34"/>
      <c r="AC19" s="34"/>
      <c r="AD19" s="34"/>
      <c r="AE19" s="34"/>
      <c r="AF19" s="34"/>
      <c r="AG19" s="34"/>
      <c r="AH19" s="34"/>
      <c r="AI19" s="34"/>
    </row>
    <row r="20" spans="1:35" ht="45" customHeight="1" x14ac:dyDescent="0.2">
      <c r="A20" s="189"/>
      <c r="B20" s="191"/>
      <c r="C20" s="40">
        <v>17</v>
      </c>
      <c r="D20" s="200"/>
      <c r="E20" s="39" t="s">
        <v>61</v>
      </c>
      <c r="F20" s="44" t="s">
        <v>16</v>
      </c>
      <c r="G20" s="44" t="s">
        <v>17</v>
      </c>
      <c r="H20" s="41" t="s">
        <v>44</v>
      </c>
      <c r="I20" s="39" t="s">
        <v>24</v>
      </c>
      <c r="J20" s="42">
        <v>4.5999999999999996</v>
      </c>
      <c r="K20" s="31">
        <v>0</v>
      </c>
      <c r="L20" s="140">
        <f t="shared" si="0"/>
        <v>0</v>
      </c>
      <c r="M20" s="140">
        <f t="shared" si="1"/>
        <v>0</v>
      </c>
      <c r="N20" s="141"/>
      <c r="O20" s="142">
        <f t="shared" si="2"/>
        <v>0</v>
      </c>
      <c r="P20" s="141"/>
      <c r="Q20" s="141"/>
      <c r="R20" s="141"/>
      <c r="S20" s="143">
        <f t="shared" si="3"/>
        <v>0</v>
      </c>
      <c r="T20" s="32" t="str">
        <f t="shared" si="4"/>
        <v>OK</v>
      </c>
      <c r="U20" s="33"/>
      <c r="V20" s="35"/>
      <c r="W20" s="45"/>
      <c r="X20" s="36"/>
      <c r="Y20" s="34"/>
      <c r="Z20" s="45"/>
      <c r="AA20" s="34"/>
      <c r="AB20" s="34"/>
      <c r="AC20" s="34"/>
      <c r="AD20" s="34"/>
      <c r="AE20" s="34"/>
      <c r="AF20" s="34"/>
      <c r="AG20" s="34"/>
      <c r="AH20" s="34"/>
      <c r="AI20" s="34"/>
    </row>
    <row r="21" spans="1:35" ht="58.7" customHeight="1" x14ac:dyDescent="0.2">
      <c r="A21" s="48">
        <v>9</v>
      </c>
      <c r="B21" s="28" t="s">
        <v>62</v>
      </c>
      <c r="C21" s="26">
        <v>18</v>
      </c>
      <c r="D21" s="27" t="s">
        <v>63</v>
      </c>
      <c r="E21" s="28" t="s">
        <v>64</v>
      </c>
      <c r="F21" s="50" t="s">
        <v>16</v>
      </c>
      <c r="G21" s="50" t="s">
        <v>17</v>
      </c>
      <c r="H21" s="29" t="s">
        <v>44</v>
      </c>
      <c r="I21" s="28" t="s">
        <v>24</v>
      </c>
      <c r="J21" s="30">
        <v>3.46</v>
      </c>
      <c r="K21" s="31">
        <v>0</v>
      </c>
      <c r="L21" s="140">
        <f t="shared" si="0"/>
        <v>0</v>
      </c>
      <c r="M21" s="140">
        <f t="shared" si="1"/>
        <v>0</v>
      </c>
      <c r="N21" s="141"/>
      <c r="O21" s="142">
        <f t="shared" si="2"/>
        <v>0</v>
      </c>
      <c r="P21" s="141"/>
      <c r="Q21" s="141"/>
      <c r="R21" s="141"/>
      <c r="S21" s="143">
        <f t="shared" si="3"/>
        <v>0</v>
      </c>
      <c r="T21" s="32" t="str">
        <f t="shared" si="4"/>
        <v>OK</v>
      </c>
      <c r="U21" s="35"/>
      <c r="V21" s="33"/>
      <c r="W21" s="45"/>
      <c r="X21" s="36"/>
      <c r="Y21" s="34"/>
      <c r="Z21" s="45"/>
      <c r="AA21" s="34"/>
      <c r="AB21" s="34"/>
      <c r="AC21" s="34"/>
      <c r="AD21" s="34"/>
      <c r="AE21" s="34"/>
      <c r="AF21" s="34"/>
      <c r="AG21" s="34"/>
      <c r="AH21" s="34"/>
      <c r="AI21" s="34"/>
    </row>
    <row r="22" spans="1:35" ht="45" customHeight="1" x14ac:dyDescent="0.2">
      <c r="A22" s="38">
        <v>10</v>
      </c>
      <c r="B22" s="47" t="s">
        <v>31</v>
      </c>
      <c r="C22" s="40">
        <v>19</v>
      </c>
      <c r="D22" s="47" t="s">
        <v>27</v>
      </c>
      <c r="E22" s="39" t="s">
        <v>23</v>
      </c>
      <c r="F22" s="44" t="s">
        <v>16</v>
      </c>
      <c r="G22" s="44" t="s">
        <v>17</v>
      </c>
      <c r="H22" s="41" t="s">
        <v>44</v>
      </c>
      <c r="I22" s="39" t="s">
        <v>24</v>
      </c>
      <c r="J22" s="42">
        <v>0.4</v>
      </c>
      <c r="K22" s="31">
        <v>500</v>
      </c>
      <c r="L22" s="140">
        <f t="shared" si="0"/>
        <v>500</v>
      </c>
      <c r="M22" s="140">
        <f t="shared" si="1"/>
        <v>500</v>
      </c>
      <c r="N22" s="141"/>
      <c r="O22" s="142">
        <f t="shared" si="2"/>
        <v>125</v>
      </c>
      <c r="P22" s="141"/>
      <c r="Q22" s="141"/>
      <c r="R22" s="141"/>
      <c r="S22" s="143">
        <f t="shared" si="3"/>
        <v>0</v>
      </c>
      <c r="T22" s="32" t="str">
        <f t="shared" si="4"/>
        <v>OK</v>
      </c>
      <c r="U22" s="82"/>
      <c r="V22" s="96">
        <v>500</v>
      </c>
      <c r="W22" s="45"/>
      <c r="X22" s="36"/>
      <c r="Y22" s="34"/>
      <c r="Z22" s="45"/>
      <c r="AA22" s="36"/>
      <c r="AB22" s="34"/>
      <c r="AC22" s="34"/>
      <c r="AD22" s="34"/>
      <c r="AE22" s="34"/>
      <c r="AF22" s="34"/>
      <c r="AG22" s="34"/>
      <c r="AH22" s="34"/>
      <c r="AI22" s="34"/>
    </row>
    <row r="23" spans="1:35" ht="50.25" customHeight="1" x14ac:dyDescent="0.2">
      <c r="A23" s="194">
        <v>11</v>
      </c>
      <c r="B23" s="196" t="s">
        <v>65</v>
      </c>
      <c r="C23" s="26">
        <v>20</v>
      </c>
      <c r="D23" s="201" t="s">
        <v>25</v>
      </c>
      <c r="E23" s="28" t="s">
        <v>19</v>
      </c>
      <c r="F23" s="50" t="s">
        <v>16</v>
      </c>
      <c r="G23" s="50" t="s">
        <v>17</v>
      </c>
      <c r="H23" s="29" t="s">
        <v>44</v>
      </c>
      <c r="I23" s="28" t="s">
        <v>24</v>
      </c>
      <c r="J23" s="30">
        <v>3.95</v>
      </c>
      <c r="K23" s="31">
        <v>15</v>
      </c>
      <c r="L23" s="140">
        <f t="shared" si="0"/>
        <v>0</v>
      </c>
      <c r="M23" s="140">
        <f t="shared" si="1"/>
        <v>0</v>
      </c>
      <c r="N23" s="141">
        <v>-15</v>
      </c>
      <c r="O23" s="142">
        <f t="shared" si="2"/>
        <v>3</v>
      </c>
      <c r="P23" s="141"/>
      <c r="Q23" s="141"/>
      <c r="R23" s="141"/>
      <c r="S23" s="143">
        <f t="shared" si="3"/>
        <v>0</v>
      </c>
      <c r="T23" s="32" t="str">
        <f t="shared" si="4"/>
        <v>OK</v>
      </c>
      <c r="U23" s="35"/>
      <c r="V23" s="33"/>
      <c r="W23" s="45"/>
      <c r="X23" s="34"/>
      <c r="Y23" s="34"/>
      <c r="Z23" s="45"/>
      <c r="AA23" s="36"/>
      <c r="AB23" s="34"/>
      <c r="AC23" s="34"/>
      <c r="AD23" s="34"/>
      <c r="AE23" s="34"/>
      <c r="AF23" s="34"/>
      <c r="AG23" s="34"/>
      <c r="AH23" s="34"/>
      <c r="AI23" s="34"/>
    </row>
    <row r="24" spans="1:35" ht="49.5" customHeight="1" x14ac:dyDescent="0.2">
      <c r="A24" s="195"/>
      <c r="B24" s="197"/>
      <c r="C24" s="26">
        <v>21</v>
      </c>
      <c r="D24" s="202"/>
      <c r="E24" s="28" t="s">
        <v>20</v>
      </c>
      <c r="F24" s="50" t="s">
        <v>16</v>
      </c>
      <c r="G24" s="50" t="s">
        <v>17</v>
      </c>
      <c r="H24" s="29" t="s">
        <v>44</v>
      </c>
      <c r="I24" s="28" t="s">
        <v>24</v>
      </c>
      <c r="J24" s="30">
        <v>2.41</v>
      </c>
      <c r="K24" s="31">
        <v>0</v>
      </c>
      <c r="L24" s="140">
        <f t="shared" si="0"/>
        <v>0</v>
      </c>
      <c r="M24" s="140">
        <f t="shared" si="1"/>
        <v>0</v>
      </c>
      <c r="N24" s="141"/>
      <c r="O24" s="142">
        <f t="shared" si="2"/>
        <v>0</v>
      </c>
      <c r="P24" s="141"/>
      <c r="Q24" s="141"/>
      <c r="R24" s="141"/>
      <c r="S24" s="143">
        <f t="shared" si="3"/>
        <v>0</v>
      </c>
      <c r="T24" s="32" t="str">
        <f t="shared" si="4"/>
        <v>OK</v>
      </c>
      <c r="U24" s="33"/>
      <c r="V24" s="33"/>
      <c r="W24" s="45"/>
      <c r="X24" s="34"/>
      <c r="Y24" s="34"/>
      <c r="Z24" s="45"/>
      <c r="AA24" s="34"/>
      <c r="AB24" s="34"/>
      <c r="AC24" s="34"/>
      <c r="AD24" s="34"/>
      <c r="AE24" s="34"/>
      <c r="AF24" s="34"/>
      <c r="AG24" s="34"/>
      <c r="AH24" s="34"/>
      <c r="AI24" s="34"/>
    </row>
    <row r="25" spans="1:35" ht="26.45" customHeight="1" x14ac:dyDescent="0.2">
      <c r="A25" s="188">
        <v>12</v>
      </c>
      <c r="B25" s="190" t="s">
        <v>62</v>
      </c>
      <c r="C25" s="40">
        <v>22</v>
      </c>
      <c r="D25" s="199" t="s">
        <v>26</v>
      </c>
      <c r="E25" s="39" t="s">
        <v>19</v>
      </c>
      <c r="F25" s="44" t="s">
        <v>16</v>
      </c>
      <c r="G25" s="44" t="s">
        <v>17</v>
      </c>
      <c r="H25" s="41" t="s">
        <v>44</v>
      </c>
      <c r="I25" s="39" t="s">
        <v>24</v>
      </c>
      <c r="J25" s="42">
        <v>2.48</v>
      </c>
      <c r="K25" s="31">
        <v>10</v>
      </c>
      <c r="L25" s="140">
        <f t="shared" si="0"/>
        <v>0</v>
      </c>
      <c r="M25" s="140">
        <f t="shared" si="1"/>
        <v>0</v>
      </c>
      <c r="N25" s="141">
        <v>-10</v>
      </c>
      <c r="O25" s="142">
        <f t="shared" si="2"/>
        <v>2</v>
      </c>
      <c r="P25" s="141"/>
      <c r="Q25" s="141"/>
      <c r="R25" s="141"/>
      <c r="S25" s="143">
        <f t="shared" si="3"/>
        <v>0</v>
      </c>
      <c r="T25" s="32" t="str">
        <f t="shared" si="4"/>
        <v>OK</v>
      </c>
      <c r="U25" s="33"/>
      <c r="V25" s="33"/>
      <c r="W25" s="45"/>
      <c r="X25" s="36"/>
      <c r="Y25" s="34"/>
      <c r="Z25" s="45"/>
      <c r="AA25" s="34"/>
      <c r="AB25" s="34"/>
      <c r="AC25" s="34"/>
      <c r="AD25" s="34"/>
      <c r="AE25" s="34"/>
      <c r="AF25" s="34"/>
      <c r="AG25" s="34"/>
      <c r="AH25" s="34"/>
      <c r="AI25" s="34"/>
    </row>
    <row r="26" spans="1:35" ht="24.4" customHeight="1" x14ac:dyDescent="0.2">
      <c r="A26" s="189"/>
      <c r="B26" s="191"/>
      <c r="C26" s="40">
        <v>23</v>
      </c>
      <c r="D26" s="200"/>
      <c r="E26" s="43" t="s">
        <v>20</v>
      </c>
      <c r="F26" s="44" t="s">
        <v>16</v>
      </c>
      <c r="G26" s="44" t="s">
        <v>17</v>
      </c>
      <c r="H26" s="41" t="s">
        <v>44</v>
      </c>
      <c r="I26" s="39" t="s">
        <v>24</v>
      </c>
      <c r="J26" s="42">
        <v>1.2</v>
      </c>
      <c r="K26" s="31">
        <v>0</v>
      </c>
      <c r="L26" s="140">
        <f t="shared" si="0"/>
        <v>0</v>
      </c>
      <c r="M26" s="140">
        <f t="shared" si="1"/>
        <v>0</v>
      </c>
      <c r="N26" s="141"/>
      <c r="O26" s="142">
        <f t="shared" si="2"/>
        <v>0</v>
      </c>
      <c r="P26" s="141"/>
      <c r="Q26" s="141"/>
      <c r="R26" s="141"/>
      <c r="S26" s="143">
        <f t="shared" si="3"/>
        <v>0</v>
      </c>
      <c r="T26" s="32" t="str">
        <f t="shared" si="4"/>
        <v>OK</v>
      </c>
      <c r="U26" s="33"/>
      <c r="V26" s="33"/>
      <c r="W26" s="45"/>
      <c r="X26" s="34"/>
      <c r="Y26" s="34"/>
      <c r="Z26" s="45"/>
      <c r="AA26" s="34"/>
      <c r="AB26" s="34"/>
      <c r="AC26" s="34"/>
      <c r="AD26" s="34"/>
      <c r="AE26" s="34"/>
      <c r="AF26" s="34"/>
      <c r="AG26" s="34"/>
      <c r="AH26" s="34"/>
      <c r="AI26" s="34"/>
    </row>
    <row r="27" spans="1:35" ht="24" customHeight="1" x14ac:dyDescent="0.2">
      <c r="A27" s="194">
        <v>13</v>
      </c>
      <c r="B27" s="196" t="s">
        <v>65</v>
      </c>
      <c r="C27" s="26">
        <v>24</v>
      </c>
      <c r="D27" s="201" t="s">
        <v>66</v>
      </c>
      <c r="E27" s="28" t="s">
        <v>21</v>
      </c>
      <c r="F27" s="50" t="s">
        <v>16</v>
      </c>
      <c r="G27" s="29" t="s">
        <v>17</v>
      </c>
      <c r="H27" s="29" t="s">
        <v>44</v>
      </c>
      <c r="I27" s="28" t="s">
        <v>24</v>
      </c>
      <c r="J27" s="30">
        <v>0.33</v>
      </c>
      <c r="K27" s="31">
        <v>500</v>
      </c>
      <c r="L27" s="140">
        <f t="shared" si="0"/>
        <v>0</v>
      </c>
      <c r="M27" s="140">
        <f t="shared" si="1"/>
        <v>0</v>
      </c>
      <c r="N27" s="141">
        <v>-500</v>
      </c>
      <c r="O27" s="142">
        <f t="shared" si="2"/>
        <v>125</v>
      </c>
      <c r="P27" s="141"/>
      <c r="Q27" s="141"/>
      <c r="R27" s="141"/>
      <c r="S27" s="143">
        <f t="shared" si="3"/>
        <v>0</v>
      </c>
      <c r="T27" s="32" t="str">
        <f t="shared" si="4"/>
        <v>OK</v>
      </c>
      <c r="U27" s="33"/>
      <c r="V27" s="33"/>
      <c r="W27" s="45"/>
      <c r="X27" s="34"/>
      <c r="Y27" s="34"/>
      <c r="Z27" s="45"/>
      <c r="AA27" s="34"/>
      <c r="AB27" s="34"/>
      <c r="AC27" s="34"/>
      <c r="AD27" s="34"/>
      <c r="AE27" s="34"/>
      <c r="AF27" s="34"/>
      <c r="AG27" s="34"/>
      <c r="AH27" s="34"/>
      <c r="AI27" s="34"/>
    </row>
    <row r="28" spans="1:35" ht="30.2" customHeight="1" x14ac:dyDescent="0.2">
      <c r="A28" s="195"/>
      <c r="B28" s="197"/>
      <c r="C28" s="26">
        <v>25</v>
      </c>
      <c r="D28" s="202"/>
      <c r="E28" s="28" t="s">
        <v>22</v>
      </c>
      <c r="F28" s="50" t="s">
        <v>16</v>
      </c>
      <c r="G28" s="50" t="s">
        <v>17</v>
      </c>
      <c r="H28" s="29" t="s">
        <v>44</v>
      </c>
      <c r="I28" s="28" t="s">
        <v>24</v>
      </c>
      <c r="J28" s="30">
        <v>0.15</v>
      </c>
      <c r="K28" s="31">
        <v>0</v>
      </c>
      <c r="L28" s="140">
        <f t="shared" si="0"/>
        <v>0</v>
      </c>
      <c r="M28" s="140">
        <f t="shared" si="1"/>
        <v>0</v>
      </c>
      <c r="N28" s="141"/>
      <c r="O28" s="142">
        <f t="shared" si="2"/>
        <v>0</v>
      </c>
      <c r="P28" s="141"/>
      <c r="Q28" s="141"/>
      <c r="R28" s="141"/>
      <c r="S28" s="143">
        <f t="shared" si="3"/>
        <v>0</v>
      </c>
      <c r="T28" s="32" t="str">
        <f t="shared" si="4"/>
        <v>OK</v>
      </c>
      <c r="U28" s="33"/>
      <c r="V28" s="33"/>
      <c r="W28" s="45"/>
      <c r="X28" s="34"/>
      <c r="Y28" s="34"/>
      <c r="Z28" s="45"/>
      <c r="AA28" s="34"/>
      <c r="AB28" s="34"/>
      <c r="AC28" s="34"/>
      <c r="AD28" s="34"/>
      <c r="AE28" s="34"/>
      <c r="AF28" s="34"/>
      <c r="AG28" s="34"/>
      <c r="AH28" s="34"/>
      <c r="AI28" s="34"/>
    </row>
    <row r="29" spans="1:35" ht="26.45" customHeight="1" x14ac:dyDescent="0.2">
      <c r="A29" s="188">
        <v>14</v>
      </c>
      <c r="B29" s="190" t="s">
        <v>65</v>
      </c>
      <c r="C29" s="40">
        <v>26</v>
      </c>
      <c r="D29" s="192" t="s">
        <v>67</v>
      </c>
      <c r="E29" s="66" t="s">
        <v>21</v>
      </c>
      <c r="F29" s="44" t="s">
        <v>16</v>
      </c>
      <c r="G29" s="44" t="s">
        <v>17</v>
      </c>
      <c r="H29" s="41" t="s">
        <v>44</v>
      </c>
      <c r="I29" s="39" t="s">
        <v>24</v>
      </c>
      <c r="J29" s="42">
        <v>0.33</v>
      </c>
      <c r="K29" s="31">
        <v>500</v>
      </c>
      <c r="L29" s="140">
        <f t="shared" si="0"/>
        <v>0</v>
      </c>
      <c r="M29" s="140">
        <f t="shared" si="1"/>
        <v>0</v>
      </c>
      <c r="N29" s="141"/>
      <c r="O29" s="142">
        <f t="shared" si="2"/>
        <v>125</v>
      </c>
      <c r="P29" s="141"/>
      <c r="Q29" s="141"/>
      <c r="R29" s="141"/>
      <c r="S29" s="143">
        <f t="shared" si="3"/>
        <v>500</v>
      </c>
      <c r="T29" s="32" t="str">
        <f t="shared" si="4"/>
        <v>OK</v>
      </c>
      <c r="U29" s="33"/>
      <c r="V29" s="33"/>
      <c r="W29" s="45"/>
      <c r="X29" s="34"/>
      <c r="Y29" s="34"/>
      <c r="Z29" s="45"/>
      <c r="AA29" s="34"/>
      <c r="AB29" s="34"/>
      <c r="AC29" s="34"/>
      <c r="AD29" s="34"/>
      <c r="AE29" s="34"/>
      <c r="AF29" s="34"/>
      <c r="AG29" s="34"/>
      <c r="AH29" s="34"/>
      <c r="AI29" s="34"/>
    </row>
    <row r="30" spans="1:35" ht="33.950000000000003" customHeight="1" x14ac:dyDescent="0.2">
      <c r="A30" s="189"/>
      <c r="B30" s="191"/>
      <c r="C30" s="40">
        <v>27</v>
      </c>
      <c r="D30" s="193"/>
      <c r="E30" s="66" t="s">
        <v>22</v>
      </c>
      <c r="F30" s="44" t="s">
        <v>16</v>
      </c>
      <c r="G30" s="44" t="s">
        <v>17</v>
      </c>
      <c r="H30" s="41" t="s">
        <v>44</v>
      </c>
      <c r="I30" s="39" t="s">
        <v>24</v>
      </c>
      <c r="J30" s="42">
        <v>0.23</v>
      </c>
      <c r="K30" s="31">
        <v>0</v>
      </c>
      <c r="L30" s="140">
        <f t="shared" si="0"/>
        <v>0</v>
      </c>
      <c r="M30" s="140">
        <f t="shared" si="1"/>
        <v>0</v>
      </c>
      <c r="N30" s="141"/>
      <c r="O30" s="142">
        <f t="shared" si="2"/>
        <v>0</v>
      </c>
      <c r="P30" s="141"/>
      <c r="Q30" s="141"/>
      <c r="R30" s="141"/>
      <c r="S30" s="143">
        <f t="shared" si="3"/>
        <v>0</v>
      </c>
      <c r="T30" s="32" t="str">
        <f t="shared" si="4"/>
        <v>OK</v>
      </c>
      <c r="U30" s="33"/>
      <c r="V30" s="33"/>
      <c r="W30" s="45"/>
      <c r="X30" s="34"/>
      <c r="Y30" s="34"/>
      <c r="Z30" s="45"/>
      <c r="AA30" s="34"/>
      <c r="AB30" s="34"/>
      <c r="AC30" s="34"/>
      <c r="AD30" s="34"/>
      <c r="AE30" s="34"/>
      <c r="AF30" s="34"/>
      <c r="AG30" s="34"/>
      <c r="AH30" s="34"/>
      <c r="AI30" s="34"/>
    </row>
    <row r="31" spans="1:35" ht="27" customHeight="1" x14ac:dyDescent="0.2">
      <c r="A31" s="194">
        <v>15</v>
      </c>
      <c r="B31" s="196" t="s">
        <v>31</v>
      </c>
      <c r="C31" s="68">
        <v>28</v>
      </c>
      <c r="D31" s="198" t="s">
        <v>68</v>
      </c>
      <c r="E31" s="28" t="s">
        <v>21</v>
      </c>
      <c r="F31" s="50" t="s">
        <v>16</v>
      </c>
      <c r="G31" s="50" t="s">
        <v>17</v>
      </c>
      <c r="H31" s="29" t="s">
        <v>44</v>
      </c>
      <c r="I31" s="28" t="s">
        <v>24</v>
      </c>
      <c r="J31" s="30">
        <v>0.4</v>
      </c>
      <c r="K31" s="31">
        <v>0</v>
      </c>
      <c r="L31" s="140">
        <f t="shared" si="0"/>
        <v>0</v>
      </c>
      <c r="M31" s="140">
        <f t="shared" si="1"/>
        <v>0</v>
      </c>
      <c r="N31" s="141"/>
      <c r="O31" s="142">
        <f t="shared" si="2"/>
        <v>0</v>
      </c>
      <c r="P31" s="141"/>
      <c r="Q31" s="141"/>
      <c r="R31" s="141"/>
      <c r="S31" s="143">
        <f t="shared" si="3"/>
        <v>0</v>
      </c>
      <c r="T31" s="32" t="str">
        <f t="shared" si="4"/>
        <v>OK</v>
      </c>
      <c r="U31" s="33"/>
      <c r="V31" s="35"/>
      <c r="W31" s="45"/>
      <c r="X31" s="36"/>
      <c r="Y31" s="34"/>
      <c r="Z31" s="45"/>
      <c r="AA31" s="34"/>
      <c r="AB31" s="34"/>
      <c r="AC31" s="34"/>
      <c r="AD31" s="34"/>
      <c r="AE31" s="34"/>
      <c r="AF31" s="34"/>
      <c r="AG31" s="34"/>
      <c r="AH31" s="34"/>
      <c r="AI31" s="34"/>
    </row>
    <row r="32" spans="1:35" ht="29.25" customHeight="1" x14ac:dyDescent="0.2">
      <c r="A32" s="195"/>
      <c r="B32" s="197"/>
      <c r="C32" s="26">
        <v>29</v>
      </c>
      <c r="D32" s="198"/>
      <c r="E32" s="28" t="s">
        <v>22</v>
      </c>
      <c r="F32" s="50" t="s">
        <v>16</v>
      </c>
      <c r="G32" s="50" t="s">
        <v>17</v>
      </c>
      <c r="H32" s="29" t="s">
        <v>44</v>
      </c>
      <c r="I32" s="28" t="s">
        <v>24</v>
      </c>
      <c r="J32" s="30">
        <v>0.44</v>
      </c>
      <c r="K32" s="31">
        <v>3000</v>
      </c>
      <c r="L32" s="140">
        <f t="shared" si="0"/>
        <v>0</v>
      </c>
      <c r="M32" s="140">
        <f t="shared" si="1"/>
        <v>0</v>
      </c>
      <c r="N32" s="141">
        <v>-3000</v>
      </c>
      <c r="O32" s="142">
        <f t="shared" si="2"/>
        <v>750</v>
      </c>
      <c r="P32" s="141"/>
      <c r="Q32" s="141"/>
      <c r="R32" s="141"/>
      <c r="S32" s="143">
        <f t="shared" si="3"/>
        <v>0</v>
      </c>
      <c r="T32" s="32" t="str">
        <f t="shared" si="4"/>
        <v>OK</v>
      </c>
      <c r="U32" s="33"/>
      <c r="V32" s="33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</row>
    <row r="33" spans="11:35" x14ac:dyDescent="0.2">
      <c r="K33" s="56">
        <f>SUM(K4:K32)</f>
        <v>4565</v>
      </c>
      <c r="U33" s="67">
        <f t="shared" ref="U33:AI33" si="5">SUMPRODUCT($J$4:$J$32,U4:U32)</f>
        <v>1749</v>
      </c>
      <c r="V33" s="59">
        <f t="shared" si="5"/>
        <v>838.09999999999991</v>
      </c>
      <c r="W33" s="59">
        <f t="shared" si="5"/>
        <v>0</v>
      </c>
      <c r="X33" s="59">
        <f t="shared" si="5"/>
        <v>0</v>
      </c>
      <c r="Y33" s="59">
        <f t="shared" si="5"/>
        <v>0</v>
      </c>
      <c r="Z33" s="59">
        <f t="shared" si="5"/>
        <v>0</v>
      </c>
      <c r="AA33" s="59">
        <f t="shared" si="5"/>
        <v>0</v>
      </c>
      <c r="AB33" s="59">
        <f t="shared" si="5"/>
        <v>0</v>
      </c>
      <c r="AC33" s="59">
        <f t="shared" si="5"/>
        <v>0</v>
      </c>
      <c r="AD33" s="59">
        <f t="shared" si="5"/>
        <v>0</v>
      </c>
      <c r="AE33" s="59">
        <f t="shared" si="5"/>
        <v>0</v>
      </c>
      <c r="AF33" s="59">
        <f t="shared" si="5"/>
        <v>0</v>
      </c>
      <c r="AG33" s="59">
        <f t="shared" si="5"/>
        <v>0</v>
      </c>
      <c r="AH33" s="59">
        <f t="shared" si="5"/>
        <v>0</v>
      </c>
      <c r="AI33" s="59">
        <f t="shared" si="5"/>
        <v>0</v>
      </c>
    </row>
    <row r="34" spans="11:35" x14ac:dyDescent="0.2">
      <c r="K34" s="148">
        <f>SUMPRODUCT($J$4:$J$32,K4:K32)</f>
        <v>3352.05</v>
      </c>
      <c r="L34" s="148">
        <f t="shared" ref="L34:M34" si="6">SUMPRODUCT($J$4:$J$32,L4:L32)</f>
        <v>2587.1</v>
      </c>
      <c r="M34" s="148">
        <f t="shared" si="6"/>
        <v>2587.1</v>
      </c>
      <c r="V34" s="88"/>
    </row>
    <row r="35" spans="11:35" x14ac:dyDescent="0.2">
      <c r="V35" s="88"/>
    </row>
    <row r="36" spans="11:35" x14ac:dyDescent="0.2">
      <c r="V36" s="88"/>
    </row>
  </sheetData>
  <mergeCells count="50">
    <mergeCell ref="W1:W2"/>
    <mergeCell ref="A1:C1"/>
    <mergeCell ref="D1:J1"/>
    <mergeCell ref="K1:T1"/>
    <mergeCell ref="U1:U2"/>
    <mergeCell ref="V1:V2"/>
    <mergeCell ref="K2:T2"/>
    <mergeCell ref="A2:J2"/>
    <mergeCell ref="AI1:AI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4:A8"/>
    <mergeCell ref="B4:B8"/>
    <mergeCell ref="D4:D8"/>
    <mergeCell ref="A9:A10"/>
    <mergeCell ref="B9:B10"/>
    <mergeCell ref="D9:D10"/>
    <mergeCell ref="A11:A13"/>
    <mergeCell ref="B11:B13"/>
    <mergeCell ref="D11:D13"/>
    <mergeCell ref="A14:A15"/>
    <mergeCell ref="B14:B15"/>
    <mergeCell ref="D14:D15"/>
    <mergeCell ref="A19:A20"/>
    <mergeCell ref="B19:B20"/>
    <mergeCell ref="D19:D20"/>
    <mergeCell ref="A23:A24"/>
    <mergeCell ref="B23:B24"/>
    <mergeCell ref="D23:D24"/>
    <mergeCell ref="A25:A26"/>
    <mergeCell ref="B25:B26"/>
    <mergeCell ref="D25:D26"/>
    <mergeCell ref="A27:A28"/>
    <mergeCell ref="B27:B28"/>
    <mergeCell ref="D27:D28"/>
    <mergeCell ref="A29:A30"/>
    <mergeCell ref="B29:B30"/>
    <mergeCell ref="D29:D30"/>
    <mergeCell ref="A31:A32"/>
    <mergeCell ref="B31:B32"/>
    <mergeCell ref="D31:D32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93244-A607-43FF-9103-9D6980D29074}">
  <dimension ref="A1:AI34"/>
  <sheetViews>
    <sheetView topLeftCell="A17" zoomScale="90" zoomScaleNormal="90" workbookViewId="0">
      <selection activeCell="N31" sqref="N31"/>
    </sheetView>
  </sheetViews>
  <sheetFormatPr defaultColWidth="9.7109375" defaultRowHeight="12.75" x14ac:dyDescent="0.2"/>
  <cols>
    <col min="1" max="1" width="7.7109375" style="53" customWidth="1"/>
    <col min="2" max="2" width="7.42578125" style="53" customWidth="1"/>
    <col min="3" max="3" width="5.5703125" style="53" bestFit="1" customWidth="1"/>
    <col min="4" max="4" width="25.42578125" style="54" customWidth="1"/>
    <col min="5" max="5" width="10.85546875" style="53" bestFit="1" customWidth="1"/>
    <col min="6" max="6" width="8.28515625" style="53" customWidth="1"/>
    <col min="7" max="7" width="11.28515625" style="53" customWidth="1"/>
    <col min="8" max="8" width="14.85546875" style="53" customWidth="1"/>
    <col min="9" max="9" width="9.42578125" style="53" customWidth="1"/>
    <col min="10" max="10" width="12.7109375" style="55" bestFit="1" customWidth="1"/>
    <col min="11" max="11" width="13.28515625" style="56" customWidth="1"/>
    <col min="12" max="13" width="14" style="56" bestFit="1" customWidth="1"/>
    <col min="14" max="14" width="11.42578125" style="56" customWidth="1"/>
    <col min="15" max="15" width="14" style="56" bestFit="1" customWidth="1"/>
    <col min="16" max="16" width="4.7109375" style="56" customWidth="1"/>
    <col min="17" max="17" width="4.42578125" style="56" customWidth="1"/>
    <col min="18" max="18" width="4.85546875" style="56" customWidth="1"/>
    <col min="19" max="19" width="10.28515625" style="57" customWidth="1"/>
    <col min="20" max="20" width="12.5703125" style="58" customWidth="1"/>
    <col min="21" max="22" width="13.7109375" style="106" customWidth="1"/>
    <col min="23" max="24" width="13.7109375" style="86" customWidth="1"/>
    <col min="25" max="27" width="14.28515625" style="18" customWidth="1"/>
    <col min="28" max="35" width="13.7109375" style="18" customWidth="1"/>
    <col min="36" max="16384" width="9.7109375" style="18"/>
  </cols>
  <sheetData>
    <row r="1" spans="1:35" ht="44.25" customHeight="1" x14ac:dyDescent="0.2">
      <c r="A1" s="219" t="s">
        <v>69</v>
      </c>
      <c r="B1" s="220"/>
      <c r="C1" s="221"/>
      <c r="D1" s="220" t="s">
        <v>32</v>
      </c>
      <c r="E1" s="220"/>
      <c r="F1" s="220"/>
      <c r="G1" s="220"/>
      <c r="H1" s="220"/>
      <c r="I1" s="220"/>
      <c r="J1" s="221"/>
      <c r="K1" s="222" t="s">
        <v>33</v>
      </c>
      <c r="L1" s="223"/>
      <c r="M1" s="223"/>
      <c r="N1" s="223"/>
      <c r="O1" s="223"/>
      <c r="P1" s="223"/>
      <c r="Q1" s="223"/>
      <c r="R1" s="223"/>
      <c r="S1" s="223"/>
      <c r="T1" s="224"/>
      <c r="U1" s="234" t="s">
        <v>103</v>
      </c>
      <c r="V1" s="234" t="s">
        <v>104</v>
      </c>
      <c r="W1" s="234" t="s">
        <v>105</v>
      </c>
      <c r="X1" s="234" t="s">
        <v>106</v>
      </c>
      <c r="Y1" s="234" t="s">
        <v>212</v>
      </c>
      <c r="Z1" s="234" t="s">
        <v>213</v>
      </c>
      <c r="AA1" s="234" t="s">
        <v>214</v>
      </c>
      <c r="AB1" s="218" t="s">
        <v>30</v>
      </c>
      <c r="AC1" s="218" t="s">
        <v>30</v>
      </c>
      <c r="AD1" s="218" t="s">
        <v>30</v>
      </c>
      <c r="AE1" s="218" t="s">
        <v>30</v>
      </c>
      <c r="AF1" s="218" t="s">
        <v>30</v>
      </c>
      <c r="AG1" s="218" t="s">
        <v>30</v>
      </c>
      <c r="AH1" s="218" t="s">
        <v>30</v>
      </c>
      <c r="AI1" s="218" t="s">
        <v>30</v>
      </c>
    </row>
    <row r="2" spans="1:35" ht="27.75" customHeight="1" x14ac:dyDescent="0.2">
      <c r="A2" s="219" t="s">
        <v>74</v>
      </c>
      <c r="B2" s="220"/>
      <c r="C2" s="220"/>
      <c r="D2" s="220"/>
      <c r="E2" s="220"/>
      <c r="F2" s="220"/>
      <c r="G2" s="220"/>
      <c r="H2" s="220"/>
      <c r="I2" s="220"/>
      <c r="J2" s="221"/>
      <c r="K2" s="225" t="s">
        <v>91</v>
      </c>
      <c r="L2" s="226"/>
      <c r="M2" s="226"/>
      <c r="N2" s="226"/>
      <c r="O2" s="226"/>
      <c r="P2" s="226"/>
      <c r="Q2" s="226"/>
      <c r="R2" s="226"/>
      <c r="S2" s="226"/>
      <c r="T2" s="227"/>
      <c r="U2" s="234"/>
      <c r="V2" s="234"/>
      <c r="W2" s="234"/>
      <c r="X2" s="234"/>
      <c r="Y2" s="234"/>
      <c r="Z2" s="234"/>
      <c r="AA2" s="234"/>
      <c r="AB2" s="218"/>
      <c r="AC2" s="218"/>
      <c r="AD2" s="218"/>
      <c r="AE2" s="218"/>
      <c r="AF2" s="218"/>
      <c r="AG2" s="218"/>
      <c r="AH2" s="218"/>
      <c r="AI2" s="218"/>
    </row>
    <row r="3" spans="1:35" s="25" customFormat="1" ht="62.25" customHeight="1" x14ac:dyDescent="0.2">
      <c r="A3" s="19" t="s">
        <v>5</v>
      </c>
      <c r="B3" s="19" t="s">
        <v>18</v>
      </c>
      <c r="C3" s="69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43</v>
      </c>
      <c r="I3" s="20" t="s">
        <v>4</v>
      </c>
      <c r="J3" s="21" t="s">
        <v>28</v>
      </c>
      <c r="K3" s="22" t="s">
        <v>6</v>
      </c>
      <c r="L3" s="145" t="s">
        <v>185</v>
      </c>
      <c r="M3" s="145" t="s">
        <v>186</v>
      </c>
      <c r="N3" s="145" t="s">
        <v>187</v>
      </c>
      <c r="O3" s="145" t="s">
        <v>188</v>
      </c>
      <c r="P3" s="145" t="s">
        <v>189</v>
      </c>
      <c r="Q3" s="145" t="s">
        <v>190</v>
      </c>
      <c r="R3" s="145" t="s">
        <v>191</v>
      </c>
      <c r="S3" s="146" t="s">
        <v>0</v>
      </c>
      <c r="T3" s="23" t="s">
        <v>2</v>
      </c>
      <c r="U3" s="101">
        <v>45376</v>
      </c>
      <c r="V3" s="101">
        <v>45440</v>
      </c>
      <c r="W3" s="101">
        <v>45460</v>
      </c>
      <c r="X3" s="101">
        <v>45478</v>
      </c>
      <c r="Y3" s="101">
        <v>45569</v>
      </c>
      <c r="Z3" s="101">
        <v>45595</v>
      </c>
      <c r="AA3" s="101">
        <v>45597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  <c r="AG3" s="24" t="s">
        <v>1</v>
      </c>
      <c r="AH3" s="24" t="s">
        <v>1</v>
      </c>
      <c r="AI3" s="24" t="s">
        <v>1</v>
      </c>
    </row>
    <row r="4" spans="1:35" ht="23.25" customHeight="1" x14ac:dyDescent="0.2">
      <c r="A4" s="203">
        <v>1</v>
      </c>
      <c r="B4" s="196" t="s">
        <v>31</v>
      </c>
      <c r="C4" s="26">
        <v>1</v>
      </c>
      <c r="D4" s="201" t="s">
        <v>34</v>
      </c>
      <c r="E4" s="28" t="s">
        <v>35</v>
      </c>
      <c r="F4" s="29" t="s">
        <v>16</v>
      </c>
      <c r="G4" s="29" t="s">
        <v>17</v>
      </c>
      <c r="H4" s="29" t="s">
        <v>44</v>
      </c>
      <c r="I4" s="28" t="s">
        <v>24</v>
      </c>
      <c r="J4" s="30">
        <v>12.15</v>
      </c>
      <c r="K4" s="31">
        <v>33</v>
      </c>
      <c r="L4" s="140">
        <f t="shared" ref="L4:L32" si="0">IF(SUM(U4:AL4)&gt;K4+N4,K4+N4,SUM(U4:AL4))</f>
        <v>20</v>
      </c>
      <c r="M4" s="140">
        <f t="shared" ref="M4:M32" si="1">(SUM(U4:AL4))</f>
        <v>20</v>
      </c>
      <c r="N4" s="141"/>
      <c r="O4" s="142">
        <f t="shared" ref="O4:O32" si="2">ROUND(IF(K4*0.25-0.5&lt;0,0,K4*0.25-0.5),0)-R4-P4</f>
        <v>8</v>
      </c>
      <c r="P4" s="141"/>
      <c r="Q4" s="141"/>
      <c r="R4" s="141"/>
      <c r="S4" s="143">
        <f t="shared" ref="S4:S32" si="3">K4+N4+P4+Q4-M4</f>
        <v>13</v>
      </c>
      <c r="T4" s="32" t="str">
        <f t="shared" ref="T4:T32" si="4">IF(S4&lt;0,"ATENÇÃO","OK")</f>
        <v>OK</v>
      </c>
      <c r="U4" s="102">
        <v>15</v>
      </c>
      <c r="V4" s="35"/>
      <c r="W4" s="36"/>
      <c r="X4" s="103">
        <v>2</v>
      </c>
      <c r="Y4" s="34"/>
      <c r="Z4" s="34">
        <v>3</v>
      </c>
      <c r="AA4" s="34"/>
      <c r="AB4" s="34"/>
      <c r="AC4" s="34"/>
      <c r="AD4" s="34"/>
      <c r="AE4" s="34"/>
      <c r="AF4" s="34"/>
      <c r="AG4" s="34"/>
      <c r="AH4" s="34"/>
      <c r="AI4" s="34"/>
    </row>
    <row r="5" spans="1:35" ht="26.45" customHeight="1" x14ac:dyDescent="0.2">
      <c r="A5" s="204"/>
      <c r="B5" s="206"/>
      <c r="C5" s="26">
        <v>2</v>
      </c>
      <c r="D5" s="207"/>
      <c r="E5" s="28" t="s">
        <v>36</v>
      </c>
      <c r="F5" s="29" t="s">
        <v>16</v>
      </c>
      <c r="G5" s="29" t="s">
        <v>17</v>
      </c>
      <c r="H5" s="29" t="s">
        <v>44</v>
      </c>
      <c r="I5" s="28" t="s">
        <v>24</v>
      </c>
      <c r="J5" s="30">
        <v>40.5</v>
      </c>
      <c r="K5" s="31">
        <v>5</v>
      </c>
      <c r="L5" s="140">
        <f t="shared" si="0"/>
        <v>0</v>
      </c>
      <c r="M5" s="140">
        <f t="shared" si="1"/>
        <v>0</v>
      </c>
      <c r="N5" s="141"/>
      <c r="O5" s="142">
        <f t="shared" si="2"/>
        <v>1</v>
      </c>
      <c r="P5" s="141"/>
      <c r="Q5" s="141"/>
      <c r="R5" s="141"/>
      <c r="S5" s="143">
        <f t="shared" si="3"/>
        <v>5</v>
      </c>
      <c r="T5" s="32" t="str">
        <f t="shared" si="4"/>
        <v>OK</v>
      </c>
      <c r="U5" s="104"/>
      <c r="V5" s="35"/>
      <c r="W5" s="36"/>
      <c r="X5" s="36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</row>
    <row r="6" spans="1:35" ht="24" customHeight="1" x14ac:dyDescent="0.2">
      <c r="A6" s="204"/>
      <c r="B6" s="206"/>
      <c r="C6" s="26">
        <v>3</v>
      </c>
      <c r="D6" s="207"/>
      <c r="E6" s="28" t="s">
        <v>37</v>
      </c>
      <c r="F6" s="29" t="s">
        <v>16</v>
      </c>
      <c r="G6" s="29" t="s">
        <v>17</v>
      </c>
      <c r="H6" s="29" t="s">
        <v>44</v>
      </c>
      <c r="I6" s="28" t="s">
        <v>24</v>
      </c>
      <c r="J6" s="30">
        <v>49.5</v>
      </c>
      <c r="K6" s="31">
        <v>0</v>
      </c>
      <c r="L6" s="140">
        <f t="shared" si="0"/>
        <v>0</v>
      </c>
      <c r="M6" s="140">
        <f t="shared" si="1"/>
        <v>0</v>
      </c>
      <c r="N6" s="141"/>
      <c r="O6" s="142">
        <f t="shared" si="2"/>
        <v>0</v>
      </c>
      <c r="P6" s="141"/>
      <c r="Q6" s="141"/>
      <c r="R6" s="141"/>
      <c r="S6" s="143">
        <f t="shared" si="3"/>
        <v>0</v>
      </c>
      <c r="T6" s="32" t="str">
        <f t="shared" si="4"/>
        <v>OK</v>
      </c>
      <c r="U6" s="104"/>
      <c r="V6" s="35"/>
      <c r="W6" s="36"/>
      <c r="X6" s="36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</row>
    <row r="7" spans="1:35" ht="24" customHeight="1" x14ac:dyDescent="0.2">
      <c r="A7" s="204"/>
      <c r="B7" s="206"/>
      <c r="C7" s="26">
        <v>4</v>
      </c>
      <c r="D7" s="207"/>
      <c r="E7" s="28" t="s">
        <v>38</v>
      </c>
      <c r="F7" s="29" t="s">
        <v>16</v>
      </c>
      <c r="G7" s="29" t="s">
        <v>17</v>
      </c>
      <c r="H7" s="29" t="s">
        <v>44</v>
      </c>
      <c r="I7" s="28" t="s">
        <v>24</v>
      </c>
      <c r="J7" s="30">
        <v>53</v>
      </c>
      <c r="K7" s="31">
        <v>20</v>
      </c>
      <c r="L7" s="140">
        <f t="shared" si="0"/>
        <v>12</v>
      </c>
      <c r="M7" s="140">
        <f t="shared" si="1"/>
        <v>12</v>
      </c>
      <c r="N7" s="141">
        <v>-8</v>
      </c>
      <c r="O7" s="142">
        <f t="shared" si="2"/>
        <v>5</v>
      </c>
      <c r="P7" s="141"/>
      <c r="Q7" s="141"/>
      <c r="R7" s="141"/>
      <c r="S7" s="143">
        <f t="shared" si="3"/>
        <v>0</v>
      </c>
      <c r="T7" s="32" t="str">
        <f t="shared" si="4"/>
        <v>OK</v>
      </c>
      <c r="U7" s="102">
        <v>5</v>
      </c>
      <c r="V7" s="35"/>
      <c r="W7" s="36"/>
      <c r="X7" s="36"/>
      <c r="Y7" s="34">
        <v>4</v>
      </c>
      <c r="Z7" s="34">
        <v>3</v>
      </c>
      <c r="AA7" s="34"/>
      <c r="AB7" s="34"/>
      <c r="AC7" s="34"/>
      <c r="AD7" s="34"/>
      <c r="AE7" s="34"/>
      <c r="AF7" s="34"/>
      <c r="AG7" s="34"/>
      <c r="AH7" s="34"/>
      <c r="AI7" s="34"/>
    </row>
    <row r="8" spans="1:35" ht="19.5" customHeight="1" x14ac:dyDescent="0.2">
      <c r="A8" s="205"/>
      <c r="B8" s="197"/>
      <c r="C8" s="26">
        <v>5</v>
      </c>
      <c r="D8" s="202"/>
      <c r="E8" s="28" t="s">
        <v>39</v>
      </c>
      <c r="F8" s="29" t="s">
        <v>16</v>
      </c>
      <c r="G8" s="29" t="s">
        <v>17</v>
      </c>
      <c r="H8" s="29" t="s">
        <v>44</v>
      </c>
      <c r="I8" s="28" t="s">
        <v>24</v>
      </c>
      <c r="J8" s="30">
        <v>30.4</v>
      </c>
      <c r="K8" s="31">
        <f>130</f>
        <v>130</v>
      </c>
      <c r="L8" s="140">
        <f t="shared" si="0"/>
        <v>55</v>
      </c>
      <c r="M8" s="140">
        <f t="shared" si="1"/>
        <v>55</v>
      </c>
      <c r="N8" s="141">
        <v>-5</v>
      </c>
      <c r="O8" s="142">
        <f t="shared" si="2"/>
        <v>32</v>
      </c>
      <c r="P8" s="141"/>
      <c r="Q8" s="141"/>
      <c r="R8" s="141"/>
      <c r="S8" s="143">
        <f t="shared" si="3"/>
        <v>70</v>
      </c>
      <c r="T8" s="32" t="str">
        <f t="shared" si="4"/>
        <v>OK</v>
      </c>
      <c r="U8" s="102">
        <v>30</v>
      </c>
      <c r="V8" s="35"/>
      <c r="W8" s="36"/>
      <c r="X8" s="103">
        <v>9</v>
      </c>
      <c r="Y8" s="34">
        <v>3</v>
      </c>
      <c r="Z8" s="34">
        <v>13</v>
      </c>
      <c r="AA8" s="34"/>
      <c r="AB8" s="34"/>
      <c r="AC8" s="34"/>
      <c r="AD8" s="34"/>
      <c r="AE8" s="34"/>
      <c r="AF8" s="34"/>
      <c r="AG8" s="34"/>
      <c r="AH8" s="34"/>
      <c r="AI8" s="34"/>
    </row>
    <row r="9" spans="1:35" ht="21.75" customHeight="1" x14ac:dyDescent="0.2">
      <c r="A9" s="216">
        <v>2</v>
      </c>
      <c r="B9" s="190" t="s">
        <v>31</v>
      </c>
      <c r="C9" s="40">
        <v>6</v>
      </c>
      <c r="D9" s="199" t="s">
        <v>40</v>
      </c>
      <c r="E9" s="39" t="s">
        <v>35</v>
      </c>
      <c r="F9" s="41" t="s">
        <v>16</v>
      </c>
      <c r="G9" s="41" t="s">
        <v>17</v>
      </c>
      <c r="H9" s="41" t="s">
        <v>44</v>
      </c>
      <c r="I9" s="39" t="s">
        <v>24</v>
      </c>
      <c r="J9" s="42">
        <v>14.21</v>
      </c>
      <c r="K9" s="31">
        <v>0</v>
      </c>
      <c r="L9" s="140">
        <f t="shared" si="0"/>
        <v>0</v>
      </c>
      <c r="M9" s="140">
        <f t="shared" si="1"/>
        <v>0</v>
      </c>
      <c r="N9" s="141"/>
      <c r="O9" s="142">
        <f t="shared" si="2"/>
        <v>0</v>
      </c>
      <c r="P9" s="141"/>
      <c r="Q9" s="141"/>
      <c r="R9" s="141"/>
      <c r="S9" s="143">
        <f t="shared" si="3"/>
        <v>0</v>
      </c>
      <c r="T9" s="32" t="str">
        <f t="shared" si="4"/>
        <v>OK</v>
      </c>
      <c r="U9" s="104"/>
      <c r="V9" s="35"/>
      <c r="W9" s="36"/>
      <c r="X9" s="36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</row>
    <row r="10" spans="1:35" ht="20.25" customHeight="1" x14ac:dyDescent="0.2">
      <c r="A10" s="217"/>
      <c r="B10" s="191"/>
      <c r="C10" s="40">
        <v>7</v>
      </c>
      <c r="D10" s="200"/>
      <c r="E10" s="39" t="s">
        <v>41</v>
      </c>
      <c r="F10" s="41" t="s">
        <v>16</v>
      </c>
      <c r="G10" s="41" t="s">
        <v>17</v>
      </c>
      <c r="H10" s="41" t="s">
        <v>44</v>
      </c>
      <c r="I10" s="39" t="s">
        <v>24</v>
      </c>
      <c r="J10" s="42">
        <v>20.9</v>
      </c>
      <c r="K10" s="31">
        <v>0</v>
      </c>
      <c r="L10" s="140">
        <f t="shared" si="0"/>
        <v>0</v>
      </c>
      <c r="M10" s="140">
        <f t="shared" si="1"/>
        <v>0</v>
      </c>
      <c r="N10" s="141"/>
      <c r="O10" s="142">
        <f t="shared" si="2"/>
        <v>0</v>
      </c>
      <c r="P10" s="141"/>
      <c r="Q10" s="141"/>
      <c r="R10" s="141"/>
      <c r="S10" s="143">
        <f t="shared" si="3"/>
        <v>0</v>
      </c>
      <c r="T10" s="32" t="str">
        <f t="shared" si="4"/>
        <v>OK</v>
      </c>
      <c r="U10" s="104"/>
      <c r="V10" s="35"/>
      <c r="W10" s="36"/>
      <c r="X10" s="36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</row>
    <row r="11" spans="1:35" ht="25.5" x14ac:dyDescent="0.2">
      <c r="A11" s="203">
        <v>3</v>
      </c>
      <c r="B11" s="196" t="s">
        <v>42</v>
      </c>
      <c r="C11" s="26">
        <v>8</v>
      </c>
      <c r="D11" s="201" t="s">
        <v>45</v>
      </c>
      <c r="E11" s="28" t="s">
        <v>46</v>
      </c>
      <c r="F11" s="29" t="s">
        <v>16</v>
      </c>
      <c r="G11" s="29" t="s">
        <v>17</v>
      </c>
      <c r="H11" s="29" t="s">
        <v>44</v>
      </c>
      <c r="I11" s="28" t="s">
        <v>24</v>
      </c>
      <c r="J11" s="30">
        <v>423</v>
      </c>
      <c r="K11" s="31">
        <v>0</v>
      </c>
      <c r="L11" s="140">
        <f t="shared" si="0"/>
        <v>0</v>
      </c>
      <c r="M11" s="140">
        <f t="shared" si="1"/>
        <v>0</v>
      </c>
      <c r="N11" s="141"/>
      <c r="O11" s="142">
        <f t="shared" si="2"/>
        <v>0</v>
      </c>
      <c r="P11" s="141"/>
      <c r="Q11" s="141"/>
      <c r="R11" s="141"/>
      <c r="S11" s="143">
        <f t="shared" si="3"/>
        <v>0</v>
      </c>
      <c r="T11" s="32" t="str">
        <f t="shared" si="4"/>
        <v>OK</v>
      </c>
      <c r="U11" s="104"/>
      <c r="V11" s="35"/>
      <c r="W11" s="36"/>
      <c r="X11" s="36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</row>
    <row r="12" spans="1:35" ht="21.2" customHeight="1" x14ac:dyDescent="0.2">
      <c r="A12" s="204"/>
      <c r="B12" s="206"/>
      <c r="C12" s="26">
        <v>9</v>
      </c>
      <c r="D12" s="207"/>
      <c r="E12" s="28" t="s">
        <v>47</v>
      </c>
      <c r="F12" s="29" t="s">
        <v>16</v>
      </c>
      <c r="G12" s="29" t="s">
        <v>17</v>
      </c>
      <c r="H12" s="29" t="s">
        <v>44</v>
      </c>
      <c r="I12" s="28" t="s">
        <v>24</v>
      </c>
      <c r="J12" s="30">
        <v>1613</v>
      </c>
      <c r="K12" s="31">
        <v>22</v>
      </c>
      <c r="L12" s="140">
        <f t="shared" si="0"/>
        <v>2</v>
      </c>
      <c r="M12" s="140">
        <f t="shared" si="1"/>
        <v>2</v>
      </c>
      <c r="N12" s="141"/>
      <c r="O12" s="142">
        <f t="shared" si="2"/>
        <v>5</v>
      </c>
      <c r="P12" s="141"/>
      <c r="Q12" s="141"/>
      <c r="R12" s="141"/>
      <c r="S12" s="143">
        <f t="shared" si="3"/>
        <v>20</v>
      </c>
      <c r="T12" s="32" t="str">
        <f t="shared" si="4"/>
        <v>OK</v>
      </c>
      <c r="U12" s="104"/>
      <c r="V12" s="96">
        <v>2</v>
      </c>
      <c r="W12" s="36"/>
      <c r="X12" s="36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</row>
    <row r="13" spans="1:35" ht="19.5" customHeight="1" x14ac:dyDescent="0.2">
      <c r="A13" s="205"/>
      <c r="B13" s="197"/>
      <c r="C13" s="26">
        <v>10</v>
      </c>
      <c r="D13" s="202"/>
      <c r="E13" s="28" t="s">
        <v>48</v>
      </c>
      <c r="F13" s="29" t="s">
        <v>16</v>
      </c>
      <c r="G13" s="29" t="s">
        <v>17</v>
      </c>
      <c r="H13" s="29" t="s">
        <v>44</v>
      </c>
      <c r="I13" s="28" t="s">
        <v>24</v>
      </c>
      <c r="J13" s="30">
        <v>1749</v>
      </c>
      <c r="K13" s="31">
        <f>10</f>
        <v>10</v>
      </c>
      <c r="L13" s="140">
        <f t="shared" si="0"/>
        <v>0</v>
      </c>
      <c r="M13" s="140">
        <f t="shared" si="1"/>
        <v>0</v>
      </c>
      <c r="N13" s="141">
        <f>-1-7</f>
        <v>-8</v>
      </c>
      <c r="O13" s="142">
        <f t="shared" si="2"/>
        <v>2</v>
      </c>
      <c r="P13" s="141"/>
      <c r="Q13" s="141"/>
      <c r="R13" s="141"/>
      <c r="S13" s="143">
        <f t="shared" si="3"/>
        <v>2</v>
      </c>
      <c r="T13" s="32" t="str">
        <f t="shared" si="4"/>
        <v>OK</v>
      </c>
      <c r="U13" s="104"/>
      <c r="V13" s="35"/>
      <c r="W13" s="36"/>
      <c r="X13" s="36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</row>
    <row r="14" spans="1:35" ht="25.15" customHeight="1" x14ac:dyDescent="0.2">
      <c r="A14" s="208">
        <v>4</v>
      </c>
      <c r="B14" s="209" t="s">
        <v>49</v>
      </c>
      <c r="C14" s="40">
        <v>11</v>
      </c>
      <c r="D14" s="211" t="s">
        <v>50</v>
      </c>
      <c r="E14" s="39" t="s">
        <v>51</v>
      </c>
      <c r="F14" s="41" t="s">
        <v>16</v>
      </c>
      <c r="G14" s="41" t="s">
        <v>17</v>
      </c>
      <c r="H14" s="41" t="s">
        <v>44</v>
      </c>
      <c r="I14" s="39" t="s">
        <v>53</v>
      </c>
      <c r="J14" s="42">
        <v>19.63</v>
      </c>
      <c r="K14" s="31">
        <v>314</v>
      </c>
      <c r="L14" s="140">
        <f t="shared" si="0"/>
        <v>19</v>
      </c>
      <c r="M14" s="140">
        <f t="shared" si="1"/>
        <v>19</v>
      </c>
      <c r="N14" s="141"/>
      <c r="O14" s="142">
        <f t="shared" si="2"/>
        <v>78</v>
      </c>
      <c r="P14" s="141"/>
      <c r="Q14" s="141"/>
      <c r="R14" s="141"/>
      <c r="S14" s="143">
        <f t="shared" si="3"/>
        <v>295</v>
      </c>
      <c r="T14" s="32" t="str">
        <f t="shared" si="4"/>
        <v>OK</v>
      </c>
      <c r="U14" s="104"/>
      <c r="V14" s="35"/>
      <c r="W14" s="103">
        <v>19</v>
      </c>
      <c r="X14" s="36"/>
      <c r="Y14" s="36"/>
      <c r="Z14" s="36"/>
      <c r="AA14" s="34"/>
      <c r="AB14" s="34"/>
      <c r="AC14" s="34"/>
      <c r="AD14" s="34"/>
      <c r="AE14" s="34"/>
      <c r="AF14" s="34"/>
      <c r="AG14" s="34"/>
      <c r="AH14" s="34"/>
      <c r="AI14" s="34"/>
    </row>
    <row r="15" spans="1:35" ht="22.7" customHeight="1" x14ac:dyDescent="0.2">
      <c r="A15" s="208"/>
      <c r="B15" s="210"/>
      <c r="C15" s="40">
        <v>12</v>
      </c>
      <c r="D15" s="212"/>
      <c r="E15" s="39" t="s">
        <v>52</v>
      </c>
      <c r="F15" s="41" t="s">
        <v>16</v>
      </c>
      <c r="G15" s="41" t="s">
        <v>17</v>
      </c>
      <c r="H15" s="41" t="s">
        <v>44</v>
      </c>
      <c r="I15" s="39" t="s">
        <v>24</v>
      </c>
      <c r="J15" s="42">
        <v>20.27</v>
      </c>
      <c r="K15" s="31">
        <v>50</v>
      </c>
      <c r="L15" s="140">
        <f t="shared" si="0"/>
        <v>0</v>
      </c>
      <c r="M15" s="140">
        <f t="shared" si="1"/>
        <v>0</v>
      </c>
      <c r="N15" s="141"/>
      <c r="O15" s="142">
        <f t="shared" si="2"/>
        <v>12</v>
      </c>
      <c r="P15" s="141"/>
      <c r="Q15" s="141"/>
      <c r="R15" s="141"/>
      <c r="S15" s="143">
        <f t="shared" si="3"/>
        <v>50</v>
      </c>
      <c r="T15" s="32" t="str">
        <f t="shared" si="4"/>
        <v>OK</v>
      </c>
      <c r="U15" s="104"/>
      <c r="V15" s="35"/>
      <c r="W15" s="36"/>
      <c r="X15" s="36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</row>
    <row r="16" spans="1:35" ht="45" customHeight="1" x14ac:dyDescent="0.2">
      <c r="A16" s="48">
        <v>5</v>
      </c>
      <c r="B16" s="28" t="s">
        <v>49</v>
      </c>
      <c r="C16" s="26">
        <v>13</v>
      </c>
      <c r="D16" s="49" t="s">
        <v>54</v>
      </c>
      <c r="E16" s="63" t="s">
        <v>55</v>
      </c>
      <c r="F16" s="50" t="s">
        <v>16</v>
      </c>
      <c r="G16" s="50" t="s">
        <v>17</v>
      </c>
      <c r="H16" s="29" t="s">
        <v>44</v>
      </c>
      <c r="I16" s="28" t="s">
        <v>53</v>
      </c>
      <c r="J16" s="30">
        <v>28.9</v>
      </c>
      <c r="K16" s="31">
        <v>160</v>
      </c>
      <c r="L16" s="140">
        <f t="shared" si="0"/>
        <v>0</v>
      </c>
      <c r="M16" s="140">
        <f t="shared" si="1"/>
        <v>0</v>
      </c>
      <c r="N16" s="141"/>
      <c r="O16" s="142">
        <f t="shared" si="2"/>
        <v>40</v>
      </c>
      <c r="P16" s="141"/>
      <c r="Q16" s="141"/>
      <c r="R16" s="141"/>
      <c r="S16" s="143">
        <f t="shared" si="3"/>
        <v>160</v>
      </c>
      <c r="T16" s="32" t="str">
        <f t="shared" si="4"/>
        <v>OK</v>
      </c>
      <c r="U16" s="104"/>
      <c r="V16" s="35"/>
      <c r="W16" s="36"/>
      <c r="X16" s="36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</row>
    <row r="17" spans="1:35" ht="45.75" customHeight="1" x14ac:dyDescent="0.2">
      <c r="A17" s="38">
        <v>6</v>
      </c>
      <c r="B17" s="47" t="s">
        <v>49</v>
      </c>
      <c r="C17" s="40">
        <v>14</v>
      </c>
      <c r="D17" s="47" t="s">
        <v>57</v>
      </c>
      <c r="E17" s="39" t="s">
        <v>56</v>
      </c>
      <c r="F17" s="41" t="s">
        <v>16</v>
      </c>
      <c r="G17" s="41" t="s">
        <v>17</v>
      </c>
      <c r="H17" s="41" t="s">
        <v>44</v>
      </c>
      <c r="I17" s="39" t="s">
        <v>24</v>
      </c>
      <c r="J17" s="42">
        <v>9.5</v>
      </c>
      <c r="K17" s="31">
        <v>360</v>
      </c>
      <c r="L17" s="140">
        <f t="shared" si="0"/>
        <v>32</v>
      </c>
      <c r="M17" s="140">
        <f t="shared" si="1"/>
        <v>32</v>
      </c>
      <c r="N17" s="141"/>
      <c r="O17" s="142">
        <f t="shared" si="2"/>
        <v>90</v>
      </c>
      <c r="P17" s="141"/>
      <c r="Q17" s="141"/>
      <c r="R17" s="141"/>
      <c r="S17" s="143">
        <f t="shared" si="3"/>
        <v>328</v>
      </c>
      <c r="T17" s="32" t="str">
        <f t="shared" si="4"/>
        <v>OK</v>
      </c>
      <c r="U17" s="104"/>
      <c r="V17" s="35"/>
      <c r="W17" s="105"/>
      <c r="X17" s="36"/>
      <c r="Y17" s="34"/>
      <c r="Z17" s="36"/>
      <c r="AA17" s="34">
        <v>32</v>
      </c>
      <c r="AB17" s="34"/>
      <c r="AC17" s="34"/>
      <c r="AD17" s="34"/>
      <c r="AE17" s="34"/>
      <c r="AF17" s="34"/>
      <c r="AG17" s="34"/>
      <c r="AH17" s="34"/>
      <c r="AI17" s="34"/>
    </row>
    <row r="18" spans="1:35" ht="63.75" customHeight="1" x14ac:dyDescent="0.2">
      <c r="A18" s="65">
        <v>7</v>
      </c>
      <c r="B18" s="28" t="s">
        <v>49</v>
      </c>
      <c r="C18" s="64">
        <v>15</v>
      </c>
      <c r="D18" s="37" t="s">
        <v>58</v>
      </c>
      <c r="E18" s="61" t="s">
        <v>59</v>
      </c>
      <c r="F18" s="29" t="s">
        <v>16</v>
      </c>
      <c r="G18" s="29" t="s">
        <v>17</v>
      </c>
      <c r="H18" s="29" t="s">
        <v>44</v>
      </c>
      <c r="I18" s="28" t="s">
        <v>24</v>
      </c>
      <c r="J18" s="30">
        <v>197.76</v>
      </c>
      <c r="K18" s="31">
        <v>50</v>
      </c>
      <c r="L18" s="140">
        <f t="shared" si="0"/>
        <v>0</v>
      </c>
      <c r="M18" s="140">
        <f t="shared" si="1"/>
        <v>0</v>
      </c>
      <c r="N18" s="141"/>
      <c r="O18" s="142">
        <f t="shared" si="2"/>
        <v>12</v>
      </c>
      <c r="P18" s="141"/>
      <c r="Q18" s="141"/>
      <c r="R18" s="141"/>
      <c r="S18" s="143">
        <f t="shared" si="3"/>
        <v>50</v>
      </c>
      <c r="T18" s="32" t="str">
        <f t="shared" si="4"/>
        <v>OK</v>
      </c>
      <c r="U18" s="104"/>
      <c r="V18" s="35"/>
      <c r="W18" s="105"/>
      <c r="X18" s="36"/>
      <c r="Y18" s="34"/>
      <c r="Z18" s="36"/>
      <c r="AA18" s="34"/>
      <c r="AB18" s="34"/>
      <c r="AC18" s="34"/>
      <c r="AD18" s="34"/>
      <c r="AE18" s="34"/>
      <c r="AF18" s="34"/>
      <c r="AG18" s="34"/>
      <c r="AH18" s="34"/>
      <c r="AI18" s="34"/>
    </row>
    <row r="19" spans="1:35" ht="38.25" customHeight="1" x14ac:dyDescent="0.2">
      <c r="A19" s="188">
        <v>8</v>
      </c>
      <c r="B19" s="190" t="s">
        <v>49</v>
      </c>
      <c r="C19" s="40">
        <v>16</v>
      </c>
      <c r="D19" s="199" t="s">
        <v>12</v>
      </c>
      <c r="E19" s="39" t="s">
        <v>60</v>
      </c>
      <c r="F19" s="41" t="s">
        <v>16</v>
      </c>
      <c r="G19" s="41" t="s">
        <v>17</v>
      </c>
      <c r="H19" s="41" t="s">
        <v>44</v>
      </c>
      <c r="I19" s="39" t="s">
        <v>24</v>
      </c>
      <c r="J19" s="42">
        <v>22.35</v>
      </c>
      <c r="K19" s="31">
        <v>60</v>
      </c>
      <c r="L19" s="140">
        <f t="shared" si="0"/>
        <v>0</v>
      </c>
      <c r="M19" s="140">
        <f t="shared" si="1"/>
        <v>0</v>
      </c>
      <c r="N19" s="141"/>
      <c r="O19" s="142">
        <f t="shared" si="2"/>
        <v>15</v>
      </c>
      <c r="P19" s="141"/>
      <c r="Q19" s="141"/>
      <c r="R19" s="141"/>
      <c r="S19" s="143">
        <f t="shared" si="3"/>
        <v>60</v>
      </c>
      <c r="T19" s="32" t="str">
        <f t="shared" si="4"/>
        <v>OK</v>
      </c>
      <c r="U19" s="104"/>
      <c r="V19" s="35"/>
      <c r="W19" s="105"/>
      <c r="X19" s="36"/>
      <c r="Y19" s="34"/>
      <c r="Z19" s="36"/>
      <c r="AA19" s="34"/>
      <c r="AB19" s="34"/>
      <c r="AC19" s="34"/>
      <c r="AD19" s="34"/>
      <c r="AE19" s="34"/>
      <c r="AF19" s="34"/>
      <c r="AG19" s="34"/>
      <c r="AH19" s="34"/>
      <c r="AI19" s="34"/>
    </row>
    <row r="20" spans="1:35" ht="45" customHeight="1" x14ac:dyDescent="0.2">
      <c r="A20" s="189"/>
      <c r="B20" s="191"/>
      <c r="C20" s="40">
        <v>17</v>
      </c>
      <c r="D20" s="200"/>
      <c r="E20" s="39" t="s">
        <v>61</v>
      </c>
      <c r="F20" s="44" t="s">
        <v>16</v>
      </c>
      <c r="G20" s="44" t="s">
        <v>17</v>
      </c>
      <c r="H20" s="41" t="s">
        <v>44</v>
      </c>
      <c r="I20" s="39" t="s">
        <v>24</v>
      </c>
      <c r="J20" s="42">
        <v>4.5999999999999996</v>
      </c>
      <c r="K20" s="31">
        <v>110</v>
      </c>
      <c r="L20" s="140">
        <f t="shared" si="0"/>
        <v>0</v>
      </c>
      <c r="M20" s="140">
        <f t="shared" si="1"/>
        <v>0</v>
      </c>
      <c r="N20" s="141"/>
      <c r="O20" s="142">
        <f t="shared" si="2"/>
        <v>27</v>
      </c>
      <c r="P20" s="141"/>
      <c r="Q20" s="141"/>
      <c r="R20" s="141"/>
      <c r="S20" s="143">
        <f t="shared" si="3"/>
        <v>110</v>
      </c>
      <c r="T20" s="32" t="str">
        <f t="shared" si="4"/>
        <v>OK</v>
      </c>
      <c r="U20" s="104"/>
      <c r="V20" s="35"/>
      <c r="W20" s="105"/>
      <c r="X20" s="36"/>
      <c r="Y20" s="34"/>
      <c r="Z20" s="45"/>
      <c r="AA20" s="34"/>
      <c r="AB20" s="34"/>
      <c r="AC20" s="34"/>
      <c r="AD20" s="34"/>
      <c r="AE20" s="34"/>
      <c r="AF20" s="34"/>
      <c r="AG20" s="34"/>
      <c r="AH20" s="34"/>
      <c r="AI20" s="34"/>
    </row>
    <row r="21" spans="1:35" ht="58.7" customHeight="1" x14ac:dyDescent="0.2">
      <c r="A21" s="48">
        <v>9</v>
      </c>
      <c r="B21" s="28" t="s">
        <v>62</v>
      </c>
      <c r="C21" s="26">
        <v>18</v>
      </c>
      <c r="D21" s="27" t="s">
        <v>63</v>
      </c>
      <c r="E21" s="28" t="s">
        <v>64</v>
      </c>
      <c r="F21" s="50" t="s">
        <v>16</v>
      </c>
      <c r="G21" s="50" t="s">
        <v>17</v>
      </c>
      <c r="H21" s="29" t="s">
        <v>44</v>
      </c>
      <c r="I21" s="28" t="s">
        <v>24</v>
      </c>
      <c r="J21" s="30">
        <v>3.46</v>
      </c>
      <c r="K21" s="31">
        <f>60</f>
        <v>60</v>
      </c>
      <c r="L21" s="140">
        <f t="shared" si="0"/>
        <v>0</v>
      </c>
      <c r="M21" s="140">
        <f t="shared" si="1"/>
        <v>0</v>
      </c>
      <c r="N21" s="141">
        <v>-37</v>
      </c>
      <c r="O21" s="142">
        <f t="shared" si="2"/>
        <v>15</v>
      </c>
      <c r="P21" s="141"/>
      <c r="Q21" s="141"/>
      <c r="R21" s="141"/>
      <c r="S21" s="143">
        <f t="shared" si="3"/>
        <v>23</v>
      </c>
      <c r="T21" s="32" t="str">
        <f t="shared" si="4"/>
        <v>OK</v>
      </c>
      <c r="U21" s="104"/>
      <c r="V21" s="35"/>
      <c r="W21" s="105"/>
      <c r="X21" s="36"/>
      <c r="Y21" s="34"/>
      <c r="Z21" s="45"/>
      <c r="AA21" s="34"/>
      <c r="AB21" s="34"/>
      <c r="AC21" s="34"/>
      <c r="AD21" s="34"/>
      <c r="AE21" s="34"/>
      <c r="AF21" s="34"/>
      <c r="AG21" s="34"/>
      <c r="AH21" s="34"/>
      <c r="AI21" s="34"/>
    </row>
    <row r="22" spans="1:35" ht="45" customHeight="1" x14ac:dyDescent="0.2">
      <c r="A22" s="38">
        <v>10</v>
      </c>
      <c r="B22" s="47" t="s">
        <v>31</v>
      </c>
      <c r="C22" s="40">
        <v>19</v>
      </c>
      <c r="D22" s="47" t="s">
        <v>27</v>
      </c>
      <c r="E22" s="39" t="s">
        <v>23</v>
      </c>
      <c r="F22" s="44" t="s">
        <v>16</v>
      </c>
      <c r="G22" s="44" t="s">
        <v>17</v>
      </c>
      <c r="H22" s="41" t="s">
        <v>44</v>
      </c>
      <c r="I22" s="39" t="s">
        <v>24</v>
      </c>
      <c r="J22" s="42">
        <v>0.4</v>
      </c>
      <c r="K22" s="31">
        <v>500</v>
      </c>
      <c r="L22" s="140">
        <f t="shared" si="0"/>
        <v>500</v>
      </c>
      <c r="M22" s="140">
        <f t="shared" si="1"/>
        <v>500</v>
      </c>
      <c r="N22" s="141"/>
      <c r="O22" s="142">
        <f t="shared" si="2"/>
        <v>125</v>
      </c>
      <c r="P22" s="141"/>
      <c r="Q22" s="141"/>
      <c r="R22" s="141"/>
      <c r="S22" s="143">
        <f t="shared" si="3"/>
        <v>0</v>
      </c>
      <c r="T22" s="32" t="str">
        <f t="shared" si="4"/>
        <v>OK</v>
      </c>
      <c r="U22" s="104"/>
      <c r="V22" s="35"/>
      <c r="W22" s="105"/>
      <c r="X22" s="36"/>
      <c r="Y22" s="34"/>
      <c r="Z22" s="166">
        <v>500</v>
      </c>
      <c r="AA22" s="36"/>
      <c r="AB22" s="34"/>
      <c r="AC22" s="34"/>
      <c r="AD22" s="34"/>
      <c r="AE22" s="34"/>
      <c r="AF22" s="34"/>
      <c r="AG22" s="34"/>
      <c r="AH22" s="34"/>
      <c r="AI22" s="34"/>
    </row>
    <row r="23" spans="1:35" ht="28.15" customHeight="1" x14ac:dyDescent="0.2">
      <c r="A23" s="194">
        <v>11</v>
      </c>
      <c r="B23" s="196" t="s">
        <v>65</v>
      </c>
      <c r="C23" s="26">
        <v>20</v>
      </c>
      <c r="D23" s="201" t="s">
        <v>25</v>
      </c>
      <c r="E23" s="28" t="s">
        <v>19</v>
      </c>
      <c r="F23" s="50" t="s">
        <v>16</v>
      </c>
      <c r="G23" s="50" t="s">
        <v>17</v>
      </c>
      <c r="H23" s="29" t="s">
        <v>44</v>
      </c>
      <c r="I23" s="28" t="s">
        <v>24</v>
      </c>
      <c r="J23" s="30">
        <v>3.95</v>
      </c>
      <c r="K23" s="31">
        <v>60</v>
      </c>
      <c r="L23" s="140">
        <f t="shared" si="0"/>
        <v>0</v>
      </c>
      <c r="M23" s="140">
        <f t="shared" si="1"/>
        <v>0</v>
      </c>
      <c r="N23" s="141"/>
      <c r="O23" s="142">
        <f t="shared" si="2"/>
        <v>15</v>
      </c>
      <c r="P23" s="141"/>
      <c r="Q23" s="141"/>
      <c r="R23" s="141"/>
      <c r="S23" s="143">
        <f t="shared" si="3"/>
        <v>60</v>
      </c>
      <c r="T23" s="32" t="str">
        <f t="shared" si="4"/>
        <v>OK</v>
      </c>
      <c r="U23" s="104"/>
      <c r="V23" s="35"/>
      <c r="W23" s="105"/>
      <c r="X23" s="36"/>
      <c r="Y23" s="34"/>
      <c r="Z23" s="45"/>
      <c r="AA23" s="36"/>
      <c r="AB23" s="34"/>
      <c r="AC23" s="34"/>
      <c r="AD23" s="34"/>
      <c r="AE23" s="34"/>
      <c r="AF23" s="34"/>
      <c r="AG23" s="34"/>
      <c r="AH23" s="34"/>
      <c r="AI23" s="34"/>
    </row>
    <row r="24" spans="1:35" ht="25.15" customHeight="1" x14ac:dyDescent="0.2">
      <c r="A24" s="195"/>
      <c r="B24" s="197"/>
      <c r="C24" s="26">
        <v>21</v>
      </c>
      <c r="D24" s="202"/>
      <c r="E24" s="28" t="s">
        <v>20</v>
      </c>
      <c r="F24" s="50" t="s">
        <v>16</v>
      </c>
      <c r="G24" s="50" t="s">
        <v>17</v>
      </c>
      <c r="H24" s="29" t="s">
        <v>44</v>
      </c>
      <c r="I24" s="28" t="s">
        <v>24</v>
      </c>
      <c r="J24" s="30">
        <v>2.41</v>
      </c>
      <c r="K24" s="31">
        <f>110</f>
        <v>110</v>
      </c>
      <c r="L24" s="140">
        <f t="shared" si="0"/>
        <v>0</v>
      </c>
      <c r="M24" s="140">
        <f t="shared" si="1"/>
        <v>0</v>
      </c>
      <c r="N24" s="141">
        <f>-110</f>
        <v>-110</v>
      </c>
      <c r="O24" s="142">
        <f t="shared" si="2"/>
        <v>27</v>
      </c>
      <c r="P24" s="141"/>
      <c r="Q24" s="141"/>
      <c r="R24" s="141"/>
      <c r="S24" s="143">
        <f t="shared" si="3"/>
        <v>0</v>
      </c>
      <c r="T24" s="32" t="str">
        <f t="shared" si="4"/>
        <v>OK</v>
      </c>
      <c r="U24" s="104"/>
      <c r="V24" s="35"/>
      <c r="W24" s="105"/>
      <c r="X24" s="36"/>
      <c r="Y24" s="34"/>
      <c r="Z24" s="45"/>
      <c r="AA24" s="34"/>
      <c r="AB24" s="34"/>
      <c r="AC24" s="34"/>
      <c r="AD24" s="34"/>
      <c r="AE24" s="34"/>
      <c r="AF24" s="34"/>
      <c r="AG24" s="34"/>
      <c r="AH24" s="34"/>
      <c r="AI24" s="34"/>
    </row>
    <row r="25" spans="1:35" ht="26.45" customHeight="1" x14ac:dyDescent="0.2">
      <c r="A25" s="188">
        <v>12</v>
      </c>
      <c r="B25" s="190" t="s">
        <v>62</v>
      </c>
      <c r="C25" s="40">
        <v>22</v>
      </c>
      <c r="D25" s="199" t="s">
        <v>26</v>
      </c>
      <c r="E25" s="39" t="s">
        <v>19</v>
      </c>
      <c r="F25" s="44" t="s">
        <v>16</v>
      </c>
      <c r="G25" s="44" t="s">
        <v>17</v>
      </c>
      <c r="H25" s="41" t="s">
        <v>44</v>
      </c>
      <c r="I25" s="39" t="s">
        <v>24</v>
      </c>
      <c r="J25" s="42">
        <v>2.48</v>
      </c>
      <c r="K25" s="31">
        <v>50</v>
      </c>
      <c r="L25" s="140">
        <f t="shared" si="0"/>
        <v>0</v>
      </c>
      <c r="M25" s="140">
        <f t="shared" si="1"/>
        <v>0</v>
      </c>
      <c r="N25" s="141">
        <v>-50</v>
      </c>
      <c r="O25" s="142">
        <f t="shared" si="2"/>
        <v>12</v>
      </c>
      <c r="P25" s="141"/>
      <c r="Q25" s="141"/>
      <c r="R25" s="141"/>
      <c r="S25" s="143">
        <f t="shared" si="3"/>
        <v>0</v>
      </c>
      <c r="T25" s="32" t="str">
        <f t="shared" si="4"/>
        <v>OK</v>
      </c>
      <c r="U25" s="104"/>
      <c r="V25" s="35"/>
      <c r="W25" s="105"/>
      <c r="X25" s="36"/>
      <c r="Y25" s="34"/>
      <c r="Z25" s="45"/>
      <c r="AA25" s="34"/>
      <c r="AB25" s="34"/>
      <c r="AC25" s="34"/>
      <c r="AD25" s="34"/>
      <c r="AE25" s="34"/>
      <c r="AF25" s="34"/>
      <c r="AG25" s="34"/>
      <c r="AH25" s="34"/>
      <c r="AI25" s="34"/>
    </row>
    <row r="26" spans="1:35" ht="24.4" customHeight="1" x14ac:dyDescent="0.2">
      <c r="A26" s="189"/>
      <c r="B26" s="191"/>
      <c r="C26" s="40">
        <v>23</v>
      </c>
      <c r="D26" s="200"/>
      <c r="E26" s="43" t="s">
        <v>20</v>
      </c>
      <c r="F26" s="44" t="s">
        <v>16</v>
      </c>
      <c r="G26" s="44" t="s">
        <v>17</v>
      </c>
      <c r="H26" s="41" t="s">
        <v>44</v>
      </c>
      <c r="I26" s="39" t="s">
        <v>24</v>
      </c>
      <c r="J26" s="42">
        <v>1.2</v>
      </c>
      <c r="K26" s="31">
        <v>110</v>
      </c>
      <c r="L26" s="140">
        <f t="shared" si="0"/>
        <v>0</v>
      </c>
      <c r="M26" s="140">
        <f t="shared" si="1"/>
        <v>0</v>
      </c>
      <c r="N26" s="141">
        <v>-110</v>
      </c>
      <c r="O26" s="142">
        <f t="shared" si="2"/>
        <v>27</v>
      </c>
      <c r="P26" s="141"/>
      <c r="Q26" s="141"/>
      <c r="R26" s="141"/>
      <c r="S26" s="143">
        <f t="shared" si="3"/>
        <v>0</v>
      </c>
      <c r="T26" s="32" t="str">
        <f t="shared" si="4"/>
        <v>OK</v>
      </c>
      <c r="U26" s="104"/>
      <c r="V26" s="35"/>
      <c r="W26" s="105"/>
      <c r="X26" s="36"/>
      <c r="Y26" s="34"/>
      <c r="Z26" s="45"/>
      <c r="AA26" s="34"/>
      <c r="AB26" s="34"/>
      <c r="AC26" s="34"/>
      <c r="AD26" s="34"/>
      <c r="AE26" s="34"/>
      <c r="AF26" s="34"/>
      <c r="AG26" s="34"/>
      <c r="AH26" s="34"/>
      <c r="AI26" s="34"/>
    </row>
    <row r="27" spans="1:35" ht="24" customHeight="1" x14ac:dyDescent="0.2">
      <c r="A27" s="194">
        <v>13</v>
      </c>
      <c r="B27" s="196" t="s">
        <v>65</v>
      </c>
      <c r="C27" s="26">
        <v>24</v>
      </c>
      <c r="D27" s="201" t="s">
        <v>66</v>
      </c>
      <c r="E27" s="28" t="s">
        <v>21</v>
      </c>
      <c r="F27" s="50" t="s">
        <v>16</v>
      </c>
      <c r="G27" s="29" t="s">
        <v>17</v>
      </c>
      <c r="H27" s="29" t="s">
        <v>44</v>
      </c>
      <c r="I27" s="28" t="s">
        <v>24</v>
      </c>
      <c r="J27" s="30">
        <v>0.33</v>
      </c>
      <c r="K27" s="31">
        <v>110</v>
      </c>
      <c r="L27" s="140">
        <f t="shared" si="0"/>
        <v>0</v>
      </c>
      <c r="M27" s="140">
        <f t="shared" si="1"/>
        <v>0</v>
      </c>
      <c r="N27" s="141"/>
      <c r="O27" s="142">
        <f t="shared" si="2"/>
        <v>27</v>
      </c>
      <c r="P27" s="141"/>
      <c r="Q27" s="141"/>
      <c r="R27" s="141"/>
      <c r="S27" s="143">
        <f t="shared" si="3"/>
        <v>110</v>
      </c>
      <c r="T27" s="32" t="str">
        <f t="shared" si="4"/>
        <v>OK</v>
      </c>
      <c r="U27" s="104"/>
      <c r="V27" s="35"/>
      <c r="W27" s="105"/>
      <c r="X27" s="36"/>
      <c r="Y27" s="34"/>
      <c r="Z27" s="45"/>
      <c r="AA27" s="34"/>
      <c r="AB27" s="34"/>
      <c r="AC27" s="34"/>
      <c r="AD27" s="34"/>
      <c r="AE27" s="34"/>
      <c r="AF27" s="34"/>
      <c r="AG27" s="34"/>
      <c r="AH27" s="34"/>
      <c r="AI27" s="34"/>
    </row>
    <row r="28" spans="1:35" ht="30.2" customHeight="1" x14ac:dyDescent="0.2">
      <c r="A28" s="195"/>
      <c r="B28" s="197"/>
      <c r="C28" s="26">
        <v>25</v>
      </c>
      <c r="D28" s="202"/>
      <c r="E28" s="28" t="s">
        <v>22</v>
      </c>
      <c r="F28" s="50" t="s">
        <v>16</v>
      </c>
      <c r="G28" s="50" t="s">
        <v>17</v>
      </c>
      <c r="H28" s="29" t="s">
        <v>44</v>
      </c>
      <c r="I28" s="28" t="s">
        <v>24</v>
      </c>
      <c r="J28" s="30">
        <v>0.15</v>
      </c>
      <c r="K28" s="31">
        <v>1100</v>
      </c>
      <c r="L28" s="140">
        <f t="shared" si="0"/>
        <v>0</v>
      </c>
      <c r="M28" s="140">
        <f t="shared" si="1"/>
        <v>0</v>
      </c>
      <c r="N28" s="141">
        <v>-1100</v>
      </c>
      <c r="O28" s="142">
        <f t="shared" si="2"/>
        <v>275</v>
      </c>
      <c r="P28" s="141"/>
      <c r="Q28" s="141"/>
      <c r="R28" s="141"/>
      <c r="S28" s="143">
        <f t="shared" si="3"/>
        <v>0</v>
      </c>
      <c r="T28" s="32" t="str">
        <f t="shared" si="4"/>
        <v>OK</v>
      </c>
      <c r="U28" s="104"/>
      <c r="V28" s="35"/>
      <c r="W28" s="105"/>
      <c r="X28" s="36"/>
      <c r="Y28" s="34"/>
      <c r="Z28" s="45"/>
      <c r="AA28" s="34"/>
      <c r="AB28" s="34"/>
      <c r="AC28" s="34"/>
      <c r="AD28" s="34"/>
      <c r="AE28" s="34"/>
      <c r="AF28" s="34"/>
      <c r="AG28" s="34"/>
      <c r="AH28" s="34"/>
      <c r="AI28" s="34"/>
    </row>
    <row r="29" spans="1:35" ht="26.45" customHeight="1" x14ac:dyDescent="0.2">
      <c r="A29" s="188">
        <v>14</v>
      </c>
      <c r="B29" s="190" t="s">
        <v>65</v>
      </c>
      <c r="C29" s="40">
        <v>26</v>
      </c>
      <c r="D29" s="192" t="s">
        <v>67</v>
      </c>
      <c r="E29" s="66" t="s">
        <v>21</v>
      </c>
      <c r="F29" s="44" t="s">
        <v>16</v>
      </c>
      <c r="G29" s="44" t="s">
        <v>17</v>
      </c>
      <c r="H29" s="41" t="s">
        <v>44</v>
      </c>
      <c r="I29" s="39" t="s">
        <v>24</v>
      </c>
      <c r="J29" s="42">
        <v>0.33</v>
      </c>
      <c r="K29" s="31">
        <v>500</v>
      </c>
      <c r="L29" s="140">
        <f t="shared" si="0"/>
        <v>0</v>
      </c>
      <c r="M29" s="140">
        <f t="shared" si="1"/>
        <v>0</v>
      </c>
      <c r="N29" s="141"/>
      <c r="O29" s="142">
        <f t="shared" si="2"/>
        <v>125</v>
      </c>
      <c r="P29" s="141"/>
      <c r="Q29" s="141"/>
      <c r="R29" s="141"/>
      <c r="S29" s="143">
        <f t="shared" si="3"/>
        <v>500</v>
      </c>
      <c r="T29" s="32" t="str">
        <f t="shared" si="4"/>
        <v>OK</v>
      </c>
      <c r="U29" s="104"/>
      <c r="V29" s="35"/>
      <c r="W29" s="105"/>
      <c r="X29" s="36"/>
      <c r="Y29" s="34"/>
      <c r="Z29" s="45"/>
      <c r="AA29" s="34"/>
      <c r="AB29" s="34"/>
      <c r="AC29" s="34"/>
      <c r="AD29" s="34"/>
      <c r="AE29" s="34"/>
      <c r="AF29" s="34"/>
      <c r="AG29" s="34"/>
      <c r="AH29" s="34"/>
      <c r="AI29" s="34"/>
    </row>
    <row r="30" spans="1:35" ht="33.950000000000003" customHeight="1" x14ac:dyDescent="0.2">
      <c r="A30" s="189"/>
      <c r="B30" s="191"/>
      <c r="C30" s="40">
        <v>27</v>
      </c>
      <c r="D30" s="193"/>
      <c r="E30" s="66" t="s">
        <v>22</v>
      </c>
      <c r="F30" s="44" t="s">
        <v>16</v>
      </c>
      <c r="G30" s="44" t="s">
        <v>17</v>
      </c>
      <c r="H30" s="41" t="s">
        <v>44</v>
      </c>
      <c r="I30" s="39" t="s">
        <v>24</v>
      </c>
      <c r="J30" s="42">
        <v>0.23</v>
      </c>
      <c r="K30" s="31">
        <v>1500</v>
      </c>
      <c r="L30" s="140">
        <f t="shared" si="0"/>
        <v>0</v>
      </c>
      <c r="M30" s="140">
        <f t="shared" si="1"/>
        <v>0</v>
      </c>
      <c r="N30" s="141"/>
      <c r="O30" s="142">
        <f t="shared" si="2"/>
        <v>375</v>
      </c>
      <c r="P30" s="141"/>
      <c r="Q30" s="141"/>
      <c r="R30" s="141"/>
      <c r="S30" s="143">
        <f t="shared" si="3"/>
        <v>1500</v>
      </c>
      <c r="T30" s="32" t="str">
        <f t="shared" si="4"/>
        <v>OK</v>
      </c>
      <c r="U30" s="104"/>
      <c r="V30" s="35"/>
      <c r="W30" s="105"/>
      <c r="X30" s="36"/>
      <c r="Y30" s="34"/>
      <c r="Z30" s="45"/>
      <c r="AA30" s="34"/>
      <c r="AB30" s="34"/>
      <c r="AC30" s="34"/>
      <c r="AD30" s="34"/>
      <c r="AE30" s="34"/>
      <c r="AF30" s="34"/>
      <c r="AG30" s="34"/>
      <c r="AH30" s="34"/>
      <c r="AI30" s="34"/>
    </row>
    <row r="31" spans="1:35" ht="27" customHeight="1" x14ac:dyDescent="0.2">
      <c r="A31" s="194">
        <v>15</v>
      </c>
      <c r="B31" s="196" t="s">
        <v>31</v>
      </c>
      <c r="C31" s="68">
        <v>28</v>
      </c>
      <c r="D31" s="198" t="s">
        <v>68</v>
      </c>
      <c r="E31" s="28" t="s">
        <v>21</v>
      </c>
      <c r="F31" s="50" t="s">
        <v>16</v>
      </c>
      <c r="G31" s="50" t="s">
        <v>17</v>
      </c>
      <c r="H31" s="29" t="s">
        <v>44</v>
      </c>
      <c r="I31" s="28" t="s">
        <v>24</v>
      </c>
      <c r="J31" s="30">
        <v>0.4</v>
      </c>
      <c r="K31" s="31">
        <f>500</f>
        <v>500</v>
      </c>
      <c r="L31" s="140">
        <f t="shared" si="0"/>
        <v>0</v>
      </c>
      <c r="M31" s="140">
        <f t="shared" si="1"/>
        <v>0</v>
      </c>
      <c r="N31" s="141">
        <f>-200-200</f>
        <v>-400</v>
      </c>
      <c r="O31" s="142">
        <f t="shared" si="2"/>
        <v>125</v>
      </c>
      <c r="P31" s="141"/>
      <c r="Q31" s="141"/>
      <c r="R31" s="141"/>
      <c r="S31" s="143">
        <f t="shared" si="3"/>
        <v>100</v>
      </c>
      <c r="T31" s="32" t="str">
        <f t="shared" si="4"/>
        <v>OK</v>
      </c>
      <c r="U31" s="104"/>
      <c r="V31" s="35"/>
      <c r="W31" s="105"/>
      <c r="X31" s="36"/>
      <c r="Y31" s="34"/>
      <c r="Z31" s="45"/>
      <c r="AA31" s="34"/>
      <c r="AB31" s="34"/>
      <c r="AC31" s="34"/>
      <c r="AD31" s="34"/>
      <c r="AE31" s="34"/>
      <c r="AF31" s="34"/>
      <c r="AG31" s="34"/>
      <c r="AH31" s="34"/>
      <c r="AI31" s="34"/>
    </row>
    <row r="32" spans="1:35" ht="29.25" customHeight="1" x14ac:dyDescent="0.2">
      <c r="A32" s="195"/>
      <c r="B32" s="197"/>
      <c r="C32" s="26">
        <v>29</v>
      </c>
      <c r="D32" s="198"/>
      <c r="E32" s="28" t="s">
        <v>22</v>
      </c>
      <c r="F32" s="50" t="s">
        <v>16</v>
      </c>
      <c r="G32" s="50" t="s">
        <v>17</v>
      </c>
      <c r="H32" s="29" t="s">
        <v>44</v>
      </c>
      <c r="I32" s="28" t="s">
        <v>24</v>
      </c>
      <c r="J32" s="30">
        <v>0.44</v>
      </c>
      <c r="K32" s="31">
        <v>2000</v>
      </c>
      <c r="L32" s="140">
        <f t="shared" si="0"/>
        <v>0</v>
      </c>
      <c r="M32" s="140">
        <f t="shared" si="1"/>
        <v>0</v>
      </c>
      <c r="N32" s="141">
        <v>-2000</v>
      </c>
      <c r="O32" s="142">
        <f t="shared" si="2"/>
        <v>500</v>
      </c>
      <c r="P32" s="141"/>
      <c r="Q32" s="141"/>
      <c r="R32" s="141"/>
      <c r="S32" s="143">
        <f t="shared" si="3"/>
        <v>0</v>
      </c>
      <c r="T32" s="32" t="str">
        <f t="shared" si="4"/>
        <v>OK</v>
      </c>
      <c r="U32" s="104"/>
      <c r="V32" s="35"/>
      <c r="W32" s="36"/>
      <c r="X32" s="36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</row>
    <row r="33" spans="11:35" x14ac:dyDescent="0.2">
      <c r="K33" s="56">
        <f>SUM(K4:K32)</f>
        <v>7924</v>
      </c>
      <c r="S33" s="56">
        <f t="shared" ref="S33" si="5">SUM(S4:S32)</f>
        <v>3456</v>
      </c>
      <c r="U33" s="167">
        <f>SUMPRODUCT($J$4:$J$32,U4:U32)</f>
        <v>1359.25</v>
      </c>
      <c r="V33" s="113">
        <f t="shared" ref="V33:AA33" si="6">SUMPRODUCT($J$4:$J$32,V4:V32)</f>
        <v>3226</v>
      </c>
      <c r="W33" s="113">
        <f t="shared" si="6"/>
        <v>372.96999999999997</v>
      </c>
      <c r="X33" s="113">
        <f t="shared" si="6"/>
        <v>297.89999999999998</v>
      </c>
      <c r="Y33" s="111">
        <f t="shared" si="6"/>
        <v>303.2</v>
      </c>
      <c r="Z33" s="111">
        <f t="shared" si="6"/>
        <v>790.65</v>
      </c>
      <c r="AA33" s="111">
        <f t="shared" si="6"/>
        <v>304</v>
      </c>
      <c r="AB33" s="59">
        <f t="shared" ref="AB33:AI33" si="7">SUMPRODUCT($J$4:$J$32,AB4:AB32)</f>
        <v>0</v>
      </c>
      <c r="AC33" s="59">
        <f t="shared" si="7"/>
        <v>0</v>
      </c>
      <c r="AD33" s="59">
        <f t="shared" si="7"/>
        <v>0</v>
      </c>
      <c r="AE33" s="59">
        <f t="shared" si="7"/>
        <v>0</v>
      </c>
      <c r="AF33" s="59">
        <f t="shared" si="7"/>
        <v>0</v>
      </c>
      <c r="AG33" s="59">
        <f t="shared" si="7"/>
        <v>0</v>
      </c>
      <c r="AH33" s="59">
        <f t="shared" si="7"/>
        <v>0</v>
      </c>
      <c r="AI33" s="59">
        <f t="shared" si="7"/>
        <v>0</v>
      </c>
    </row>
    <row r="34" spans="11:35" x14ac:dyDescent="0.2">
      <c r="K34" s="148">
        <f>SUMPRODUCT($J$4:$J$32,K4:K32)</f>
        <v>88504.77</v>
      </c>
      <c r="L34" s="148">
        <f t="shared" ref="L34:M34" si="8">SUMPRODUCT($J$4:$J$32,L4:L32)</f>
        <v>6653.97</v>
      </c>
      <c r="M34" s="148">
        <f t="shared" si="8"/>
        <v>6653.97</v>
      </c>
    </row>
  </sheetData>
  <mergeCells count="50">
    <mergeCell ref="W1:W2"/>
    <mergeCell ref="A1:C1"/>
    <mergeCell ref="D1:J1"/>
    <mergeCell ref="K1:T1"/>
    <mergeCell ref="U1:U2"/>
    <mergeCell ref="V1:V2"/>
    <mergeCell ref="K2:T2"/>
    <mergeCell ref="A2:J2"/>
    <mergeCell ref="AI1:AI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4:A8"/>
    <mergeCell ref="B4:B8"/>
    <mergeCell ref="D4:D8"/>
    <mergeCell ref="A9:A10"/>
    <mergeCell ref="B9:B10"/>
    <mergeCell ref="D9:D10"/>
    <mergeCell ref="A11:A13"/>
    <mergeCell ref="B11:B13"/>
    <mergeCell ref="D11:D13"/>
    <mergeCell ref="A14:A15"/>
    <mergeCell ref="B14:B15"/>
    <mergeCell ref="D14:D15"/>
    <mergeCell ref="A19:A20"/>
    <mergeCell ref="B19:B20"/>
    <mergeCell ref="D19:D20"/>
    <mergeCell ref="A23:A24"/>
    <mergeCell ref="B23:B24"/>
    <mergeCell ref="D23:D24"/>
    <mergeCell ref="A25:A26"/>
    <mergeCell ref="B25:B26"/>
    <mergeCell ref="D25:D26"/>
    <mergeCell ref="A27:A28"/>
    <mergeCell ref="B27:B28"/>
    <mergeCell ref="D27:D28"/>
    <mergeCell ref="A29:A30"/>
    <mergeCell ref="B29:B30"/>
    <mergeCell ref="D29:D30"/>
    <mergeCell ref="A31:A32"/>
    <mergeCell ref="B31:B32"/>
    <mergeCell ref="D31:D32"/>
  </mergeCells>
  <conditionalFormatting sqref="Y4:AA32">
    <cfRule type="cellIs" dxfId="24" priority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E4DF2-74DE-4531-A2F2-ADA5A4353F83}">
  <dimension ref="A1:AM36"/>
  <sheetViews>
    <sheetView topLeftCell="A16" zoomScale="85" zoomScaleNormal="85" workbookViewId="0">
      <selection activeCell="C31" sqref="C31"/>
    </sheetView>
  </sheetViews>
  <sheetFormatPr defaultColWidth="9.7109375" defaultRowHeight="12.75" x14ac:dyDescent="0.2"/>
  <cols>
    <col min="1" max="1" width="7.7109375" style="53" customWidth="1"/>
    <col min="2" max="2" width="11.42578125" style="53" customWidth="1"/>
    <col min="3" max="3" width="5.5703125" style="53" bestFit="1" customWidth="1"/>
    <col min="4" max="4" width="18.140625" style="54" customWidth="1"/>
    <col min="5" max="5" width="10.85546875" style="53" bestFit="1" customWidth="1"/>
    <col min="6" max="7" width="12.28515625" style="53" customWidth="1"/>
    <col min="8" max="8" width="12.140625" style="53" customWidth="1"/>
    <col min="9" max="9" width="9.42578125" style="53" customWidth="1"/>
    <col min="10" max="10" width="12.7109375" style="55" bestFit="1" customWidth="1"/>
    <col min="11" max="11" width="13.28515625" style="56" customWidth="1"/>
    <col min="12" max="13" width="14" style="56" bestFit="1" customWidth="1"/>
    <col min="14" max="14" width="13" style="56" customWidth="1"/>
    <col min="15" max="15" width="14" style="56" bestFit="1" customWidth="1"/>
    <col min="16" max="18" width="10.140625" style="56" customWidth="1"/>
    <col min="19" max="19" width="10.28515625" style="57" customWidth="1"/>
    <col min="20" max="20" width="12.5703125" style="58" customWidth="1"/>
    <col min="21" max="22" width="13.7109375" style="60" customWidth="1"/>
    <col min="23" max="25" width="13.7109375" style="18" customWidth="1"/>
    <col min="26" max="26" width="13.7109375" style="86" customWidth="1"/>
    <col min="27" max="27" width="13.7109375" style="174" customWidth="1"/>
    <col min="28" max="34" width="13.7109375" style="18" customWidth="1"/>
    <col min="35" max="35" width="15.85546875" style="18" customWidth="1"/>
    <col min="36" max="36" width="12.28515625" style="18" customWidth="1"/>
    <col min="37" max="37" width="10.85546875" style="18" customWidth="1"/>
    <col min="38" max="38" width="13.7109375" style="120" bestFit="1" customWidth="1"/>
    <col min="39" max="39" width="13.7109375" style="18" customWidth="1"/>
    <col min="40" max="16384" width="9.7109375" style="18"/>
  </cols>
  <sheetData>
    <row r="1" spans="1:39" ht="38.25" customHeight="1" x14ac:dyDescent="0.2">
      <c r="A1" s="219" t="s">
        <v>69</v>
      </c>
      <c r="B1" s="220"/>
      <c r="C1" s="221"/>
      <c r="D1" s="220" t="s">
        <v>32</v>
      </c>
      <c r="E1" s="220"/>
      <c r="F1" s="220"/>
      <c r="G1" s="220"/>
      <c r="H1" s="220"/>
      <c r="I1" s="220"/>
      <c r="J1" s="221"/>
      <c r="K1" s="222" t="s">
        <v>33</v>
      </c>
      <c r="L1" s="223"/>
      <c r="M1" s="223"/>
      <c r="N1" s="223"/>
      <c r="O1" s="223"/>
      <c r="P1" s="223"/>
      <c r="Q1" s="223"/>
      <c r="R1" s="223"/>
      <c r="S1" s="223"/>
      <c r="T1" s="224"/>
      <c r="U1" s="239" t="s">
        <v>107</v>
      </c>
      <c r="V1" s="239" t="s">
        <v>108</v>
      </c>
      <c r="W1" s="239" t="s">
        <v>109</v>
      </c>
      <c r="X1" s="238" t="s">
        <v>215</v>
      </c>
      <c r="Y1" s="238" t="s">
        <v>216</v>
      </c>
      <c r="Z1" s="238" t="s">
        <v>217</v>
      </c>
      <c r="AA1" s="238" t="s">
        <v>218</v>
      </c>
      <c r="AB1" s="238" t="s">
        <v>219</v>
      </c>
      <c r="AC1" s="238" t="s">
        <v>220</v>
      </c>
      <c r="AD1" s="238" t="s">
        <v>221</v>
      </c>
      <c r="AE1" s="238" t="s">
        <v>222</v>
      </c>
      <c r="AF1" s="238" t="s">
        <v>223</v>
      </c>
      <c r="AG1" s="238" t="s">
        <v>224</v>
      </c>
      <c r="AH1" s="238" t="s">
        <v>225</v>
      </c>
      <c r="AI1" s="238" t="s">
        <v>226</v>
      </c>
      <c r="AJ1" s="238" t="s">
        <v>227</v>
      </c>
      <c r="AK1" s="238" t="s">
        <v>228</v>
      </c>
      <c r="AL1" s="238" t="s">
        <v>229</v>
      </c>
      <c r="AM1" s="234" t="s">
        <v>30</v>
      </c>
    </row>
    <row r="2" spans="1:39" ht="16.5" customHeight="1" x14ac:dyDescent="0.2">
      <c r="A2" s="219" t="s">
        <v>75</v>
      </c>
      <c r="B2" s="220"/>
      <c r="C2" s="220"/>
      <c r="D2" s="220"/>
      <c r="E2" s="220"/>
      <c r="F2" s="220"/>
      <c r="G2" s="220"/>
      <c r="H2" s="220"/>
      <c r="I2" s="220"/>
      <c r="J2" s="221"/>
      <c r="K2" s="225" t="s">
        <v>91</v>
      </c>
      <c r="L2" s="226"/>
      <c r="M2" s="226"/>
      <c r="N2" s="226"/>
      <c r="O2" s="226"/>
      <c r="P2" s="226"/>
      <c r="Q2" s="226"/>
      <c r="R2" s="226"/>
      <c r="S2" s="226"/>
      <c r="T2" s="227"/>
      <c r="U2" s="239"/>
      <c r="V2" s="239"/>
      <c r="W2" s="239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4"/>
    </row>
    <row r="3" spans="1:39" s="25" customFormat="1" ht="38.25" x14ac:dyDescent="0.2">
      <c r="A3" s="19" t="s">
        <v>5</v>
      </c>
      <c r="B3" s="19" t="s">
        <v>18</v>
      </c>
      <c r="C3" s="69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43</v>
      </c>
      <c r="I3" s="20" t="s">
        <v>4</v>
      </c>
      <c r="J3" s="21" t="s">
        <v>28</v>
      </c>
      <c r="K3" s="22" t="s">
        <v>6</v>
      </c>
      <c r="L3" s="145" t="s">
        <v>185</v>
      </c>
      <c r="M3" s="145" t="s">
        <v>186</v>
      </c>
      <c r="N3" s="145" t="s">
        <v>187</v>
      </c>
      <c r="O3" s="145" t="s">
        <v>188</v>
      </c>
      <c r="P3" s="145" t="s">
        <v>189</v>
      </c>
      <c r="Q3" s="145" t="s">
        <v>190</v>
      </c>
      <c r="R3" s="145" t="s">
        <v>191</v>
      </c>
      <c r="S3" s="146" t="s">
        <v>0</v>
      </c>
      <c r="T3" s="23" t="s">
        <v>2</v>
      </c>
      <c r="U3" s="107">
        <v>45350</v>
      </c>
      <c r="V3" s="107">
        <v>45364</v>
      </c>
      <c r="W3" s="107">
        <v>45364</v>
      </c>
      <c r="X3" s="168">
        <v>45541</v>
      </c>
      <c r="Y3" s="168">
        <v>45545</v>
      </c>
      <c r="Z3" s="168">
        <v>45561</v>
      </c>
      <c r="AA3" s="168">
        <v>45602</v>
      </c>
      <c r="AB3" s="168">
        <v>45595</v>
      </c>
      <c r="AC3" s="168">
        <v>45600</v>
      </c>
      <c r="AD3" s="168">
        <v>45600</v>
      </c>
      <c r="AE3" s="168">
        <v>45600</v>
      </c>
      <c r="AF3" s="168">
        <v>45602</v>
      </c>
      <c r="AG3" s="168">
        <v>45602</v>
      </c>
      <c r="AH3" s="168">
        <v>45603</v>
      </c>
      <c r="AI3" s="168">
        <v>45608</v>
      </c>
      <c r="AJ3" s="168">
        <v>45618</v>
      </c>
      <c r="AK3" s="168">
        <v>45618</v>
      </c>
      <c r="AL3" s="178"/>
      <c r="AM3" s="175" t="s">
        <v>1</v>
      </c>
    </row>
    <row r="4" spans="1:39" ht="23.25" customHeight="1" x14ac:dyDescent="0.2">
      <c r="A4" s="203">
        <v>1</v>
      </c>
      <c r="B4" s="196" t="s">
        <v>31</v>
      </c>
      <c r="C4" s="26">
        <v>1</v>
      </c>
      <c r="D4" s="201" t="s">
        <v>34</v>
      </c>
      <c r="E4" s="28" t="s">
        <v>35</v>
      </c>
      <c r="F4" s="29" t="s">
        <v>16</v>
      </c>
      <c r="G4" s="29" t="s">
        <v>17</v>
      </c>
      <c r="H4" s="29" t="s">
        <v>44</v>
      </c>
      <c r="I4" s="28" t="s">
        <v>24</v>
      </c>
      <c r="J4" s="30">
        <v>12.15</v>
      </c>
      <c r="K4" s="31">
        <v>20</v>
      </c>
      <c r="L4" s="140">
        <f t="shared" ref="L4:L32" si="0">IF(SUM(U4:AP4)&gt;K4+N4,K4+N4,SUM(U4:AP4))</f>
        <v>2</v>
      </c>
      <c r="M4" s="140">
        <f t="shared" ref="M4:M32" si="1">(SUM(U4:AP4))</f>
        <v>2</v>
      </c>
      <c r="N4" s="141"/>
      <c r="O4" s="142">
        <f t="shared" ref="O4:O32" si="2">ROUND(IF(K4*0.25-0.5&lt;0,0,K4*0.25-0.5),0)-R4-P4</f>
        <v>5</v>
      </c>
      <c r="P4" s="141"/>
      <c r="Q4" s="141"/>
      <c r="R4" s="141"/>
      <c r="S4" s="143">
        <f>K4+N4+P4+Q4-M4</f>
        <v>18</v>
      </c>
      <c r="T4" s="32" t="str">
        <f t="shared" ref="T4:T32" si="3">IF(S4&lt;0,"ATENÇÃO","OK")</f>
        <v>OK</v>
      </c>
      <c r="U4" s="33"/>
      <c r="V4" s="33"/>
      <c r="W4" s="34"/>
      <c r="X4" s="114"/>
      <c r="Y4" s="114"/>
      <c r="Z4" s="169"/>
      <c r="AA4" s="170"/>
      <c r="AB4" s="114"/>
      <c r="AC4" s="114"/>
      <c r="AD4" s="114"/>
      <c r="AE4" s="114"/>
      <c r="AF4" s="114"/>
      <c r="AG4" s="114"/>
      <c r="AH4" s="114"/>
      <c r="AI4" s="114"/>
      <c r="AJ4" s="170">
        <v>2</v>
      </c>
      <c r="AK4" s="114"/>
      <c r="AL4" s="171"/>
      <c r="AM4" s="34"/>
    </row>
    <row r="5" spans="1:39" ht="26.45" customHeight="1" x14ac:dyDescent="0.2">
      <c r="A5" s="204"/>
      <c r="B5" s="206"/>
      <c r="C5" s="26">
        <v>2</v>
      </c>
      <c r="D5" s="207"/>
      <c r="E5" s="28" t="s">
        <v>36</v>
      </c>
      <c r="F5" s="29" t="s">
        <v>16</v>
      </c>
      <c r="G5" s="29" t="s">
        <v>17</v>
      </c>
      <c r="H5" s="29" t="s">
        <v>44</v>
      </c>
      <c r="I5" s="28" t="s">
        <v>24</v>
      </c>
      <c r="J5" s="30">
        <v>40.5</v>
      </c>
      <c r="K5" s="31">
        <v>100</v>
      </c>
      <c r="L5" s="140">
        <f t="shared" si="0"/>
        <v>40</v>
      </c>
      <c r="M5" s="140">
        <f t="shared" si="1"/>
        <v>40</v>
      </c>
      <c r="N5" s="141"/>
      <c r="O5" s="142">
        <f t="shared" si="2"/>
        <v>25</v>
      </c>
      <c r="P5" s="141"/>
      <c r="Q5" s="141"/>
      <c r="R5" s="141"/>
      <c r="S5" s="143">
        <f t="shared" ref="S5:S32" si="4">K5+N5+P5+Q5-M5</f>
        <v>60</v>
      </c>
      <c r="T5" s="32" t="str">
        <f t="shared" si="3"/>
        <v>OK</v>
      </c>
      <c r="U5" s="33"/>
      <c r="V5" s="96">
        <v>6</v>
      </c>
      <c r="W5" s="34"/>
      <c r="X5" s="114"/>
      <c r="Y5" s="114"/>
      <c r="Z5" s="171">
        <v>6</v>
      </c>
      <c r="AA5" s="170"/>
      <c r="AB5" s="114"/>
      <c r="AC5" s="114"/>
      <c r="AD5" s="114"/>
      <c r="AE5" s="114"/>
      <c r="AF5" s="114"/>
      <c r="AG5" s="170">
        <v>26</v>
      </c>
      <c r="AH5" s="170">
        <v>2</v>
      </c>
      <c r="AI5" s="114"/>
      <c r="AJ5" s="114"/>
      <c r="AK5" s="114"/>
      <c r="AL5" s="171"/>
      <c r="AM5" s="34"/>
    </row>
    <row r="6" spans="1:39" ht="24" customHeight="1" x14ac:dyDescent="0.2">
      <c r="A6" s="204"/>
      <c r="B6" s="206"/>
      <c r="C6" s="26">
        <v>3</v>
      </c>
      <c r="D6" s="207"/>
      <c r="E6" s="28" t="s">
        <v>37</v>
      </c>
      <c r="F6" s="29" t="s">
        <v>16</v>
      </c>
      <c r="G6" s="29" t="s">
        <v>17</v>
      </c>
      <c r="H6" s="29" t="s">
        <v>44</v>
      </c>
      <c r="I6" s="28" t="s">
        <v>24</v>
      </c>
      <c r="J6" s="30">
        <v>49.5</v>
      </c>
      <c r="K6" s="31">
        <v>50</v>
      </c>
      <c r="L6" s="140">
        <f t="shared" si="0"/>
        <v>41</v>
      </c>
      <c r="M6" s="140">
        <f t="shared" si="1"/>
        <v>41</v>
      </c>
      <c r="N6" s="141"/>
      <c r="O6" s="142">
        <f t="shared" si="2"/>
        <v>12</v>
      </c>
      <c r="P6" s="141"/>
      <c r="Q6" s="141"/>
      <c r="R6" s="141"/>
      <c r="S6" s="143">
        <f t="shared" si="4"/>
        <v>9</v>
      </c>
      <c r="T6" s="32" t="str">
        <f t="shared" si="3"/>
        <v>OK</v>
      </c>
      <c r="U6" s="33"/>
      <c r="V6" s="35"/>
      <c r="W6" s="36"/>
      <c r="X6" s="114"/>
      <c r="Y6" s="170">
        <v>30</v>
      </c>
      <c r="Z6" s="169"/>
      <c r="AA6" s="170"/>
      <c r="AB6" s="114"/>
      <c r="AC6" s="169">
        <v>6</v>
      </c>
      <c r="AD6" s="114"/>
      <c r="AE6" s="170">
        <v>5</v>
      </c>
      <c r="AF6" s="114"/>
      <c r="AG6" s="114"/>
      <c r="AH6" s="114"/>
      <c r="AI6" s="114"/>
      <c r="AJ6" s="114"/>
      <c r="AK6" s="114"/>
      <c r="AL6" s="171"/>
      <c r="AM6" s="34"/>
    </row>
    <row r="7" spans="1:39" ht="24" customHeight="1" x14ac:dyDescent="0.2">
      <c r="A7" s="204"/>
      <c r="B7" s="206"/>
      <c r="C7" s="26">
        <v>4</v>
      </c>
      <c r="D7" s="207"/>
      <c r="E7" s="28" t="s">
        <v>38</v>
      </c>
      <c r="F7" s="29" t="s">
        <v>16</v>
      </c>
      <c r="G7" s="29" t="s">
        <v>17</v>
      </c>
      <c r="H7" s="29" t="s">
        <v>44</v>
      </c>
      <c r="I7" s="28" t="s">
        <v>24</v>
      </c>
      <c r="J7" s="30">
        <v>53</v>
      </c>
      <c r="K7" s="31">
        <v>30</v>
      </c>
      <c r="L7" s="140">
        <f t="shared" si="0"/>
        <v>1</v>
      </c>
      <c r="M7" s="140">
        <f t="shared" si="1"/>
        <v>1</v>
      </c>
      <c r="N7" s="141">
        <v>-20</v>
      </c>
      <c r="O7" s="142">
        <f t="shared" si="2"/>
        <v>7</v>
      </c>
      <c r="P7" s="141"/>
      <c r="Q7" s="141"/>
      <c r="R7" s="141"/>
      <c r="S7" s="143">
        <f t="shared" si="4"/>
        <v>9</v>
      </c>
      <c r="T7" s="32" t="str">
        <f t="shared" si="3"/>
        <v>OK</v>
      </c>
      <c r="U7" s="33"/>
      <c r="V7" s="33"/>
      <c r="W7" s="34"/>
      <c r="X7" s="114"/>
      <c r="Y7" s="114"/>
      <c r="Z7" s="169"/>
      <c r="AA7" s="170"/>
      <c r="AB7" s="114"/>
      <c r="AC7" s="114"/>
      <c r="AD7" s="114"/>
      <c r="AE7" s="170">
        <v>1</v>
      </c>
      <c r="AF7" s="170"/>
      <c r="AG7" s="114"/>
      <c r="AH7" s="114"/>
      <c r="AI7" s="114"/>
      <c r="AJ7" s="114"/>
      <c r="AK7" s="114"/>
      <c r="AL7" s="171"/>
      <c r="AM7" s="34"/>
    </row>
    <row r="8" spans="1:39" ht="19.5" customHeight="1" x14ac:dyDescent="0.2">
      <c r="A8" s="205"/>
      <c r="B8" s="197"/>
      <c r="C8" s="26">
        <v>5</v>
      </c>
      <c r="D8" s="202"/>
      <c r="E8" s="28" t="s">
        <v>39</v>
      </c>
      <c r="F8" s="29" t="s">
        <v>16</v>
      </c>
      <c r="G8" s="29" t="s">
        <v>17</v>
      </c>
      <c r="H8" s="29" t="s">
        <v>44</v>
      </c>
      <c r="I8" s="28" t="s">
        <v>24</v>
      </c>
      <c r="J8" s="30">
        <v>30.4</v>
      </c>
      <c r="K8" s="31">
        <f>50</f>
        <v>50</v>
      </c>
      <c r="L8" s="140">
        <f t="shared" si="0"/>
        <v>0</v>
      </c>
      <c r="M8" s="140">
        <f t="shared" si="1"/>
        <v>0</v>
      </c>
      <c r="N8" s="141">
        <v>-10</v>
      </c>
      <c r="O8" s="142">
        <f t="shared" si="2"/>
        <v>12</v>
      </c>
      <c r="P8" s="141"/>
      <c r="Q8" s="141"/>
      <c r="R8" s="141"/>
      <c r="S8" s="143">
        <f t="shared" si="4"/>
        <v>40</v>
      </c>
      <c r="T8" s="32" t="str">
        <f t="shared" si="3"/>
        <v>OK</v>
      </c>
      <c r="U8" s="33"/>
      <c r="V8" s="33"/>
      <c r="W8" s="34"/>
      <c r="X8" s="114"/>
      <c r="Y8" s="114"/>
      <c r="Z8" s="169"/>
      <c r="AA8" s="170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71"/>
      <c r="AM8" s="34"/>
    </row>
    <row r="9" spans="1:39" ht="21.75" customHeight="1" x14ac:dyDescent="0.2">
      <c r="A9" s="216">
        <v>2</v>
      </c>
      <c r="B9" s="190" t="s">
        <v>31</v>
      </c>
      <c r="C9" s="40">
        <v>6</v>
      </c>
      <c r="D9" s="199" t="s">
        <v>40</v>
      </c>
      <c r="E9" s="39" t="s">
        <v>35</v>
      </c>
      <c r="F9" s="41" t="s">
        <v>16</v>
      </c>
      <c r="G9" s="41" t="s">
        <v>17</v>
      </c>
      <c r="H9" s="41" t="s">
        <v>44</v>
      </c>
      <c r="I9" s="39" t="s">
        <v>24</v>
      </c>
      <c r="J9" s="42">
        <v>14.21</v>
      </c>
      <c r="K9" s="31">
        <v>25</v>
      </c>
      <c r="L9" s="140">
        <f t="shared" si="0"/>
        <v>25</v>
      </c>
      <c r="M9" s="140">
        <f t="shared" si="1"/>
        <v>25</v>
      </c>
      <c r="N9" s="141"/>
      <c r="O9" s="142">
        <f t="shared" si="2"/>
        <v>6</v>
      </c>
      <c r="P9" s="141"/>
      <c r="Q9" s="141"/>
      <c r="R9" s="141"/>
      <c r="S9" s="143">
        <f t="shared" si="4"/>
        <v>0</v>
      </c>
      <c r="T9" s="32" t="str">
        <f t="shared" si="3"/>
        <v>OK</v>
      </c>
      <c r="U9" s="33"/>
      <c r="V9" s="33"/>
      <c r="W9" s="34"/>
      <c r="X9" s="114"/>
      <c r="Y9" s="114"/>
      <c r="Z9" s="169"/>
      <c r="AA9" s="170"/>
      <c r="AB9" s="114"/>
      <c r="AC9" s="114"/>
      <c r="AD9" s="114"/>
      <c r="AE9" s="114"/>
      <c r="AF9" s="170"/>
      <c r="AG9" s="170">
        <v>25</v>
      </c>
      <c r="AH9" s="114"/>
      <c r="AI9" s="114"/>
      <c r="AJ9" s="114"/>
      <c r="AK9" s="114"/>
      <c r="AL9" s="171"/>
      <c r="AM9" s="34"/>
    </row>
    <row r="10" spans="1:39" ht="20.25" customHeight="1" x14ac:dyDescent="0.2">
      <c r="A10" s="217"/>
      <c r="B10" s="191"/>
      <c r="C10" s="40">
        <v>7</v>
      </c>
      <c r="D10" s="200"/>
      <c r="E10" s="39" t="s">
        <v>41</v>
      </c>
      <c r="F10" s="41" t="s">
        <v>16</v>
      </c>
      <c r="G10" s="41" t="s">
        <v>17</v>
      </c>
      <c r="H10" s="41" t="s">
        <v>44</v>
      </c>
      <c r="I10" s="39" t="s">
        <v>24</v>
      </c>
      <c r="J10" s="42">
        <v>20.9</v>
      </c>
      <c r="K10" s="31">
        <v>40</v>
      </c>
      <c r="L10" s="140">
        <f t="shared" si="0"/>
        <v>40</v>
      </c>
      <c r="M10" s="140">
        <f t="shared" si="1"/>
        <v>40</v>
      </c>
      <c r="N10" s="141"/>
      <c r="O10" s="142">
        <f t="shared" si="2"/>
        <v>10</v>
      </c>
      <c r="P10" s="141"/>
      <c r="Q10" s="141"/>
      <c r="R10" s="141"/>
      <c r="S10" s="143">
        <f t="shared" si="4"/>
        <v>0</v>
      </c>
      <c r="T10" s="32" t="str">
        <f t="shared" si="3"/>
        <v>OK</v>
      </c>
      <c r="U10" s="35"/>
      <c r="V10" s="33"/>
      <c r="W10" s="34"/>
      <c r="X10" s="114"/>
      <c r="Y10" s="114"/>
      <c r="Z10" s="169"/>
      <c r="AA10" s="170"/>
      <c r="AB10" s="169">
        <v>17</v>
      </c>
      <c r="AC10" s="114"/>
      <c r="AD10" s="114"/>
      <c r="AE10" s="114"/>
      <c r="AF10" s="170"/>
      <c r="AG10" s="170">
        <v>23</v>
      </c>
      <c r="AH10" s="114"/>
      <c r="AI10" s="114"/>
      <c r="AJ10" s="114"/>
      <c r="AK10" s="114"/>
      <c r="AL10" s="171"/>
      <c r="AM10" s="34"/>
    </row>
    <row r="11" spans="1:39" ht="25.5" x14ac:dyDescent="0.2">
      <c r="A11" s="203">
        <v>3</v>
      </c>
      <c r="B11" s="196" t="s">
        <v>42</v>
      </c>
      <c r="C11" s="26">
        <v>8</v>
      </c>
      <c r="D11" s="201" t="s">
        <v>45</v>
      </c>
      <c r="E11" s="28" t="s">
        <v>46</v>
      </c>
      <c r="F11" s="29" t="s">
        <v>16</v>
      </c>
      <c r="G11" s="29" t="s">
        <v>17</v>
      </c>
      <c r="H11" s="29" t="s">
        <v>44</v>
      </c>
      <c r="I11" s="28" t="s">
        <v>24</v>
      </c>
      <c r="J11" s="30">
        <v>423</v>
      </c>
      <c r="K11" s="31">
        <v>10</v>
      </c>
      <c r="L11" s="140">
        <f t="shared" si="0"/>
        <v>2</v>
      </c>
      <c r="M11" s="140">
        <f t="shared" si="1"/>
        <v>2</v>
      </c>
      <c r="N11" s="141"/>
      <c r="O11" s="142">
        <f t="shared" si="2"/>
        <v>2</v>
      </c>
      <c r="P11" s="141"/>
      <c r="Q11" s="141"/>
      <c r="R11" s="141"/>
      <c r="S11" s="143">
        <f t="shared" si="4"/>
        <v>8</v>
      </c>
      <c r="T11" s="32" t="str">
        <f t="shared" si="3"/>
        <v>OK</v>
      </c>
      <c r="U11" s="96">
        <v>2</v>
      </c>
      <c r="V11" s="33"/>
      <c r="W11" s="34"/>
      <c r="X11" s="114"/>
      <c r="Y11" s="114"/>
      <c r="Z11" s="169"/>
      <c r="AA11" s="170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71"/>
      <c r="AM11" s="34"/>
    </row>
    <row r="12" spans="1:39" ht="21.2" customHeight="1" x14ac:dyDescent="0.2">
      <c r="A12" s="204"/>
      <c r="B12" s="206"/>
      <c r="C12" s="26">
        <v>9</v>
      </c>
      <c r="D12" s="207"/>
      <c r="E12" s="28" t="s">
        <v>47</v>
      </c>
      <c r="F12" s="29" t="s">
        <v>16</v>
      </c>
      <c r="G12" s="29" t="s">
        <v>17</v>
      </c>
      <c r="H12" s="29" t="s">
        <v>44</v>
      </c>
      <c r="I12" s="28" t="s">
        <v>24</v>
      </c>
      <c r="J12" s="30">
        <v>1613</v>
      </c>
      <c r="K12" s="31">
        <v>15</v>
      </c>
      <c r="L12" s="140">
        <f t="shared" si="0"/>
        <v>2</v>
      </c>
      <c r="M12" s="140">
        <f t="shared" si="1"/>
        <v>2</v>
      </c>
      <c r="N12" s="141"/>
      <c r="O12" s="142">
        <f t="shared" si="2"/>
        <v>3</v>
      </c>
      <c r="P12" s="141"/>
      <c r="Q12" s="141"/>
      <c r="R12" s="141"/>
      <c r="S12" s="143">
        <f t="shared" si="4"/>
        <v>13</v>
      </c>
      <c r="T12" s="32" t="str">
        <f t="shared" si="3"/>
        <v>OK</v>
      </c>
      <c r="U12" s="33"/>
      <c r="V12" s="33"/>
      <c r="W12" s="34"/>
      <c r="X12" s="114"/>
      <c r="Y12" s="114"/>
      <c r="Z12" s="169"/>
      <c r="AA12" s="170"/>
      <c r="AB12" s="114"/>
      <c r="AC12" s="114"/>
      <c r="AD12" s="170">
        <v>2</v>
      </c>
      <c r="AE12" s="114"/>
      <c r="AF12" s="114"/>
      <c r="AG12" s="114"/>
      <c r="AH12" s="114"/>
      <c r="AI12" s="114"/>
      <c r="AJ12" s="114"/>
      <c r="AK12" s="114"/>
      <c r="AL12" s="171"/>
      <c r="AM12" s="34"/>
    </row>
    <row r="13" spans="1:39" ht="19.5" customHeight="1" x14ac:dyDescent="0.2">
      <c r="A13" s="205"/>
      <c r="B13" s="197"/>
      <c r="C13" s="26">
        <v>10</v>
      </c>
      <c r="D13" s="202"/>
      <c r="E13" s="28" t="s">
        <v>48</v>
      </c>
      <c r="F13" s="29" t="s">
        <v>16</v>
      </c>
      <c r="G13" s="29" t="s">
        <v>17</v>
      </c>
      <c r="H13" s="29" t="s">
        <v>44</v>
      </c>
      <c r="I13" s="28" t="s">
        <v>24</v>
      </c>
      <c r="J13" s="30">
        <v>1749</v>
      </c>
      <c r="K13" s="31">
        <v>12</v>
      </c>
      <c r="L13" s="140">
        <f t="shared" si="0"/>
        <v>0</v>
      </c>
      <c r="M13" s="140">
        <f t="shared" si="1"/>
        <v>0</v>
      </c>
      <c r="N13" s="141">
        <v>-8</v>
      </c>
      <c r="O13" s="142">
        <f t="shared" si="2"/>
        <v>3</v>
      </c>
      <c r="P13" s="141"/>
      <c r="Q13" s="141"/>
      <c r="R13" s="141"/>
      <c r="S13" s="143">
        <f t="shared" si="4"/>
        <v>4</v>
      </c>
      <c r="T13" s="32" t="str">
        <f t="shared" si="3"/>
        <v>OK</v>
      </c>
      <c r="U13" s="33"/>
      <c r="V13" s="33"/>
      <c r="W13" s="34"/>
      <c r="X13" s="114"/>
      <c r="Y13" s="114"/>
      <c r="Z13" s="169"/>
      <c r="AA13" s="170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71"/>
      <c r="AM13" s="34"/>
    </row>
    <row r="14" spans="1:39" ht="25.15" customHeight="1" x14ac:dyDescent="0.2">
      <c r="A14" s="208">
        <v>4</v>
      </c>
      <c r="B14" s="209" t="s">
        <v>49</v>
      </c>
      <c r="C14" s="40">
        <v>11</v>
      </c>
      <c r="D14" s="211" t="s">
        <v>50</v>
      </c>
      <c r="E14" s="39" t="s">
        <v>51</v>
      </c>
      <c r="F14" s="41" t="s">
        <v>16</v>
      </c>
      <c r="G14" s="41" t="s">
        <v>17</v>
      </c>
      <c r="H14" s="41" t="s">
        <v>44</v>
      </c>
      <c r="I14" s="39" t="s">
        <v>53</v>
      </c>
      <c r="J14" s="42">
        <v>19.63</v>
      </c>
      <c r="K14" s="31">
        <v>70</v>
      </c>
      <c r="L14" s="140">
        <f t="shared" si="0"/>
        <v>70</v>
      </c>
      <c r="M14" s="140">
        <f t="shared" si="1"/>
        <v>70</v>
      </c>
      <c r="N14" s="141"/>
      <c r="O14" s="142">
        <f t="shared" si="2"/>
        <v>17</v>
      </c>
      <c r="P14" s="141"/>
      <c r="Q14" s="141"/>
      <c r="R14" s="141"/>
      <c r="S14" s="143">
        <f t="shared" si="4"/>
        <v>0</v>
      </c>
      <c r="T14" s="32" t="str">
        <f t="shared" si="3"/>
        <v>OK</v>
      </c>
      <c r="U14" s="33"/>
      <c r="V14" s="33"/>
      <c r="W14" s="34"/>
      <c r="X14" s="169"/>
      <c r="Y14" s="169"/>
      <c r="Z14" s="169"/>
      <c r="AA14" s="170"/>
      <c r="AB14" s="114"/>
      <c r="AC14" s="114"/>
      <c r="AD14" s="114"/>
      <c r="AE14" s="114"/>
      <c r="AF14" s="114"/>
      <c r="AG14" s="114"/>
      <c r="AH14" s="114"/>
      <c r="AI14" s="170">
        <v>25</v>
      </c>
      <c r="AJ14" s="114"/>
      <c r="AK14" s="114"/>
      <c r="AL14" s="171">
        <v>45</v>
      </c>
      <c r="AM14" s="34"/>
    </row>
    <row r="15" spans="1:39" ht="22.7" customHeight="1" x14ac:dyDescent="0.2">
      <c r="A15" s="208"/>
      <c r="B15" s="210"/>
      <c r="C15" s="40">
        <v>12</v>
      </c>
      <c r="D15" s="212"/>
      <c r="E15" s="39" t="s">
        <v>52</v>
      </c>
      <c r="F15" s="41" t="s">
        <v>16</v>
      </c>
      <c r="G15" s="41" t="s">
        <v>17</v>
      </c>
      <c r="H15" s="41" t="s">
        <v>44</v>
      </c>
      <c r="I15" s="39" t="s">
        <v>24</v>
      </c>
      <c r="J15" s="42">
        <v>20.27</v>
      </c>
      <c r="K15" s="31">
        <v>55</v>
      </c>
      <c r="L15" s="140">
        <f t="shared" si="0"/>
        <v>55</v>
      </c>
      <c r="M15" s="140">
        <f t="shared" si="1"/>
        <v>55</v>
      </c>
      <c r="N15" s="141"/>
      <c r="O15" s="142">
        <f t="shared" si="2"/>
        <v>13</v>
      </c>
      <c r="P15" s="141"/>
      <c r="Q15" s="141"/>
      <c r="R15" s="141"/>
      <c r="S15" s="143">
        <f t="shared" si="4"/>
        <v>0</v>
      </c>
      <c r="T15" s="32" t="str">
        <f t="shared" si="3"/>
        <v>OK</v>
      </c>
      <c r="U15" s="33"/>
      <c r="V15" s="33"/>
      <c r="W15" s="34"/>
      <c r="X15" s="114"/>
      <c r="Y15" s="114"/>
      <c r="Z15" s="169"/>
      <c r="AA15" s="170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71">
        <v>55</v>
      </c>
      <c r="AM15" s="34"/>
    </row>
    <row r="16" spans="1:39" ht="45" customHeight="1" x14ac:dyDescent="0.2">
      <c r="A16" s="48">
        <v>5</v>
      </c>
      <c r="B16" s="28" t="s">
        <v>49</v>
      </c>
      <c r="C16" s="26">
        <v>13</v>
      </c>
      <c r="D16" s="49" t="s">
        <v>54</v>
      </c>
      <c r="E16" s="63" t="s">
        <v>55</v>
      </c>
      <c r="F16" s="50" t="s">
        <v>16</v>
      </c>
      <c r="G16" s="50" t="s">
        <v>17</v>
      </c>
      <c r="H16" s="29" t="s">
        <v>44</v>
      </c>
      <c r="I16" s="28" t="s">
        <v>53</v>
      </c>
      <c r="J16" s="30">
        <v>28.9</v>
      </c>
      <c r="K16" s="31">
        <v>120</v>
      </c>
      <c r="L16" s="140">
        <f t="shared" si="0"/>
        <v>120</v>
      </c>
      <c r="M16" s="140">
        <f t="shared" si="1"/>
        <v>120</v>
      </c>
      <c r="N16" s="141"/>
      <c r="O16" s="142">
        <f t="shared" si="2"/>
        <v>30</v>
      </c>
      <c r="P16" s="141"/>
      <c r="Q16" s="141"/>
      <c r="R16" s="141"/>
      <c r="S16" s="143">
        <f t="shared" si="4"/>
        <v>0</v>
      </c>
      <c r="T16" s="32" t="str">
        <f t="shared" si="3"/>
        <v>OK</v>
      </c>
      <c r="U16" s="33"/>
      <c r="V16" s="33"/>
      <c r="W16" s="34"/>
      <c r="X16" s="114"/>
      <c r="Y16" s="114"/>
      <c r="Z16" s="169"/>
      <c r="AA16" s="170">
        <v>69</v>
      </c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71">
        <v>51</v>
      </c>
      <c r="AM16" s="34"/>
    </row>
    <row r="17" spans="1:39" ht="32.25" customHeight="1" x14ac:dyDescent="0.2">
      <c r="A17" s="38">
        <v>6</v>
      </c>
      <c r="B17" s="47" t="s">
        <v>49</v>
      </c>
      <c r="C17" s="40">
        <v>14</v>
      </c>
      <c r="D17" s="47" t="s">
        <v>57</v>
      </c>
      <c r="E17" s="39" t="s">
        <v>56</v>
      </c>
      <c r="F17" s="41" t="s">
        <v>16</v>
      </c>
      <c r="G17" s="41" t="s">
        <v>17</v>
      </c>
      <c r="H17" s="41" t="s">
        <v>44</v>
      </c>
      <c r="I17" s="39" t="s">
        <v>24</v>
      </c>
      <c r="J17" s="42">
        <v>9.5</v>
      </c>
      <c r="K17" s="31">
        <f>130</f>
        <v>130</v>
      </c>
      <c r="L17" s="140">
        <f t="shared" si="0"/>
        <v>880</v>
      </c>
      <c r="M17" s="140">
        <f t="shared" si="1"/>
        <v>880</v>
      </c>
      <c r="N17" s="141">
        <f>60+690</f>
        <v>750</v>
      </c>
      <c r="O17" s="142">
        <f t="shared" si="2"/>
        <v>32</v>
      </c>
      <c r="P17" s="141"/>
      <c r="Q17" s="141"/>
      <c r="R17" s="141"/>
      <c r="S17" s="143">
        <f t="shared" si="4"/>
        <v>0</v>
      </c>
      <c r="T17" s="32" t="str">
        <f t="shared" si="3"/>
        <v>OK</v>
      </c>
      <c r="U17" s="33"/>
      <c r="V17" s="35"/>
      <c r="W17" s="45"/>
      <c r="X17" s="114"/>
      <c r="Y17" s="169"/>
      <c r="Z17" s="169"/>
      <c r="AA17" s="170">
        <v>130</v>
      </c>
      <c r="AB17" s="114"/>
      <c r="AC17" s="114"/>
      <c r="AD17" s="114"/>
      <c r="AE17" s="114"/>
      <c r="AF17" s="114"/>
      <c r="AG17" s="114"/>
      <c r="AH17" s="114"/>
      <c r="AI17" s="114"/>
      <c r="AJ17" s="114"/>
      <c r="AK17" s="170">
        <v>60</v>
      </c>
      <c r="AL17" s="171">
        <v>690</v>
      </c>
      <c r="AM17" s="34"/>
    </row>
    <row r="18" spans="1:39" ht="76.5" customHeight="1" x14ac:dyDescent="0.2">
      <c r="A18" s="65">
        <v>7</v>
      </c>
      <c r="B18" s="28" t="s">
        <v>49</v>
      </c>
      <c r="C18" s="64">
        <v>15</v>
      </c>
      <c r="D18" s="37" t="s">
        <v>58</v>
      </c>
      <c r="E18" s="61" t="s">
        <v>59</v>
      </c>
      <c r="F18" s="29" t="s">
        <v>16</v>
      </c>
      <c r="G18" s="29" t="s">
        <v>17</v>
      </c>
      <c r="H18" s="29" t="s">
        <v>44</v>
      </c>
      <c r="I18" s="28" t="s">
        <v>24</v>
      </c>
      <c r="J18" s="30">
        <v>197.76</v>
      </c>
      <c r="K18" s="31">
        <v>50</v>
      </c>
      <c r="L18" s="140">
        <f t="shared" si="0"/>
        <v>195</v>
      </c>
      <c r="M18" s="140">
        <f t="shared" si="1"/>
        <v>195</v>
      </c>
      <c r="N18" s="141">
        <f>2+69+76</f>
        <v>147</v>
      </c>
      <c r="O18" s="142">
        <f t="shared" si="2"/>
        <v>12</v>
      </c>
      <c r="P18" s="141"/>
      <c r="Q18" s="141"/>
      <c r="R18" s="141"/>
      <c r="S18" s="143">
        <f t="shared" si="4"/>
        <v>2</v>
      </c>
      <c r="T18" s="32" t="str">
        <f t="shared" si="3"/>
        <v>OK</v>
      </c>
      <c r="U18" s="33"/>
      <c r="V18" s="35"/>
      <c r="W18" s="45"/>
      <c r="X18" s="114"/>
      <c r="Y18" s="169"/>
      <c r="Z18" s="169"/>
      <c r="AA18" s="170">
        <v>50</v>
      </c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71">
        <v>145</v>
      </c>
      <c r="AM18" s="34"/>
    </row>
    <row r="19" spans="1:39" ht="38.25" customHeight="1" x14ac:dyDescent="0.2">
      <c r="A19" s="188">
        <v>8</v>
      </c>
      <c r="B19" s="190" t="s">
        <v>49</v>
      </c>
      <c r="C19" s="40">
        <v>16</v>
      </c>
      <c r="D19" s="199" t="s">
        <v>12</v>
      </c>
      <c r="E19" s="39" t="s">
        <v>60</v>
      </c>
      <c r="F19" s="41" t="s">
        <v>16</v>
      </c>
      <c r="G19" s="41" t="s">
        <v>17</v>
      </c>
      <c r="H19" s="41" t="s">
        <v>44</v>
      </c>
      <c r="I19" s="39" t="s">
        <v>24</v>
      </c>
      <c r="J19" s="42">
        <v>22.35</v>
      </c>
      <c r="K19" s="31">
        <v>90</v>
      </c>
      <c r="L19" s="140">
        <f t="shared" si="0"/>
        <v>90</v>
      </c>
      <c r="M19" s="140">
        <f t="shared" si="1"/>
        <v>90</v>
      </c>
      <c r="N19" s="141"/>
      <c r="O19" s="142">
        <f t="shared" si="2"/>
        <v>22</v>
      </c>
      <c r="P19" s="141"/>
      <c r="Q19" s="141"/>
      <c r="R19" s="141"/>
      <c r="S19" s="143">
        <f t="shared" si="4"/>
        <v>0</v>
      </c>
      <c r="T19" s="32" t="str">
        <f t="shared" si="3"/>
        <v>OK</v>
      </c>
      <c r="U19" s="33"/>
      <c r="V19" s="35"/>
      <c r="W19" s="45"/>
      <c r="X19" s="114"/>
      <c r="Y19" s="169"/>
      <c r="Z19" s="169"/>
      <c r="AA19" s="170">
        <v>90</v>
      </c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71"/>
      <c r="AM19" s="34"/>
    </row>
    <row r="20" spans="1:39" ht="45" customHeight="1" x14ac:dyDescent="0.2">
      <c r="A20" s="189"/>
      <c r="B20" s="191"/>
      <c r="C20" s="40">
        <v>17</v>
      </c>
      <c r="D20" s="200"/>
      <c r="E20" s="39" t="s">
        <v>61</v>
      </c>
      <c r="F20" s="44" t="s">
        <v>16</v>
      </c>
      <c r="G20" s="44" t="s">
        <v>17</v>
      </c>
      <c r="H20" s="41" t="s">
        <v>44</v>
      </c>
      <c r="I20" s="39" t="s">
        <v>24</v>
      </c>
      <c r="J20" s="42">
        <v>4.5999999999999996</v>
      </c>
      <c r="K20" s="31">
        <v>40</v>
      </c>
      <c r="L20" s="140">
        <f t="shared" si="0"/>
        <v>40</v>
      </c>
      <c r="M20" s="140">
        <f t="shared" si="1"/>
        <v>40</v>
      </c>
      <c r="N20" s="141"/>
      <c r="O20" s="142">
        <f t="shared" si="2"/>
        <v>10</v>
      </c>
      <c r="P20" s="141"/>
      <c r="Q20" s="141"/>
      <c r="R20" s="141"/>
      <c r="S20" s="143">
        <f t="shared" si="4"/>
        <v>0</v>
      </c>
      <c r="T20" s="32" t="str">
        <f t="shared" si="3"/>
        <v>OK</v>
      </c>
      <c r="U20" s="33"/>
      <c r="V20" s="35"/>
      <c r="W20" s="45"/>
      <c r="X20" s="114"/>
      <c r="Y20" s="172"/>
      <c r="Z20" s="169"/>
      <c r="AA20" s="170"/>
      <c r="AB20" s="114"/>
      <c r="AC20" s="114"/>
      <c r="AD20" s="114"/>
      <c r="AE20" s="114"/>
      <c r="AF20" s="114"/>
      <c r="AG20" s="114"/>
      <c r="AH20" s="114"/>
      <c r="AI20" s="170">
        <v>37</v>
      </c>
      <c r="AJ20" s="114"/>
      <c r="AK20" s="114"/>
      <c r="AL20" s="171">
        <v>3</v>
      </c>
      <c r="AM20" s="34"/>
    </row>
    <row r="21" spans="1:39" ht="58.7" customHeight="1" x14ac:dyDescent="0.2">
      <c r="A21" s="157">
        <v>9</v>
      </c>
      <c r="B21" s="134" t="s">
        <v>62</v>
      </c>
      <c r="C21" s="68">
        <v>18</v>
      </c>
      <c r="D21" s="158" t="s">
        <v>63</v>
      </c>
      <c r="E21" s="134" t="s">
        <v>64</v>
      </c>
      <c r="F21" s="138" t="s">
        <v>16</v>
      </c>
      <c r="G21" s="138" t="s">
        <v>17</v>
      </c>
      <c r="H21" s="135" t="s">
        <v>44</v>
      </c>
      <c r="I21" s="134" t="s">
        <v>24</v>
      </c>
      <c r="J21" s="139">
        <v>3.46</v>
      </c>
      <c r="K21" s="31">
        <v>100</v>
      </c>
      <c r="L21" s="140">
        <f t="shared" si="0"/>
        <v>0</v>
      </c>
      <c r="M21" s="140">
        <f t="shared" si="1"/>
        <v>0</v>
      </c>
      <c r="N21" s="141"/>
      <c r="O21" s="142">
        <f t="shared" si="2"/>
        <v>25</v>
      </c>
      <c r="P21" s="141"/>
      <c r="Q21" s="141"/>
      <c r="R21" s="141"/>
      <c r="S21" s="143">
        <f t="shared" si="4"/>
        <v>100</v>
      </c>
      <c r="T21" s="32" t="str">
        <f t="shared" si="3"/>
        <v>OK</v>
      </c>
      <c r="U21" s="35"/>
      <c r="V21" s="33"/>
      <c r="W21" s="45"/>
      <c r="X21" s="114"/>
      <c r="Y21" s="172"/>
      <c r="Z21" s="169"/>
      <c r="AA21" s="170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71"/>
      <c r="AM21" s="34"/>
    </row>
    <row r="22" spans="1:39" ht="45" customHeight="1" x14ac:dyDescent="0.2">
      <c r="A22" s="38">
        <v>10</v>
      </c>
      <c r="B22" s="47" t="s">
        <v>31</v>
      </c>
      <c r="C22" s="40">
        <v>19</v>
      </c>
      <c r="D22" s="47" t="s">
        <v>27</v>
      </c>
      <c r="E22" s="39" t="s">
        <v>23</v>
      </c>
      <c r="F22" s="44" t="s">
        <v>16</v>
      </c>
      <c r="G22" s="44" t="s">
        <v>17</v>
      </c>
      <c r="H22" s="41" t="s">
        <v>44</v>
      </c>
      <c r="I22" s="39" t="s">
        <v>24</v>
      </c>
      <c r="J22" s="42">
        <v>0.4</v>
      </c>
      <c r="K22" s="31">
        <v>300</v>
      </c>
      <c r="L22" s="140">
        <f t="shared" si="0"/>
        <v>300</v>
      </c>
      <c r="M22" s="140">
        <f t="shared" si="1"/>
        <v>300</v>
      </c>
      <c r="N22" s="141"/>
      <c r="O22" s="142">
        <f t="shared" si="2"/>
        <v>75</v>
      </c>
      <c r="P22" s="141"/>
      <c r="Q22" s="141"/>
      <c r="R22" s="141"/>
      <c r="S22" s="143">
        <f t="shared" si="4"/>
        <v>0</v>
      </c>
      <c r="T22" s="32" t="str">
        <f t="shared" si="3"/>
        <v>OK</v>
      </c>
      <c r="U22" s="35"/>
      <c r="V22" s="33"/>
      <c r="W22" s="45"/>
      <c r="X22" s="114"/>
      <c r="Y22" s="172"/>
      <c r="Z22" s="169"/>
      <c r="AA22" s="170"/>
      <c r="AB22" s="114"/>
      <c r="AC22" s="114"/>
      <c r="AD22" s="114"/>
      <c r="AE22" s="114"/>
      <c r="AF22" s="114"/>
      <c r="AG22" s="170">
        <v>300</v>
      </c>
      <c r="AH22" s="114"/>
      <c r="AI22" s="114"/>
      <c r="AJ22" s="114"/>
      <c r="AK22" s="114"/>
      <c r="AL22" s="171"/>
      <c r="AM22" s="34"/>
    </row>
    <row r="23" spans="1:39" ht="28.15" customHeight="1" x14ac:dyDescent="0.2">
      <c r="A23" s="194">
        <v>11</v>
      </c>
      <c r="B23" s="196" t="s">
        <v>65</v>
      </c>
      <c r="C23" s="26">
        <v>20</v>
      </c>
      <c r="D23" s="201" t="s">
        <v>25</v>
      </c>
      <c r="E23" s="28" t="s">
        <v>19</v>
      </c>
      <c r="F23" s="50" t="s">
        <v>16</v>
      </c>
      <c r="G23" s="50" t="s">
        <v>17</v>
      </c>
      <c r="H23" s="29" t="s">
        <v>44</v>
      </c>
      <c r="I23" s="28" t="s">
        <v>24</v>
      </c>
      <c r="J23" s="30">
        <v>3.95</v>
      </c>
      <c r="K23" s="31">
        <f>200</f>
        <v>200</v>
      </c>
      <c r="L23" s="140">
        <f t="shared" si="0"/>
        <v>0</v>
      </c>
      <c r="M23" s="140">
        <f t="shared" si="1"/>
        <v>0</v>
      </c>
      <c r="N23" s="141">
        <v>-200</v>
      </c>
      <c r="O23" s="142">
        <f t="shared" si="2"/>
        <v>50</v>
      </c>
      <c r="P23" s="141"/>
      <c r="Q23" s="141"/>
      <c r="R23" s="141"/>
      <c r="S23" s="143">
        <f t="shared" si="4"/>
        <v>0</v>
      </c>
      <c r="T23" s="32" t="str">
        <f t="shared" si="3"/>
        <v>OK</v>
      </c>
      <c r="U23" s="35"/>
      <c r="V23" s="33"/>
      <c r="W23" s="45"/>
      <c r="X23" s="114"/>
      <c r="Y23" s="172"/>
      <c r="Z23" s="169"/>
      <c r="AA23" s="170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71"/>
      <c r="AM23" s="34"/>
    </row>
    <row r="24" spans="1:39" ht="25.15" customHeight="1" x14ac:dyDescent="0.2">
      <c r="A24" s="195"/>
      <c r="B24" s="197"/>
      <c r="C24" s="26">
        <v>21</v>
      </c>
      <c r="D24" s="202"/>
      <c r="E24" s="28" t="s">
        <v>20</v>
      </c>
      <c r="F24" s="50" t="s">
        <v>16</v>
      </c>
      <c r="G24" s="50" t="s">
        <v>17</v>
      </c>
      <c r="H24" s="29" t="s">
        <v>44</v>
      </c>
      <c r="I24" s="28" t="s">
        <v>24</v>
      </c>
      <c r="J24" s="30">
        <v>2.41</v>
      </c>
      <c r="K24" s="31">
        <f>300</f>
        <v>300</v>
      </c>
      <c r="L24" s="140">
        <f t="shared" si="0"/>
        <v>0</v>
      </c>
      <c r="M24" s="140">
        <f t="shared" si="1"/>
        <v>0</v>
      </c>
      <c r="N24" s="141">
        <v>-300</v>
      </c>
      <c r="O24" s="142">
        <f t="shared" si="2"/>
        <v>75</v>
      </c>
      <c r="P24" s="141"/>
      <c r="Q24" s="141"/>
      <c r="R24" s="141"/>
      <c r="S24" s="143">
        <f t="shared" si="4"/>
        <v>0</v>
      </c>
      <c r="T24" s="32" t="str">
        <f t="shared" si="3"/>
        <v>OK</v>
      </c>
      <c r="U24" s="33"/>
      <c r="V24" s="33"/>
      <c r="W24" s="45"/>
      <c r="X24" s="114"/>
      <c r="Y24" s="172"/>
      <c r="Z24" s="169"/>
      <c r="AA24" s="170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71"/>
      <c r="AM24" s="34"/>
    </row>
    <row r="25" spans="1:39" ht="26.45" customHeight="1" x14ac:dyDescent="0.2">
      <c r="A25" s="188">
        <v>12</v>
      </c>
      <c r="B25" s="190" t="s">
        <v>62</v>
      </c>
      <c r="C25" s="40">
        <v>22</v>
      </c>
      <c r="D25" s="199" t="s">
        <v>26</v>
      </c>
      <c r="E25" s="39" t="s">
        <v>19</v>
      </c>
      <c r="F25" s="44" t="s">
        <v>16</v>
      </c>
      <c r="G25" s="44" t="s">
        <v>17</v>
      </c>
      <c r="H25" s="41" t="s">
        <v>44</v>
      </c>
      <c r="I25" s="39" t="s">
        <v>24</v>
      </c>
      <c r="J25" s="42">
        <v>2.48</v>
      </c>
      <c r="K25" s="31">
        <v>400</v>
      </c>
      <c r="L25" s="140">
        <f t="shared" si="0"/>
        <v>0</v>
      </c>
      <c r="M25" s="140">
        <f t="shared" si="1"/>
        <v>0</v>
      </c>
      <c r="N25" s="141">
        <v>-200</v>
      </c>
      <c r="O25" s="142">
        <f t="shared" si="2"/>
        <v>100</v>
      </c>
      <c r="P25" s="141"/>
      <c r="Q25" s="141"/>
      <c r="R25" s="141"/>
      <c r="S25" s="143">
        <f t="shared" si="4"/>
        <v>200</v>
      </c>
      <c r="T25" s="32" t="str">
        <f t="shared" si="3"/>
        <v>OK</v>
      </c>
      <c r="U25" s="33"/>
      <c r="V25" s="33"/>
      <c r="W25" s="45"/>
      <c r="X25" s="114"/>
      <c r="Y25" s="172"/>
      <c r="Z25" s="169"/>
      <c r="AA25" s="170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71"/>
      <c r="AM25" s="34"/>
    </row>
    <row r="26" spans="1:39" ht="24.4" customHeight="1" x14ac:dyDescent="0.2">
      <c r="A26" s="189"/>
      <c r="B26" s="191"/>
      <c r="C26" s="40">
        <v>23</v>
      </c>
      <c r="D26" s="200"/>
      <c r="E26" s="43" t="s">
        <v>20</v>
      </c>
      <c r="F26" s="44" t="s">
        <v>16</v>
      </c>
      <c r="G26" s="44" t="s">
        <v>17</v>
      </c>
      <c r="H26" s="41" t="s">
        <v>44</v>
      </c>
      <c r="I26" s="39" t="s">
        <v>24</v>
      </c>
      <c r="J26" s="42">
        <v>1.2</v>
      </c>
      <c r="K26" s="31">
        <v>600</v>
      </c>
      <c r="L26" s="140">
        <f t="shared" si="0"/>
        <v>0</v>
      </c>
      <c r="M26" s="140">
        <f t="shared" si="1"/>
        <v>0</v>
      </c>
      <c r="N26" s="141">
        <v>-600</v>
      </c>
      <c r="O26" s="142">
        <f t="shared" si="2"/>
        <v>150</v>
      </c>
      <c r="P26" s="141"/>
      <c r="Q26" s="141"/>
      <c r="R26" s="141"/>
      <c r="S26" s="143">
        <f t="shared" si="4"/>
        <v>0</v>
      </c>
      <c r="T26" s="32" t="str">
        <f t="shared" si="3"/>
        <v>OK</v>
      </c>
      <c r="U26" s="33"/>
      <c r="V26" s="33"/>
      <c r="W26" s="45"/>
      <c r="X26" s="114"/>
      <c r="Y26" s="172"/>
      <c r="Z26" s="169"/>
      <c r="AA26" s="170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71"/>
      <c r="AM26" s="34"/>
    </row>
    <row r="27" spans="1:39" ht="24" customHeight="1" x14ac:dyDescent="0.2">
      <c r="A27" s="194">
        <v>13</v>
      </c>
      <c r="B27" s="196" t="s">
        <v>65</v>
      </c>
      <c r="C27" s="26">
        <v>24</v>
      </c>
      <c r="D27" s="201" t="s">
        <v>66</v>
      </c>
      <c r="E27" s="28" t="s">
        <v>21</v>
      </c>
      <c r="F27" s="50" t="s">
        <v>16</v>
      </c>
      <c r="G27" s="29" t="s">
        <v>17</v>
      </c>
      <c r="H27" s="29" t="s">
        <v>44</v>
      </c>
      <c r="I27" s="28" t="s">
        <v>24</v>
      </c>
      <c r="J27" s="30">
        <v>0.33</v>
      </c>
      <c r="K27" s="31">
        <v>2300</v>
      </c>
      <c r="L27" s="140">
        <f t="shared" si="0"/>
        <v>250</v>
      </c>
      <c r="M27" s="140">
        <f t="shared" si="1"/>
        <v>250</v>
      </c>
      <c r="N27" s="141">
        <v>-1000</v>
      </c>
      <c r="O27" s="142">
        <f t="shared" si="2"/>
        <v>575</v>
      </c>
      <c r="P27" s="141"/>
      <c r="Q27" s="141"/>
      <c r="R27" s="141"/>
      <c r="S27" s="143">
        <f t="shared" si="4"/>
        <v>1050</v>
      </c>
      <c r="T27" s="32" t="str">
        <f t="shared" si="3"/>
        <v>OK</v>
      </c>
      <c r="U27" s="33"/>
      <c r="V27" s="33"/>
      <c r="W27" s="96">
        <v>250</v>
      </c>
      <c r="X27" s="114"/>
      <c r="Y27" s="172"/>
      <c r="Z27" s="169"/>
      <c r="AA27" s="170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71"/>
      <c r="AM27" s="34"/>
    </row>
    <row r="28" spans="1:39" ht="30.2" customHeight="1" x14ac:dyDescent="0.2">
      <c r="A28" s="195"/>
      <c r="B28" s="197"/>
      <c r="C28" s="26">
        <v>25</v>
      </c>
      <c r="D28" s="202"/>
      <c r="E28" s="28" t="s">
        <v>22</v>
      </c>
      <c r="F28" s="50" t="s">
        <v>16</v>
      </c>
      <c r="G28" s="50" t="s">
        <v>17</v>
      </c>
      <c r="H28" s="29" t="s">
        <v>44</v>
      </c>
      <c r="I28" s="28" t="s">
        <v>24</v>
      </c>
      <c r="J28" s="30">
        <v>0.15</v>
      </c>
      <c r="K28" s="31">
        <v>3000</v>
      </c>
      <c r="L28" s="140">
        <f t="shared" si="0"/>
        <v>0</v>
      </c>
      <c r="M28" s="140">
        <f t="shared" si="1"/>
        <v>0</v>
      </c>
      <c r="N28" s="141">
        <v>-3000</v>
      </c>
      <c r="O28" s="142">
        <f t="shared" si="2"/>
        <v>750</v>
      </c>
      <c r="P28" s="141"/>
      <c r="Q28" s="141"/>
      <c r="R28" s="141"/>
      <c r="S28" s="143">
        <f t="shared" si="4"/>
        <v>0</v>
      </c>
      <c r="T28" s="32" t="str">
        <f t="shared" si="3"/>
        <v>OK</v>
      </c>
      <c r="U28" s="33"/>
      <c r="V28" s="33"/>
      <c r="W28" s="45"/>
      <c r="X28" s="114"/>
      <c r="Y28" s="172"/>
      <c r="Z28" s="169"/>
      <c r="AA28" s="170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71"/>
      <c r="AM28" s="34"/>
    </row>
    <row r="29" spans="1:39" ht="26.45" customHeight="1" x14ac:dyDescent="0.2">
      <c r="A29" s="188">
        <v>14</v>
      </c>
      <c r="B29" s="190" t="s">
        <v>65</v>
      </c>
      <c r="C29" s="40">
        <v>26</v>
      </c>
      <c r="D29" s="192" t="s">
        <v>67</v>
      </c>
      <c r="E29" s="66" t="s">
        <v>21</v>
      </c>
      <c r="F29" s="44" t="s">
        <v>16</v>
      </c>
      <c r="G29" s="44" t="s">
        <v>17</v>
      </c>
      <c r="H29" s="41" t="s">
        <v>44</v>
      </c>
      <c r="I29" s="39" t="s">
        <v>24</v>
      </c>
      <c r="J29" s="42">
        <v>0.33</v>
      </c>
      <c r="K29" s="31">
        <v>3000</v>
      </c>
      <c r="L29" s="140">
        <f t="shared" si="0"/>
        <v>0</v>
      </c>
      <c r="M29" s="140">
        <f t="shared" si="1"/>
        <v>0</v>
      </c>
      <c r="N29" s="141"/>
      <c r="O29" s="142">
        <f t="shared" si="2"/>
        <v>750</v>
      </c>
      <c r="P29" s="141"/>
      <c r="Q29" s="141"/>
      <c r="R29" s="141"/>
      <c r="S29" s="143">
        <f t="shared" si="4"/>
        <v>3000</v>
      </c>
      <c r="T29" s="32" t="str">
        <f t="shared" si="3"/>
        <v>OK</v>
      </c>
      <c r="U29" s="33"/>
      <c r="V29" s="33"/>
      <c r="W29" s="45"/>
      <c r="X29" s="114"/>
      <c r="Y29" s="172"/>
      <c r="Z29" s="169"/>
      <c r="AA29" s="170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71"/>
      <c r="AM29" s="34"/>
    </row>
    <row r="30" spans="1:39" ht="33.950000000000003" customHeight="1" x14ac:dyDescent="0.2">
      <c r="A30" s="189"/>
      <c r="B30" s="191"/>
      <c r="C30" s="40">
        <v>27</v>
      </c>
      <c r="D30" s="193"/>
      <c r="E30" s="66" t="s">
        <v>22</v>
      </c>
      <c r="F30" s="44" t="s">
        <v>16</v>
      </c>
      <c r="G30" s="44" t="s">
        <v>17</v>
      </c>
      <c r="H30" s="41" t="s">
        <v>44</v>
      </c>
      <c r="I30" s="39" t="s">
        <v>24</v>
      </c>
      <c r="J30" s="42">
        <v>0.23</v>
      </c>
      <c r="K30" s="31">
        <v>5950</v>
      </c>
      <c r="L30" s="140">
        <f t="shared" si="0"/>
        <v>0</v>
      </c>
      <c r="M30" s="140">
        <f t="shared" si="1"/>
        <v>0</v>
      </c>
      <c r="N30" s="141"/>
      <c r="O30" s="142">
        <f t="shared" si="2"/>
        <v>1487</v>
      </c>
      <c r="P30" s="141"/>
      <c r="Q30" s="141"/>
      <c r="R30" s="141"/>
      <c r="S30" s="143">
        <f t="shared" si="4"/>
        <v>5950</v>
      </c>
      <c r="T30" s="32" t="str">
        <f t="shared" si="3"/>
        <v>OK</v>
      </c>
      <c r="U30" s="33"/>
      <c r="V30" s="33"/>
      <c r="W30" s="45"/>
      <c r="X30" s="114"/>
      <c r="Y30" s="172"/>
      <c r="Z30" s="169"/>
      <c r="AA30" s="170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71"/>
      <c r="AM30" s="34"/>
    </row>
    <row r="31" spans="1:39" ht="27" customHeight="1" x14ac:dyDescent="0.2">
      <c r="A31" s="194">
        <v>15</v>
      </c>
      <c r="B31" s="196" t="s">
        <v>31</v>
      </c>
      <c r="C31" s="68">
        <v>28</v>
      </c>
      <c r="D31" s="198" t="s">
        <v>68</v>
      </c>
      <c r="E31" s="134" t="s">
        <v>21</v>
      </c>
      <c r="F31" s="138" t="s">
        <v>16</v>
      </c>
      <c r="G31" s="138" t="s">
        <v>17</v>
      </c>
      <c r="H31" s="135" t="s">
        <v>44</v>
      </c>
      <c r="I31" s="134" t="s">
        <v>24</v>
      </c>
      <c r="J31" s="139">
        <v>0.4</v>
      </c>
      <c r="K31" s="31">
        <f>2000</f>
        <v>2000</v>
      </c>
      <c r="L31" s="140">
        <f t="shared" si="0"/>
        <v>2000</v>
      </c>
      <c r="M31" s="140">
        <f t="shared" si="1"/>
        <v>2000</v>
      </c>
      <c r="N31" s="141">
        <f>-500+300+200</f>
        <v>0</v>
      </c>
      <c r="O31" s="142">
        <f t="shared" si="2"/>
        <v>500</v>
      </c>
      <c r="P31" s="141"/>
      <c r="Q31" s="141"/>
      <c r="R31" s="141"/>
      <c r="S31" s="143">
        <f t="shared" si="4"/>
        <v>0</v>
      </c>
      <c r="T31" s="32" t="str">
        <f t="shared" si="3"/>
        <v>OK</v>
      </c>
      <c r="U31" s="33"/>
      <c r="V31" s="35"/>
      <c r="W31" s="45"/>
      <c r="X31" s="114">
        <v>2000</v>
      </c>
      <c r="Y31" s="172"/>
      <c r="Z31" s="169"/>
      <c r="AA31" s="170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71"/>
      <c r="AM31" s="34"/>
    </row>
    <row r="32" spans="1:39" ht="29.25" customHeight="1" x14ac:dyDescent="0.2">
      <c r="A32" s="195"/>
      <c r="B32" s="197"/>
      <c r="C32" s="26">
        <v>29</v>
      </c>
      <c r="D32" s="198"/>
      <c r="E32" s="28" t="s">
        <v>22</v>
      </c>
      <c r="F32" s="50" t="s">
        <v>16</v>
      </c>
      <c r="G32" s="50" t="s">
        <v>17</v>
      </c>
      <c r="H32" s="29" t="s">
        <v>44</v>
      </c>
      <c r="I32" s="28" t="s">
        <v>24</v>
      </c>
      <c r="J32" s="30">
        <v>0.44</v>
      </c>
      <c r="K32" s="31">
        <v>3000</v>
      </c>
      <c r="L32" s="140">
        <f t="shared" si="0"/>
        <v>3000</v>
      </c>
      <c r="M32" s="140">
        <f t="shared" si="1"/>
        <v>3000</v>
      </c>
      <c r="N32" s="141"/>
      <c r="O32" s="142">
        <f t="shared" si="2"/>
        <v>750</v>
      </c>
      <c r="P32" s="141"/>
      <c r="Q32" s="141"/>
      <c r="R32" s="141"/>
      <c r="S32" s="143">
        <f t="shared" si="4"/>
        <v>0</v>
      </c>
      <c r="T32" s="32" t="str">
        <f t="shared" si="3"/>
        <v>OK</v>
      </c>
      <c r="U32" s="33"/>
      <c r="V32" s="33"/>
      <c r="W32" s="34"/>
      <c r="X32" s="114"/>
      <c r="Y32" s="114"/>
      <c r="Z32" s="169"/>
      <c r="AA32" s="170"/>
      <c r="AB32" s="114"/>
      <c r="AC32" s="114"/>
      <c r="AD32" s="114"/>
      <c r="AE32" s="114"/>
      <c r="AF32" s="176">
        <v>3000</v>
      </c>
      <c r="AG32" s="114"/>
      <c r="AH32" s="114"/>
      <c r="AI32" s="114"/>
      <c r="AJ32" s="114"/>
      <c r="AK32" s="114"/>
      <c r="AL32" s="171"/>
      <c r="AM32" s="34"/>
    </row>
    <row r="33" spans="11:39" x14ac:dyDescent="0.2">
      <c r="K33" s="56">
        <f>SUM(K4:K32)</f>
        <v>22057</v>
      </c>
      <c r="S33" s="56">
        <f t="shared" ref="S33" si="5">SUM(S4:S32)</f>
        <v>10463</v>
      </c>
      <c r="U33" s="67">
        <f t="shared" ref="U33:AM33" si="6">SUMPRODUCT($J$4:$J$32,U4:U32)</f>
        <v>846</v>
      </c>
      <c r="V33" s="59">
        <f t="shared" si="6"/>
        <v>243</v>
      </c>
      <c r="W33" s="59">
        <f t="shared" si="6"/>
        <v>82.5</v>
      </c>
      <c r="X33" s="173">
        <f t="shared" si="6"/>
        <v>800</v>
      </c>
      <c r="Y33" s="173">
        <f t="shared" si="6"/>
        <v>1485</v>
      </c>
      <c r="Z33" s="173">
        <f t="shared" si="6"/>
        <v>243</v>
      </c>
      <c r="AA33" s="173">
        <f t="shared" si="6"/>
        <v>15128.6</v>
      </c>
      <c r="AB33" s="173">
        <f t="shared" si="6"/>
        <v>355.29999999999995</v>
      </c>
      <c r="AC33" s="173">
        <f t="shared" si="6"/>
        <v>297</v>
      </c>
      <c r="AD33" s="173">
        <f t="shared" si="6"/>
        <v>3226</v>
      </c>
      <c r="AE33" s="173">
        <f t="shared" si="6"/>
        <v>300.5</v>
      </c>
      <c r="AF33" s="173">
        <f t="shared" si="6"/>
        <v>1320</v>
      </c>
      <c r="AG33" s="173">
        <f t="shared" si="6"/>
        <v>2008.95</v>
      </c>
      <c r="AH33" s="173">
        <f t="shared" si="6"/>
        <v>81</v>
      </c>
      <c r="AI33" s="173">
        <f t="shared" si="6"/>
        <v>660.95</v>
      </c>
      <c r="AJ33" s="173">
        <f t="shared" si="6"/>
        <v>24.3</v>
      </c>
      <c r="AK33" s="173">
        <f t="shared" si="6"/>
        <v>570</v>
      </c>
      <c r="AL33" s="173">
        <f t="shared" si="6"/>
        <v>38716.1</v>
      </c>
      <c r="AM33" s="59">
        <f t="shared" si="6"/>
        <v>0</v>
      </c>
    </row>
    <row r="34" spans="11:39" x14ac:dyDescent="0.2">
      <c r="K34" s="148">
        <f>SUMPRODUCT($J$4:$J$32,K4:K32)</f>
        <v>89136.2</v>
      </c>
      <c r="L34" s="148">
        <f t="shared" ref="L34:M34" si="7">SUMPRODUCT($J$4:$J$32,L4:L32)</f>
        <v>66388.2</v>
      </c>
      <c r="M34" s="148">
        <f t="shared" si="7"/>
        <v>66388.2</v>
      </c>
    </row>
    <row r="35" spans="11:39" x14ac:dyDescent="0.2">
      <c r="AG35" s="177"/>
    </row>
    <row r="36" spans="11:39" x14ac:dyDescent="0.2">
      <c r="X36" s="72"/>
    </row>
  </sheetData>
  <autoFilter ref="A3:AM34" xr:uid="{770E4DF2-74DE-4531-A2F2-ADA5A4353F83}"/>
  <mergeCells count="54">
    <mergeCell ref="W1:W2"/>
    <mergeCell ref="A1:C1"/>
    <mergeCell ref="D1:J1"/>
    <mergeCell ref="K1:T1"/>
    <mergeCell ref="U1:U2"/>
    <mergeCell ref="V1:V2"/>
    <mergeCell ref="K2:T2"/>
    <mergeCell ref="A2:J2"/>
    <mergeCell ref="AM1:AM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4:A8"/>
    <mergeCell ref="B4:B8"/>
    <mergeCell ref="D4:D8"/>
    <mergeCell ref="A9:A10"/>
    <mergeCell ref="B9:B10"/>
    <mergeCell ref="D9:D10"/>
    <mergeCell ref="A11:A13"/>
    <mergeCell ref="B11:B13"/>
    <mergeCell ref="D11:D13"/>
    <mergeCell ref="A14:A15"/>
    <mergeCell ref="B14:B15"/>
    <mergeCell ref="D14:D15"/>
    <mergeCell ref="A19:A20"/>
    <mergeCell ref="B19:B20"/>
    <mergeCell ref="D19:D20"/>
    <mergeCell ref="A23:A24"/>
    <mergeCell ref="B23:B24"/>
    <mergeCell ref="D23:D24"/>
    <mergeCell ref="A25:A26"/>
    <mergeCell ref="B25:B26"/>
    <mergeCell ref="D25:D26"/>
    <mergeCell ref="A27:A28"/>
    <mergeCell ref="B27:B28"/>
    <mergeCell ref="D27:D28"/>
    <mergeCell ref="A29:A30"/>
    <mergeCell ref="B29:B30"/>
    <mergeCell ref="D29:D30"/>
    <mergeCell ref="A31:A32"/>
    <mergeCell ref="B31:B32"/>
    <mergeCell ref="D31:D32"/>
  </mergeCells>
  <conditionalFormatting sqref="X4:AE32">
    <cfRule type="cellIs" dxfId="23" priority="3" operator="greaterThan">
      <formula>0</formula>
    </cfRule>
  </conditionalFormatting>
  <conditionalFormatting sqref="AF4:AK32">
    <cfRule type="cellIs" dxfId="22" priority="2" operator="greaterThan">
      <formula>0</formula>
    </cfRule>
  </conditionalFormatting>
  <conditionalFormatting sqref="AL4:AL32">
    <cfRule type="cellIs" dxfId="21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B34D2-3089-4265-9A7F-534732801B19}">
  <dimension ref="A1:AI34"/>
  <sheetViews>
    <sheetView topLeftCell="A19" zoomScale="90" zoomScaleNormal="90" workbookViewId="0">
      <selection activeCell="G44" sqref="G44"/>
    </sheetView>
  </sheetViews>
  <sheetFormatPr defaultColWidth="9.7109375" defaultRowHeight="12.75" x14ac:dyDescent="0.2"/>
  <cols>
    <col min="1" max="1" width="7.7109375" style="53" customWidth="1"/>
    <col min="2" max="2" width="11.7109375" style="53" customWidth="1"/>
    <col min="3" max="3" width="5.5703125" style="53" bestFit="1" customWidth="1"/>
    <col min="4" max="4" width="22.85546875" style="54" customWidth="1"/>
    <col min="5" max="5" width="10.85546875" style="53" bestFit="1" customWidth="1"/>
    <col min="6" max="6" width="10.5703125" style="53" customWidth="1"/>
    <col min="7" max="7" width="11.140625" style="53" customWidth="1"/>
    <col min="8" max="8" width="12.140625" style="53" customWidth="1"/>
    <col min="9" max="9" width="9.42578125" style="53" customWidth="1"/>
    <col min="10" max="10" width="11" style="55" customWidth="1"/>
    <col min="11" max="11" width="12.85546875" style="56" customWidth="1"/>
    <col min="12" max="13" width="12" style="56" customWidth="1"/>
    <col min="14" max="14" width="9.140625" style="56" customWidth="1"/>
    <col min="15" max="15" width="12.28515625" style="56" customWidth="1"/>
    <col min="16" max="18" width="10.140625" style="56" customWidth="1"/>
    <col min="19" max="19" width="10.28515625" style="57" customWidth="1"/>
    <col min="20" max="20" width="12.5703125" style="58" customWidth="1"/>
    <col min="21" max="22" width="13.7109375" style="106" customWidth="1"/>
    <col min="23" max="25" width="13.7109375" style="86" customWidth="1"/>
    <col min="26" max="35" width="13.7109375" style="18" customWidth="1"/>
    <col min="36" max="16384" width="9.7109375" style="18"/>
  </cols>
  <sheetData>
    <row r="1" spans="1:35" ht="34.5" customHeight="1" x14ac:dyDescent="0.2">
      <c r="A1" s="219" t="s">
        <v>69</v>
      </c>
      <c r="B1" s="220"/>
      <c r="C1" s="221"/>
      <c r="D1" s="220" t="s">
        <v>32</v>
      </c>
      <c r="E1" s="220"/>
      <c r="F1" s="220"/>
      <c r="G1" s="220"/>
      <c r="H1" s="220"/>
      <c r="I1" s="220"/>
      <c r="J1" s="221"/>
      <c r="K1" s="222" t="s">
        <v>33</v>
      </c>
      <c r="L1" s="223"/>
      <c r="M1" s="223"/>
      <c r="N1" s="223"/>
      <c r="O1" s="223"/>
      <c r="P1" s="223"/>
      <c r="Q1" s="223"/>
      <c r="R1" s="223"/>
      <c r="S1" s="223"/>
      <c r="T1" s="224"/>
      <c r="U1" s="234" t="s">
        <v>110</v>
      </c>
      <c r="V1" s="234" t="s">
        <v>111</v>
      </c>
      <c r="W1" s="234" t="s">
        <v>112</v>
      </c>
      <c r="X1" s="234" t="s">
        <v>113</v>
      </c>
      <c r="Y1" s="234" t="s">
        <v>114</v>
      </c>
      <c r="Z1" s="218" t="s">
        <v>230</v>
      </c>
      <c r="AA1" s="218" t="s">
        <v>232</v>
      </c>
      <c r="AB1" s="218" t="s">
        <v>233</v>
      </c>
      <c r="AC1" s="218" t="s">
        <v>234</v>
      </c>
      <c r="AD1" s="218" t="s">
        <v>235</v>
      </c>
      <c r="AE1" s="218" t="s">
        <v>236</v>
      </c>
      <c r="AF1" s="218" t="s">
        <v>30</v>
      </c>
      <c r="AG1" s="218" t="s">
        <v>30</v>
      </c>
      <c r="AH1" s="218" t="s">
        <v>30</v>
      </c>
      <c r="AI1" s="218" t="s">
        <v>30</v>
      </c>
    </row>
    <row r="2" spans="1:35" ht="18.75" customHeight="1" x14ac:dyDescent="0.2">
      <c r="A2" s="219" t="s">
        <v>76</v>
      </c>
      <c r="B2" s="220"/>
      <c r="C2" s="220"/>
      <c r="D2" s="220"/>
      <c r="E2" s="220"/>
      <c r="F2" s="220"/>
      <c r="G2" s="220"/>
      <c r="H2" s="220"/>
      <c r="I2" s="220"/>
      <c r="J2" s="221"/>
      <c r="K2" s="225" t="s">
        <v>91</v>
      </c>
      <c r="L2" s="226"/>
      <c r="M2" s="226"/>
      <c r="N2" s="226"/>
      <c r="O2" s="226"/>
      <c r="P2" s="226"/>
      <c r="Q2" s="226"/>
      <c r="R2" s="226"/>
      <c r="S2" s="226"/>
      <c r="T2" s="227"/>
      <c r="U2" s="234"/>
      <c r="V2" s="234"/>
      <c r="W2" s="234"/>
      <c r="X2" s="234"/>
      <c r="Y2" s="234"/>
      <c r="Z2" s="218"/>
      <c r="AA2" s="218"/>
      <c r="AB2" s="218"/>
      <c r="AC2" s="218"/>
      <c r="AD2" s="218"/>
      <c r="AE2" s="218"/>
      <c r="AF2" s="218"/>
      <c r="AG2" s="218"/>
      <c r="AH2" s="218"/>
      <c r="AI2" s="218"/>
    </row>
    <row r="3" spans="1:35" s="25" customFormat="1" ht="38.25" customHeight="1" x14ac:dyDescent="0.2">
      <c r="A3" s="19" t="s">
        <v>5</v>
      </c>
      <c r="B3" s="19" t="s">
        <v>18</v>
      </c>
      <c r="C3" s="69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43</v>
      </c>
      <c r="I3" s="20" t="s">
        <v>4</v>
      </c>
      <c r="J3" s="21" t="s">
        <v>28</v>
      </c>
      <c r="K3" s="22" t="s">
        <v>6</v>
      </c>
      <c r="L3" s="145" t="s">
        <v>185</v>
      </c>
      <c r="M3" s="145" t="s">
        <v>186</v>
      </c>
      <c r="N3" s="145" t="s">
        <v>187</v>
      </c>
      <c r="O3" s="145" t="s">
        <v>188</v>
      </c>
      <c r="P3" s="145" t="s">
        <v>189</v>
      </c>
      <c r="Q3" s="145" t="s">
        <v>190</v>
      </c>
      <c r="R3" s="145" t="s">
        <v>191</v>
      </c>
      <c r="S3" s="146" t="s">
        <v>0</v>
      </c>
      <c r="T3" s="23" t="s">
        <v>2</v>
      </c>
      <c r="U3" s="101">
        <v>45414</v>
      </c>
      <c r="V3" s="101">
        <v>45446</v>
      </c>
      <c r="W3" s="101">
        <v>45482</v>
      </c>
      <c r="X3" s="101">
        <v>45482</v>
      </c>
      <c r="Y3" s="101">
        <v>45484</v>
      </c>
      <c r="Z3" s="23" t="s">
        <v>231</v>
      </c>
      <c r="AA3" s="74">
        <v>45547</v>
      </c>
      <c r="AB3" s="74">
        <v>45559</v>
      </c>
      <c r="AC3" s="74">
        <v>45567</v>
      </c>
      <c r="AD3" s="74">
        <v>45569</v>
      </c>
      <c r="AE3" s="23" t="s">
        <v>237</v>
      </c>
      <c r="AF3" s="24" t="s">
        <v>1</v>
      </c>
      <c r="AG3" s="24" t="s">
        <v>1</v>
      </c>
      <c r="AH3" s="24" t="s">
        <v>1</v>
      </c>
      <c r="AI3" s="24" t="s">
        <v>1</v>
      </c>
    </row>
    <row r="4" spans="1:35" ht="23.25" customHeight="1" x14ac:dyDescent="0.2">
      <c r="A4" s="203">
        <v>1</v>
      </c>
      <c r="B4" s="196" t="s">
        <v>31</v>
      </c>
      <c r="C4" s="26">
        <v>1</v>
      </c>
      <c r="D4" s="201" t="s">
        <v>34</v>
      </c>
      <c r="E4" s="28" t="s">
        <v>35</v>
      </c>
      <c r="F4" s="29" t="s">
        <v>16</v>
      </c>
      <c r="G4" s="29" t="s">
        <v>17</v>
      </c>
      <c r="H4" s="29" t="s">
        <v>44</v>
      </c>
      <c r="I4" s="28" t="s">
        <v>24</v>
      </c>
      <c r="J4" s="30">
        <v>12.15</v>
      </c>
      <c r="K4" s="31">
        <v>20</v>
      </c>
      <c r="L4" s="140">
        <f t="shared" ref="L4:L32" si="0">IF(SUM(U4:AL4)&gt;K4+N4,K4+N4,SUM(U4:AL4))</f>
        <v>0</v>
      </c>
      <c r="M4" s="140">
        <f t="shared" ref="M4:M32" si="1">(SUM(U4:AL4))</f>
        <v>0</v>
      </c>
      <c r="N4" s="141"/>
      <c r="O4" s="142">
        <f t="shared" ref="O4:O32" si="2">ROUND(IF(K4*0.25-0.5&lt;0,0,K4*0.25-0.5),0)-R4-P4</f>
        <v>5</v>
      </c>
      <c r="P4" s="141"/>
      <c r="Q4" s="141"/>
      <c r="R4" s="141"/>
      <c r="S4" s="143">
        <f>K4+N4+P4+Q4-M4</f>
        <v>20</v>
      </c>
      <c r="T4" s="32" t="str">
        <f t="shared" ref="T4:T32" si="3">IF(S4&lt;0,"ATENÇÃO","OK")</f>
        <v>OK</v>
      </c>
      <c r="U4" s="35"/>
      <c r="V4" s="35"/>
      <c r="W4" s="36"/>
      <c r="X4" s="36"/>
      <c r="Y4" s="36"/>
      <c r="Z4" s="34"/>
      <c r="AA4" s="34"/>
      <c r="AB4" s="34"/>
      <c r="AC4" s="34"/>
      <c r="AD4" s="34"/>
      <c r="AE4" s="34"/>
      <c r="AF4" s="34"/>
      <c r="AG4" s="34"/>
      <c r="AH4" s="34"/>
      <c r="AI4" s="34"/>
    </row>
    <row r="5" spans="1:35" ht="26.45" customHeight="1" x14ac:dyDescent="0.2">
      <c r="A5" s="204"/>
      <c r="B5" s="206"/>
      <c r="C5" s="26">
        <v>2</v>
      </c>
      <c r="D5" s="207"/>
      <c r="E5" s="28" t="s">
        <v>36</v>
      </c>
      <c r="F5" s="29" t="s">
        <v>16</v>
      </c>
      <c r="G5" s="29" t="s">
        <v>17</v>
      </c>
      <c r="H5" s="29" t="s">
        <v>44</v>
      </c>
      <c r="I5" s="28" t="s">
        <v>24</v>
      </c>
      <c r="J5" s="30">
        <v>40.5</v>
      </c>
      <c r="K5" s="31">
        <v>20</v>
      </c>
      <c r="L5" s="140">
        <f t="shared" si="0"/>
        <v>20</v>
      </c>
      <c r="M5" s="140">
        <f t="shared" si="1"/>
        <v>20</v>
      </c>
      <c r="N5" s="141"/>
      <c r="O5" s="142">
        <f t="shared" si="2"/>
        <v>5</v>
      </c>
      <c r="P5" s="141"/>
      <c r="Q5" s="141"/>
      <c r="R5" s="141"/>
      <c r="S5" s="143">
        <f t="shared" ref="S5:S32" si="4">K5+N5+P5+Q5-M5</f>
        <v>0</v>
      </c>
      <c r="T5" s="32" t="str">
        <f t="shared" si="3"/>
        <v>OK</v>
      </c>
      <c r="U5" s="35"/>
      <c r="V5" s="35"/>
      <c r="W5" s="36"/>
      <c r="X5" s="36"/>
      <c r="Y5" s="36"/>
      <c r="Z5" s="34"/>
      <c r="AA5" s="34"/>
      <c r="AB5" s="34"/>
      <c r="AC5" s="116">
        <v>15</v>
      </c>
      <c r="AD5" s="34"/>
      <c r="AE5" s="108">
        <v>5</v>
      </c>
      <c r="AF5" s="34"/>
      <c r="AG5" s="34"/>
      <c r="AH5" s="34"/>
      <c r="AI5" s="34"/>
    </row>
    <row r="6" spans="1:35" ht="24" customHeight="1" x14ac:dyDescent="0.2">
      <c r="A6" s="204"/>
      <c r="B6" s="206"/>
      <c r="C6" s="26">
        <v>3</v>
      </c>
      <c r="D6" s="207"/>
      <c r="E6" s="28" t="s">
        <v>37</v>
      </c>
      <c r="F6" s="29" t="s">
        <v>16</v>
      </c>
      <c r="G6" s="29" t="s">
        <v>17</v>
      </c>
      <c r="H6" s="29" t="s">
        <v>44</v>
      </c>
      <c r="I6" s="28" t="s">
        <v>24</v>
      </c>
      <c r="J6" s="30">
        <v>49.5</v>
      </c>
      <c r="K6" s="31">
        <v>20</v>
      </c>
      <c r="L6" s="140">
        <f t="shared" si="0"/>
        <v>20</v>
      </c>
      <c r="M6" s="140">
        <f t="shared" si="1"/>
        <v>20</v>
      </c>
      <c r="N6" s="141"/>
      <c r="O6" s="142">
        <f t="shared" si="2"/>
        <v>5</v>
      </c>
      <c r="P6" s="141"/>
      <c r="Q6" s="141"/>
      <c r="R6" s="141"/>
      <c r="S6" s="143">
        <f t="shared" si="4"/>
        <v>0</v>
      </c>
      <c r="T6" s="32" t="str">
        <f t="shared" si="3"/>
        <v>OK</v>
      </c>
      <c r="U6" s="35"/>
      <c r="V6" s="35"/>
      <c r="W6" s="36"/>
      <c r="X6" s="36"/>
      <c r="Y6" s="36"/>
      <c r="Z6" s="34"/>
      <c r="AA6" s="34"/>
      <c r="AB6" s="34"/>
      <c r="AC6" s="34"/>
      <c r="AD6" s="108">
        <v>7</v>
      </c>
      <c r="AE6" s="108">
        <v>13</v>
      </c>
      <c r="AF6" s="34"/>
      <c r="AG6" s="34"/>
      <c r="AH6" s="34"/>
      <c r="AI6" s="34"/>
    </row>
    <row r="7" spans="1:35" ht="24" customHeight="1" x14ac:dyDescent="0.2">
      <c r="A7" s="204"/>
      <c r="B7" s="206"/>
      <c r="C7" s="26">
        <v>4</v>
      </c>
      <c r="D7" s="207"/>
      <c r="E7" s="28" t="s">
        <v>38</v>
      </c>
      <c r="F7" s="29" t="s">
        <v>16</v>
      </c>
      <c r="G7" s="29" t="s">
        <v>17</v>
      </c>
      <c r="H7" s="29" t="s">
        <v>44</v>
      </c>
      <c r="I7" s="28" t="s">
        <v>24</v>
      </c>
      <c r="J7" s="30">
        <v>53</v>
      </c>
      <c r="K7" s="31">
        <v>10</v>
      </c>
      <c r="L7" s="140">
        <f t="shared" si="0"/>
        <v>10</v>
      </c>
      <c r="M7" s="140">
        <f t="shared" si="1"/>
        <v>10</v>
      </c>
      <c r="N7" s="141"/>
      <c r="O7" s="142">
        <f t="shared" si="2"/>
        <v>2</v>
      </c>
      <c r="P7" s="141"/>
      <c r="Q7" s="141"/>
      <c r="R7" s="141"/>
      <c r="S7" s="143">
        <f t="shared" si="4"/>
        <v>0</v>
      </c>
      <c r="T7" s="32" t="str">
        <f t="shared" si="3"/>
        <v>OK</v>
      </c>
      <c r="U7" s="35"/>
      <c r="V7" s="35"/>
      <c r="W7" s="36"/>
      <c r="X7" s="36"/>
      <c r="Y7" s="103">
        <v>10</v>
      </c>
      <c r="Z7" s="34"/>
      <c r="AA7" s="34"/>
      <c r="AB7" s="34"/>
      <c r="AC7" s="34"/>
      <c r="AD7" s="34"/>
      <c r="AE7" s="34"/>
      <c r="AF7" s="34"/>
      <c r="AG7" s="34"/>
      <c r="AH7" s="34"/>
      <c r="AI7" s="34"/>
    </row>
    <row r="8" spans="1:35" ht="19.5" customHeight="1" x14ac:dyDescent="0.2">
      <c r="A8" s="205"/>
      <c r="B8" s="197"/>
      <c r="C8" s="26">
        <v>5</v>
      </c>
      <c r="D8" s="202"/>
      <c r="E8" s="28" t="s">
        <v>39</v>
      </c>
      <c r="F8" s="29" t="s">
        <v>16</v>
      </c>
      <c r="G8" s="29" t="s">
        <v>17</v>
      </c>
      <c r="H8" s="29" t="s">
        <v>44</v>
      </c>
      <c r="I8" s="28" t="s">
        <v>24</v>
      </c>
      <c r="J8" s="30">
        <v>30.4</v>
      </c>
      <c r="K8" s="31">
        <f>50</f>
        <v>50</v>
      </c>
      <c r="L8" s="140">
        <f t="shared" si="0"/>
        <v>70</v>
      </c>
      <c r="M8" s="140">
        <f t="shared" si="1"/>
        <v>70</v>
      </c>
      <c r="N8" s="141">
        <v>20</v>
      </c>
      <c r="O8" s="142">
        <f t="shared" si="2"/>
        <v>12</v>
      </c>
      <c r="P8" s="141"/>
      <c r="Q8" s="141"/>
      <c r="R8" s="141"/>
      <c r="S8" s="143">
        <f t="shared" si="4"/>
        <v>0</v>
      </c>
      <c r="T8" s="32" t="str">
        <f t="shared" si="3"/>
        <v>OK</v>
      </c>
      <c r="U8" s="109">
        <v>20</v>
      </c>
      <c r="V8" s="35"/>
      <c r="W8" s="36"/>
      <c r="X8" s="36"/>
      <c r="Y8" s="36"/>
      <c r="Z8" s="116">
        <v>30</v>
      </c>
      <c r="AA8" s="116">
        <v>20</v>
      </c>
      <c r="AB8" s="34"/>
      <c r="AC8" s="34"/>
      <c r="AD8" s="34"/>
      <c r="AE8" s="34"/>
      <c r="AF8" s="34"/>
      <c r="AG8" s="34"/>
      <c r="AH8" s="34"/>
      <c r="AI8" s="34"/>
    </row>
    <row r="9" spans="1:35" ht="21.75" customHeight="1" x14ac:dyDescent="0.2">
      <c r="A9" s="216">
        <v>2</v>
      </c>
      <c r="B9" s="190" t="s">
        <v>31</v>
      </c>
      <c r="C9" s="40">
        <v>6</v>
      </c>
      <c r="D9" s="199" t="s">
        <v>40</v>
      </c>
      <c r="E9" s="39" t="s">
        <v>35</v>
      </c>
      <c r="F9" s="41" t="s">
        <v>16</v>
      </c>
      <c r="G9" s="41" t="s">
        <v>17</v>
      </c>
      <c r="H9" s="41" t="s">
        <v>44</v>
      </c>
      <c r="I9" s="39" t="s">
        <v>24</v>
      </c>
      <c r="J9" s="42">
        <v>14.21</v>
      </c>
      <c r="K9" s="31">
        <v>10</v>
      </c>
      <c r="L9" s="140">
        <f t="shared" si="0"/>
        <v>0</v>
      </c>
      <c r="M9" s="140">
        <f t="shared" si="1"/>
        <v>0</v>
      </c>
      <c r="N9" s="141"/>
      <c r="O9" s="142">
        <f t="shared" si="2"/>
        <v>2</v>
      </c>
      <c r="P9" s="141"/>
      <c r="Q9" s="141"/>
      <c r="R9" s="141"/>
      <c r="S9" s="143">
        <f t="shared" si="4"/>
        <v>10</v>
      </c>
      <c r="T9" s="32" t="str">
        <f t="shared" si="3"/>
        <v>OK</v>
      </c>
      <c r="U9" s="35"/>
      <c r="V9" s="35"/>
      <c r="W9" s="36"/>
      <c r="X9" s="36"/>
      <c r="Y9" s="36"/>
      <c r="Z9" s="34"/>
      <c r="AA9" s="34"/>
      <c r="AB9" s="34"/>
      <c r="AC9" s="34"/>
      <c r="AD9" s="34"/>
      <c r="AE9" s="34"/>
      <c r="AF9" s="34"/>
      <c r="AG9" s="34"/>
      <c r="AH9" s="34"/>
      <c r="AI9" s="34"/>
    </row>
    <row r="10" spans="1:35" ht="54.75" customHeight="1" x14ac:dyDescent="0.2">
      <c r="A10" s="217"/>
      <c r="B10" s="191"/>
      <c r="C10" s="40">
        <v>7</v>
      </c>
      <c r="D10" s="200"/>
      <c r="E10" s="39" t="s">
        <v>41</v>
      </c>
      <c r="F10" s="41" t="s">
        <v>16</v>
      </c>
      <c r="G10" s="41" t="s">
        <v>17</v>
      </c>
      <c r="H10" s="41" t="s">
        <v>44</v>
      </c>
      <c r="I10" s="39" t="s">
        <v>24</v>
      </c>
      <c r="J10" s="42">
        <v>20.9</v>
      </c>
      <c r="K10" s="31">
        <f>30</f>
        <v>30</v>
      </c>
      <c r="L10" s="140">
        <f t="shared" si="0"/>
        <v>0</v>
      </c>
      <c r="M10" s="140">
        <f t="shared" si="1"/>
        <v>0</v>
      </c>
      <c r="N10" s="141">
        <v>-30</v>
      </c>
      <c r="O10" s="142">
        <f t="shared" si="2"/>
        <v>7</v>
      </c>
      <c r="P10" s="141"/>
      <c r="Q10" s="141"/>
      <c r="R10" s="141"/>
      <c r="S10" s="143">
        <f t="shared" si="4"/>
        <v>0</v>
      </c>
      <c r="T10" s="32" t="str">
        <f t="shared" si="3"/>
        <v>OK</v>
      </c>
      <c r="U10" s="35"/>
      <c r="V10" s="35"/>
      <c r="W10" s="36"/>
      <c r="X10" s="36"/>
      <c r="Y10" s="36"/>
      <c r="Z10" s="34"/>
      <c r="AA10" s="34"/>
      <c r="AB10" s="34"/>
      <c r="AC10" s="34"/>
      <c r="AD10" s="34"/>
      <c r="AE10" s="34"/>
      <c r="AF10" s="34"/>
      <c r="AG10" s="34"/>
      <c r="AH10" s="34"/>
      <c r="AI10" s="34"/>
    </row>
    <row r="11" spans="1:35" ht="25.5" x14ac:dyDescent="0.2">
      <c r="A11" s="203">
        <v>3</v>
      </c>
      <c r="B11" s="196" t="s">
        <v>42</v>
      </c>
      <c r="C11" s="26">
        <v>8</v>
      </c>
      <c r="D11" s="201" t="s">
        <v>45</v>
      </c>
      <c r="E11" s="28" t="s">
        <v>46</v>
      </c>
      <c r="F11" s="29" t="s">
        <v>16</v>
      </c>
      <c r="G11" s="29" t="s">
        <v>17</v>
      </c>
      <c r="H11" s="29" t="s">
        <v>44</v>
      </c>
      <c r="I11" s="28" t="s">
        <v>24</v>
      </c>
      <c r="J11" s="30">
        <v>423</v>
      </c>
      <c r="K11" s="31">
        <v>10</v>
      </c>
      <c r="L11" s="140">
        <f t="shared" si="0"/>
        <v>0</v>
      </c>
      <c r="M11" s="140">
        <f t="shared" si="1"/>
        <v>0</v>
      </c>
      <c r="N11" s="141"/>
      <c r="O11" s="142">
        <f t="shared" si="2"/>
        <v>2</v>
      </c>
      <c r="P11" s="141"/>
      <c r="Q11" s="141"/>
      <c r="R11" s="141"/>
      <c r="S11" s="143">
        <f t="shared" si="4"/>
        <v>10</v>
      </c>
      <c r="T11" s="32" t="str">
        <f t="shared" si="3"/>
        <v>OK</v>
      </c>
      <c r="U11" s="35"/>
      <c r="V11" s="35"/>
      <c r="W11" s="36"/>
      <c r="X11" s="36"/>
      <c r="Y11" s="36"/>
      <c r="Z11" s="34"/>
      <c r="AA11" s="34"/>
      <c r="AB11" s="34"/>
      <c r="AC11" s="34"/>
      <c r="AD11" s="34"/>
      <c r="AE11" s="34"/>
      <c r="AF11" s="34"/>
      <c r="AG11" s="34"/>
      <c r="AH11" s="34"/>
      <c r="AI11" s="34"/>
    </row>
    <row r="12" spans="1:35" ht="21.2" customHeight="1" x14ac:dyDescent="0.2">
      <c r="A12" s="204"/>
      <c r="B12" s="206"/>
      <c r="C12" s="26">
        <v>9</v>
      </c>
      <c r="D12" s="207"/>
      <c r="E12" s="28" t="s">
        <v>47</v>
      </c>
      <c r="F12" s="29" t="s">
        <v>16</v>
      </c>
      <c r="G12" s="29" t="s">
        <v>17</v>
      </c>
      <c r="H12" s="29" t="s">
        <v>44</v>
      </c>
      <c r="I12" s="28" t="s">
        <v>24</v>
      </c>
      <c r="J12" s="30">
        <v>1613</v>
      </c>
      <c r="K12" s="31">
        <v>5</v>
      </c>
      <c r="L12" s="140">
        <f t="shared" si="0"/>
        <v>0</v>
      </c>
      <c r="M12" s="140">
        <f t="shared" si="1"/>
        <v>0</v>
      </c>
      <c r="N12" s="141"/>
      <c r="O12" s="142">
        <f t="shared" si="2"/>
        <v>1</v>
      </c>
      <c r="P12" s="141"/>
      <c r="Q12" s="141"/>
      <c r="R12" s="141"/>
      <c r="S12" s="143">
        <f t="shared" si="4"/>
        <v>5</v>
      </c>
      <c r="T12" s="32" t="str">
        <f t="shared" si="3"/>
        <v>OK</v>
      </c>
      <c r="U12" s="35"/>
      <c r="V12" s="35"/>
      <c r="W12" s="36"/>
      <c r="X12" s="36"/>
      <c r="Y12" s="36"/>
      <c r="Z12" s="34"/>
      <c r="AA12" s="34"/>
      <c r="AB12" s="34"/>
      <c r="AC12" s="34"/>
      <c r="AD12" s="34"/>
      <c r="AE12" s="34"/>
      <c r="AF12" s="34"/>
      <c r="AG12" s="34"/>
      <c r="AH12" s="34"/>
      <c r="AI12" s="34"/>
    </row>
    <row r="13" spans="1:35" ht="19.5" customHeight="1" x14ac:dyDescent="0.2">
      <c r="A13" s="205"/>
      <c r="B13" s="197"/>
      <c r="C13" s="26">
        <v>10</v>
      </c>
      <c r="D13" s="202"/>
      <c r="E13" s="28" t="s">
        <v>48</v>
      </c>
      <c r="F13" s="29" t="s">
        <v>16</v>
      </c>
      <c r="G13" s="29" t="s">
        <v>17</v>
      </c>
      <c r="H13" s="29" t="s">
        <v>44</v>
      </c>
      <c r="I13" s="28" t="s">
        <v>24</v>
      </c>
      <c r="J13" s="30">
        <v>1749</v>
      </c>
      <c r="K13" s="31">
        <v>3</v>
      </c>
      <c r="L13" s="140">
        <f t="shared" si="0"/>
        <v>0</v>
      </c>
      <c r="M13" s="140">
        <f t="shared" si="1"/>
        <v>0</v>
      </c>
      <c r="N13" s="141"/>
      <c r="O13" s="142">
        <f t="shared" si="2"/>
        <v>0</v>
      </c>
      <c r="P13" s="141"/>
      <c r="Q13" s="141"/>
      <c r="R13" s="141"/>
      <c r="S13" s="143">
        <f t="shared" si="4"/>
        <v>3</v>
      </c>
      <c r="T13" s="32" t="str">
        <f t="shared" si="3"/>
        <v>OK</v>
      </c>
      <c r="U13" s="35"/>
      <c r="V13" s="35"/>
      <c r="W13" s="36"/>
      <c r="X13" s="36"/>
      <c r="Y13" s="36"/>
      <c r="Z13" s="34"/>
      <c r="AA13" s="34"/>
      <c r="AB13" s="34"/>
      <c r="AC13" s="34"/>
      <c r="AD13" s="34"/>
      <c r="AE13" s="34"/>
      <c r="AF13" s="34"/>
      <c r="AG13" s="34"/>
      <c r="AH13" s="34"/>
      <c r="AI13" s="34"/>
    </row>
    <row r="14" spans="1:35" ht="25.15" customHeight="1" x14ac:dyDescent="0.2">
      <c r="A14" s="208">
        <v>4</v>
      </c>
      <c r="B14" s="209" t="s">
        <v>49</v>
      </c>
      <c r="C14" s="40">
        <v>11</v>
      </c>
      <c r="D14" s="211" t="s">
        <v>50</v>
      </c>
      <c r="E14" s="39" t="s">
        <v>51</v>
      </c>
      <c r="F14" s="41" t="s">
        <v>16</v>
      </c>
      <c r="G14" s="41" t="s">
        <v>17</v>
      </c>
      <c r="H14" s="41" t="s">
        <v>44</v>
      </c>
      <c r="I14" s="39" t="s">
        <v>53</v>
      </c>
      <c r="J14" s="42">
        <v>19.63</v>
      </c>
      <c r="K14" s="31">
        <v>20</v>
      </c>
      <c r="L14" s="140">
        <f t="shared" si="0"/>
        <v>0</v>
      </c>
      <c r="M14" s="140">
        <f t="shared" si="1"/>
        <v>0</v>
      </c>
      <c r="N14" s="141"/>
      <c r="O14" s="142">
        <f t="shared" si="2"/>
        <v>5</v>
      </c>
      <c r="P14" s="141"/>
      <c r="Q14" s="141"/>
      <c r="R14" s="141"/>
      <c r="S14" s="143">
        <f t="shared" si="4"/>
        <v>20</v>
      </c>
      <c r="T14" s="32" t="str">
        <f t="shared" si="3"/>
        <v>OK</v>
      </c>
      <c r="U14" s="35"/>
      <c r="V14" s="35"/>
      <c r="W14" s="36"/>
      <c r="X14" s="36"/>
      <c r="Y14" s="36"/>
      <c r="Z14" s="34"/>
      <c r="AA14" s="34"/>
      <c r="AB14" s="34"/>
      <c r="AC14" s="34"/>
      <c r="AD14" s="34"/>
      <c r="AE14" s="34"/>
      <c r="AF14" s="34"/>
      <c r="AG14" s="34"/>
      <c r="AH14" s="34"/>
      <c r="AI14" s="34"/>
    </row>
    <row r="15" spans="1:35" ht="22.7" customHeight="1" x14ac:dyDescent="0.2">
      <c r="A15" s="208"/>
      <c r="B15" s="210"/>
      <c r="C15" s="40">
        <v>12</v>
      </c>
      <c r="D15" s="212"/>
      <c r="E15" s="39" t="s">
        <v>52</v>
      </c>
      <c r="F15" s="41" t="s">
        <v>16</v>
      </c>
      <c r="G15" s="41" t="s">
        <v>17</v>
      </c>
      <c r="H15" s="41" t="s">
        <v>44</v>
      </c>
      <c r="I15" s="39" t="s">
        <v>24</v>
      </c>
      <c r="J15" s="42">
        <v>20.27</v>
      </c>
      <c r="K15" s="31">
        <v>0</v>
      </c>
      <c r="L15" s="140">
        <f t="shared" si="0"/>
        <v>0</v>
      </c>
      <c r="M15" s="140">
        <f t="shared" si="1"/>
        <v>0</v>
      </c>
      <c r="N15" s="141"/>
      <c r="O15" s="142">
        <f t="shared" si="2"/>
        <v>0</v>
      </c>
      <c r="P15" s="141"/>
      <c r="Q15" s="141"/>
      <c r="R15" s="141"/>
      <c r="S15" s="143">
        <f t="shared" si="4"/>
        <v>0</v>
      </c>
      <c r="T15" s="32" t="str">
        <f t="shared" si="3"/>
        <v>OK</v>
      </c>
      <c r="U15" s="35"/>
      <c r="V15" s="35"/>
      <c r="W15" s="36"/>
      <c r="X15" s="36"/>
      <c r="Y15" s="36"/>
      <c r="Z15" s="34"/>
      <c r="AA15" s="34"/>
      <c r="AB15" s="34"/>
      <c r="AC15" s="34"/>
      <c r="AD15" s="34"/>
      <c r="AE15" s="34"/>
      <c r="AF15" s="34"/>
      <c r="AG15" s="34"/>
      <c r="AH15" s="34"/>
      <c r="AI15" s="34"/>
    </row>
    <row r="16" spans="1:35" ht="45" customHeight="1" x14ac:dyDescent="0.2">
      <c r="A16" s="48">
        <v>5</v>
      </c>
      <c r="B16" s="28" t="s">
        <v>49</v>
      </c>
      <c r="C16" s="26">
        <v>13</v>
      </c>
      <c r="D16" s="49" t="s">
        <v>54</v>
      </c>
      <c r="E16" s="63" t="s">
        <v>55</v>
      </c>
      <c r="F16" s="50" t="s">
        <v>16</v>
      </c>
      <c r="G16" s="50" t="s">
        <v>17</v>
      </c>
      <c r="H16" s="29" t="s">
        <v>44</v>
      </c>
      <c r="I16" s="28" t="s">
        <v>53</v>
      </c>
      <c r="J16" s="30">
        <v>28.9</v>
      </c>
      <c r="K16" s="31">
        <v>10</v>
      </c>
      <c r="L16" s="140">
        <f t="shared" si="0"/>
        <v>0</v>
      </c>
      <c r="M16" s="140">
        <f t="shared" si="1"/>
        <v>0</v>
      </c>
      <c r="N16" s="141"/>
      <c r="O16" s="142">
        <f t="shared" si="2"/>
        <v>2</v>
      </c>
      <c r="P16" s="141"/>
      <c r="Q16" s="141"/>
      <c r="R16" s="141"/>
      <c r="S16" s="143">
        <f t="shared" si="4"/>
        <v>10</v>
      </c>
      <c r="T16" s="32" t="str">
        <f t="shared" si="3"/>
        <v>OK</v>
      </c>
      <c r="U16" s="35"/>
      <c r="V16" s="35"/>
      <c r="W16" s="36"/>
      <c r="X16" s="36"/>
      <c r="Y16" s="36"/>
      <c r="Z16" s="34"/>
      <c r="AA16" s="34"/>
      <c r="AB16" s="34"/>
      <c r="AC16" s="34"/>
      <c r="AD16" s="34"/>
      <c r="AE16" s="34"/>
      <c r="AF16" s="34"/>
      <c r="AG16" s="34"/>
      <c r="AH16" s="34"/>
      <c r="AI16" s="34"/>
    </row>
    <row r="17" spans="1:35" ht="121.7" customHeight="1" x14ac:dyDescent="0.2">
      <c r="A17" s="38">
        <v>6</v>
      </c>
      <c r="B17" s="47" t="s">
        <v>49</v>
      </c>
      <c r="C17" s="40">
        <v>14</v>
      </c>
      <c r="D17" s="47" t="s">
        <v>57</v>
      </c>
      <c r="E17" s="39" t="s">
        <v>56</v>
      </c>
      <c r="F17" s="41" t="s">
        <v>16</v>
      </c>
      <c r="G17" s="41" t="s">
        <v>17</v>
      </c>
      <c r="H17" s="41" t="s">
        <v>44</v>
      </c>
      <c r="I17" s="39" t="s">
        <v>24</v>
      </c>
      <c r="J17" s="42">
        <v>9.5</v>
      </c>
      <c r="K17" s="31">
        <v>50</v>
      </c>
      <c r="L17" s="140">
        <f t="shared" si="0"/>
        <v>0</v>
      </c>
      <c r="M17" s="140">
        <f t="shared" si="1"/>
        <v>0</v>
      </c>
      <c r="N17" s="141"/>
      <c r="O17" s="142">
        <f t="shared" si="2"/>
        <v>12</v>
      </c>
      <c r="P17" s="141"/>
      <c r="Q17" s="141"/>
      <c r="R17" s="141"/>
      <c r="S17" s="143">
        <f t="shared" si="4"/>
        <v>50</v>
      </c>
      <c r="T17" s="32" t="str">
        <f t="shared" si="3"/>
        <v>OK</v>
      </c>
      <c r="U17" s="35"/>
      <c r="V17" s="35"/>
      <c r="W17" s="36"/>
      <c r="X17" s="36"/>
      <c r="Y17" s="36"/>
      <c r="Z17" s="34"/>
      <c r="AA17" s="34"/>
      <c r="AB17" s="34"/>
      <c r="AC17" s="34"/>
      <c r="AD17" s="34"/>
      <c r="AE17" s="34"/>
      <c r="AF17" s="34"/>
      <c r="AG17" s="34"/>
      <c r="AH17" s="34"/>
      <c r="AI17" s="34"/>
    </row>
    <row r="18" spans="1:35" ht="63.75" customHeight="1" x14ac:dyDescent="0.2">
      <c r="A18" s="65">
        <v>7</v>
      </c>
      <c r="B18" s="28" t="s">
        <v>49</v>
      </c>
      <c r="C18" s="64">
        <v>15</v>
      </c>
      <c r="D18" s="37" t="s">
        <v>58</v>
      </c>
      <c r="E18" s="61" t="s">
        <v>59</v>
      </c>
      <c r="F18" s="29" t="s">
        <v>16</v>
      </c>
      <c r="G18" s="29" t="s">
        <v>17</v>
      </c>
      <c r="H18" s="29" t="s">
        <v>44</v>
      </c>
      <c r="I18" s="28" t="s">
        <v>24</v>
      </c>
      <c r="J18" s="30">
        <v>197.76</v>
      </c>
      <c r="K18" s="31">
        <v>10</v>
      </c>
      <c r="L18" s="140">
        <f t="shared" si="0"/>
        <v>0</v>
      </c>
      <c r="M18" s="140">
        <f t="shared" si="1"/>
        <v>0</v>
      </c>
      <c r="N18" s="141"/>
      <c r="O18" s="142">
        <f t="shared" si="2"/>
        <v>2</v>
      </c>
      <c r="P18" s="141"/>
      <c r="Q18" s="141"/>
      <c r="R18" s="141"/>
      <c r="S18" s="143">
        <f t="shared" si="4"/>
        <v>10</v>
      </c>
      <c r="T18" s="32" t="str">
        <f t="shared" si="3"/>
        <v>OK</v>
      </c>
      <c r="U18" s="35"/>
      <c r="V18" s="35"/>
      <c r="W18" s="36"/>
      <c r="X18" s="36"/>
      <c r="Y18" s="36"/>
      <c r="Z18" s="34"/>
      <c r="AA18" s="34"/>
      <c r="AB18" s="34"/>
      <c r="AC18" s="34"/>
      <c r="AD18" s="34"/>
      <c r="AE18" s="34"/>
      <c r="AF18" s="34"/>
      <c r="AG18" s="34"/>
      <c r="AH18" s="34"/>
      <c r="AI18" s="34"/>
    </row>
    <row r="19" spans="1:35" ht="38.25" customHeight="1" x14ac:dyDescent="0.2">
      <c r="A19" s="188">
        <v>8</v>
      </c>
      <c r="B19" s="190" t="s">
        <v>49</v>
      </c>
      <c r="C19" s="40">
        <v>16</v>
      </c>
      <c r="D19" s="199" t="s">
        <v>12</v>
      </c>
      <c r="E19" s="39" t="s">
        <v>60</v>
      </c>
      <c r="F19" s="41" t="s">
        <v>16</v>
      </c>
      <c r="G19" s="41" t="s">
        <v>17</v>
      </c>
      <c r="H19" s="41" t="s">
        <v>44</v>
      </c>
      <c r="I19" s="39" t="s">
        <v>24</v>
      </c>
      <c r="J19" s="42">
        <v>22.35</v>
      </c>
      <c r="K19" s="31">
        <v>10</v>
      </c>
      <c r="L19" s="140">
        <f t="shared" si="0"/>
        <v>10</v>
      </c>
      <c r="M19" s="140">
        <f t="shared" si="1"/>
        <v>10</v>
      </c>
      <c r="N19" s="141"/>
      <c r="O19" s="142">
        <f t="shared" si="2"/>
        <v>2</v>
      </c>
      <c r="P19" s="141"/>
      <c r="Q19" s="141"/>
      <c r="R19" s="141"/>
      <c r="S19" s="143">
        <f t="shared" si="4"/>
        <v>0</v>
      </c>
      <c r="T19" s="32" t="str">
        <f t="shared" si="3"/>
        <v>OK</v>
      </c>
      <c r="U19" s="35"/>
      <c r="V19" s="96">
        <v>10</v>
      </c>
      <c r="W19" s="36"/>
      <c r="X19" s="36"/>
      <c r="Y19" s="36"/>
      <c r="Z19" s="34"/>
      <c r="AA19" s="34"/>
      <c r="AB19" s="34"/>
      <c r="AC19" s="34"/>
      <c r="AD19" s="34"/>
      <c r="AE19" s="34"/>
      <c r="AF19" s="34"/>
      <c r="AG19" s="34"/>
      <c r="AH19" s="34"/>
      <c r="AI19" s="34"/>
    </row>
    <row r="20" spans="1:35" ht="45" customHeight="1" x14ac:dyDescent="0.2">
      <c r="A20" s="189"/>
      <c r="B20" s="191"/>
      <c r="C20" s="40">
        <v>17</v>
      </c>
      <c r="D20" s="200"/>
      <c r="E20" s="39" t="s">
        <v>61</v>
      </c>
      <c r="F20" s="44" t="s">
        <v>16</v>
      </c>
      <c r="G20" s="44" t="s">
        <v>17</v>
      </c>
      <c r="H20" s="41" t="s">
        <v>44</v>
      </c>
      <c r="I20" s="39" t="s">
        <v>24</v>
      </c>
      <c r="J20" s="42">
        <v>4.5999999999999996</v>
      </c>
      <c r="K20" s="31">
        <v>30</v>
      </c>
      <c r="L20" s="140">
        <f t="shared" si="0"/>
        <v>30</v>
      </c>
      <c r="M20" s="140">
        <f t="shared" si="1"/>
        <v>30</v>
      </c>
      <c r="N20" s="141"/>
      <c r="O20" s="142">
        <f t="shared" si="2"/>
        <v>7</v>
      </c>
      <c r="P20" s="141"/>
      <c r="Q20" s="141"/>
      <c r="R20" s="141"/>
      <c r="S20" s="143">
        <f t="shared" si="4"/>
        <v>0</v>
      </c>
      <c r="T20" s="32" t="str">
        <f t="shared" si="3"/>
        <v>OK</v>
      </c>
      <c r="U20" s="35"/>
      <c r="V20" s="96">
        <v>30</v>
      </c>
      <c r="W20" s="36"/>
      <c r="X20" s="36"/>
      <c r="Y20" s="105"/>
      <c r="Z20" s="34"/>
      <c r="AA20" s="34"/>
      <c r="AB20" s="34"/>
      <c r="AC20" s="34"/>
      <c r="AD20" s="34"/>
      <c r="AE20" s="34"/>
      <c r="AF20" s="34"/>
      <c r="AG20" s="34"/>
      <c r="AH20" s="34"/>
      <c r="AI20" s="34"/>
    </row>
    <row r="21" spans="1:35" ht="58.7" customHeight="1" x14ac:dyDescent="0.2">
      <c r="A21" s="48">
        <v>9</v>
      </c>
      <c r="B21" s="28" t="s">
        <v>62</v>
      </c>
      <c r="C21" s="26">
        <v>18</v>
      </c>
      <c r="D21" s="27" t="s">
        <v>63</v>
      </c>
      <c r="E21" s="28" t="s">
        <v>64</v>
      </c>
      <c r="F21" s="50" t="s">
        <v>16</v>
      </c>
      <c r="G21" s="50" t="s">
        <v>17</v>
      </c>
      <c r="H21" s="29" t="s">
        <v>44</v>
      </c>
      <c r="I21" s="28" t="s">
        <v>24</v>
      </c>
      <c r="J21" s="30">
        <v>3.46</v>
      </c>
      <c r="K21" s="31">
        <v>0</v>
      </c>
      <c r="L21" s="140">
        <f t="shared" si="0"/>
        <v>0</v>
      </c>
      <c r="M21" s="140">
        <f t="shared" si="1"/>
        <v>0</v>
      </c>
      <c r="N21" s="141"/>
      <c r="O21" s="142">
        <f t="shared" si="2"/>
        <v>0</v>
      </c>
      <c r="P21" s="141"/>
      <c r="Q21" s="141"/>
      <c r="R21" s="141"/>
      <c r="S21" s="143">
        <f t="shared" si="4"/>
        <v>0</v>
      </c>
      <c r="T21" s="32" t="str">
        <f t="shared" si="3"/>
        <v>OK</v>
      </c>
      <c r="U21" s="35"/>
      <c r="V21" s="35"/>
      <c r="W21" s="36"/>
      <c r="X21" s="36"/>
      <c r="Y21" s="105"/>
      <c r="Z21" s="34"/>
      <c r="AA21" s="34"/>
      <c r="AB21" s="34"/>
      <c r="AC21" s="34"/>
      <c r="AD21" s="34"/>
      <c r="AE21" s="34"/>
      <c r="AF21" s="34"/>
      <c r="AG21" s="34"/>
      <c r="AH21" s="34"/>
      <c r="AI21" s="34"/>
    </row>
    <row r="22" spans="1:35" ht="45" customHeight="1" x14ac:dyDescent="0.2">
      <c r="A22" s="38">
        <v>10</v>
      </c>
      <c r="B22" s="47" t="s">
        <v>31</v>
      </c>
      <c r="C22" s="40">
        <v>19</v>
      </c>
      <c r="D22" s="47" t="s">
        <v>27</v>
      </c>
      <c r="E22" s="39" t="s">
        <v>23</v>
      </c>
      <c r="F22" s="44" t="s">
        <v>16</v>
      </c>
      <c r="G22" s="44" t="s">
        <v>17</v>
      </c>
      <c r="H22" s="41" t="s">
        <v>44</v>
      </c>
      <c r="I22" s="39" t="s">
        <v>24</v>
      </c>
      <c r="J22" s="42">
        <v>0.4</v>
      </c>
      <c r="K22" s="31">
        <v>500</v>
      </c>
      <c r="L22" s="140">
        <f t="shared" si="0"/>
        <v>500</v>
      </c>
      <c r="M22" s="140">
        <f t="shared" si="1"/>
        <v>500</v>
      </c>
      <c r="N22" s="141"/>
      <c r="O22" s="142">
        <f t="shared" si="2"/>
        <v>125</v>
      </c>
      <c r="P22" s="141"/>
      <c r="Q22" s="141"/>
      <c r="R22" s="141"/>
      <c r="S22" s="143">
        <f t="shared" si="4"/>
        <v>0</v>
      </c>
      <c r="T22" s="32" t="str">
        <f t="shared" si="3"/>
        <v>OK</v>
      </c>
      <c r="U22" s="35"/>
      <c r="V22" s="35"/>
      <c r="W22" s="103">
        <v>250</v>
      </c>
      <c r="X22" s="36"/>
      <c r="Y22" s="105"/>
      <c r="Z22" s="36"/>
      <c r="AA22" s="34"/>
      <c r="AB22" s="34"/>
      <c r="AC22" s="34"/>
      <c r="AD22" s="34"/>
      <c r="AE22" s="108">
        <v>250</v>
      </c>
      <c r="AF22" s="34"/>
      <c r="AG22" s="34"/>
      <c r="AH22" s="34"/>
      <c r="AI22" s="34"/>
    </row>
    <row r="23" spans="1:35" ht="28.15" customHeight="1" x14ac:dyDescent="0.2">
      <c r="A23" s="194">
        <v>11</v>
      </c>
      <c r="B23" s="196" t="s">
        <v>65</v>
      </c>
      <c r="C23" s="26">
        <v>20</v>
      </c>
      <c r="D23" s="201" t="s">
        <v>25</v>
      </c>
      <c r="E23" s="28" t="s">
        <v>19</v>
      </c>
      <c r="F23" s="50" t="s">
        <v>16</v>
      </c>
      <c r="G23" s="50" t="s">
        <v>17</v>
      </c>
      <c r="H23" s="29" t="s">
        <v>44</v>
      </c>
      <c r="I23" s="28" t="s">
        <v>24</v>
      </c>
      <c r="J23" s="30">
        <v>3.95</v>
      </c>
      <c r="K23" s="31">
        <v>0</v>
      </c>
      <c r="L23" s="140">
        <f t="shared" si="0"/>
        <v>0</v>
      </c>
      <c r="M23" s="140">
        <f t="shared" si="1"/>
        <v>0</v>
      </c>
      <c r="N23" s="141"/>
      <c r="O23" s="142">
        <f t="shared" si="2"/>
        <v>0</v>
      </c>
      <c r="P23" s="141"/>
      <c r="Q23" s="141"/>
      <c r="R23" s="141"/>
      <c r="S23" s="143">
        <f t="shared" si="4"/>
        <v>0</v>
      </c>
      <c r="T23" s="32" t="str">
        <f t="shared" si="3"/>
        <v>OK</v>
      </c>
      <c r="U23" s="35"/>
      <c r="V23" s="35"/>
      <c r="W23" s="36"/>
      <c r="X23" s="36"/>
      <c r="Y23" s="105"/>
      <c r="Z23" s="36"/>
      <c r="AA23" s="34"/>
      <c r="AB23" s="34"/>
      <c r="AC23" s="34"/>
      <c r="AD23" s="34"/>
      <c r="AE23" s="34"/>
      <c r="AF23" s="34"/>
      <c r="AG23" s="34"/>
      <c r="AH23" s="34"/>
      <c r="AI23" s="34"/>
    </row>
    <row r="24" spans="1:35" ht="25.15" customHeight="1" x14ac:dyDescent="0.2">
      <c r="A24" s="195"/>
      <c r="B24" s="197"/>
      <c r="C24" s="26">
        <v>21</v>
      </c>
      <c r="D24" s="202"/>
      <c r="E24" s="28" t="s">
        <v>20</v>
      </c>
      <c r="F24" s="50" t="s">
        <v>16</v>
      </c>
      <c r="G24" s="50" t="s">
        <v>17</v>
      </c>
      <c r="H24" s="29" t="s">
        <v>44</v>
      </c>
      <c r="I24" s="28" t="s">
        <v>24</v>
      </c>
      <c r="J24" s="30">
        <v>2.41</v>
      </c>
      <c r="K24" s="31">
        <v>0</v>
      </c>
      <c r="L24" s="140">
        <f t="shared" si="0"/>
        <v>0</v>
      </c>
      <c r="M24" s="140">
        <f t="shared" si="1"/>
        <v>0</v>
      </c>
      <c r="N24" s="141"/>
      <c r="O24" s="142">
        <f t="shared" si="2"/>
        <v>0</v>
      </c>
      <c r="P24" s="141"/>
      <c r="Q24" s="141"/>
      <c r="R24" s="141"/>
      <c r="S24" s="143">
        <f t="shared" si="4"/>
        <v>0</v>
      </c>
      <c r="T24" s="32" t="str">
        <f t="shared" si="3"/>
        <v>OK</v>
      </c>
      <c r="U24" s="35"/>
      <c r="V24" s="35"/>
      <c r="W24" s="36"/>
      <c r="X24" s="36"/>
      <c r="Y24" s="105"/>
      <c r="Z24" s="34"/>
      <c r="AA24" s="34"/>
      <c r="AB24" s="34"/>
      <c r="AC24" s="34"/>
      <c r="AD24" s="34"/>
      <c r="AE24" s="34"/>
      <c r="AF24" s="34"/>
      <c r="AG24" s="34"/>
      <c r="AH24" s="34"/>
      <c r="AI24" s="34"/>
    </row>
    <row r="25" spans="1:35" ht="26.45" customHeight="1" x14ac:dyDescent="0.2">
      <c r="A25" s="188">
        <v>12</v>
      </c>
      <c r="B25" s="190" t="s">
        <v>62</v>
      </c>
      <c r="C25" s="40">
        <v>22</v>
      </c>
      <c r="D25" s="199" t="s">
        <v>26</v>
      </c>
      <c r="E25" s="39" t="s">
        <v>19</v>
      </c>
      <c r="F25" s="44" t="s">
        <v>16</v>
      </c>
      <c r="G25" s="44" t="s">
        <v>17</v>
      </c>
      <c r="H25" s="41" t="s">
        <v>44</v>
      </c>
      <c r="I25" s="39" t="s">
        <v>24</v>
      </c>
      <c r="J25" s="42">
        <v>2.48</v>
      </c>
      <c r="K25" s="31">
        <v>0</v>
      </c>
      <c r="L25" s="140">
        <f t="shared" si="0"/>
        <v>0</v>
      </c>
      <c r="M25" s="140">
        <f t="shared" si="1"/>
        <v>0</v>
      </c>
      <c r="N25" s="141"/>
      <c r="O25" s="142">
        <f t="shared" si="2"/>
        <v>0</v>
      </c>
      <c r="P25" s="141"/>
      <c r="Q25" s="141"/>
      <c r="R25" s="141"/>
      <c r="S25" s="143">
        <f t="shared" si="4"/>
        <v>0</v>
      </c>
      <c r="T25" s="32" t="str">
        <f t="shared" si="3"/>
        <v>OK</v>
      </c>
      <c r="U25" s="35"/>
      <c r="V25" s="35"/>
      <c r="W25" s="36"/>
      <c r="X25" s="36"/>
      <c r="Y25" s="105"/>
      <c r="Z25" s="34"/>
      <c r="AA25" s="34"/>
      <c r="AB25" s="34"/>
      <c r="AC25" s="34"/>
      <c r="AD25" s="34"/>
      <c r="AE25" s="34"/>
      <c r="AF25" s="34"/>
      <c r="AG25" s="34"/>
      <c r="AH25" s="34"/>
      <c r="AI25" s="34"/>
    </row>
    <row r="26" spans="1:35" ht="24.4" customHeight="1" x14ac:dyDescent="0.2">
      <c r="A26" s="189"/>
      <c r="B26" s="191"/>
      <c r="C26" s="40">
        <v>23</v>
      </c>
      <c r="D26" s="200"/>
      <c r="E26" s="43" t="s">
        <v>20</v>
      </c>
      <c r="F26" s="44" t="s">
        <v>16</v>
      </c>
      <c r="G26" s="44" t="s">
        <v>17</v>
      </c>
      <c r="H26" s="41" t="s">
        <v>44</v>
      </c>
      <c r="I26" s="39" t="s">
        <v>24</v>
      </c>
      <c r="J26" s="42">
        <v>1.2</v>
      </c>
      <c r="K26" s="31">
        <v>0</v>
      </c>
      <c r="L26" s="140">
        <f t="shared" si="0"/>
        <v>0</v>
      </c>
      <c r="M26" s="140">
        <f t="shared" si="1"/>
        <v>0</v>
      </c>
      <c r="N26" s="141"/>
      <c r="O26" s="142">
        <f t="shared" si="2"/>
        <v>0</v>
      </c>
      <c r="P26" s="141"/>
      <c r="Q26" s="141"/>
      <c r="R26" s="141"/>
      <c r="S26" s="143">
        <f t="shared" si="4"/>
        <v>0</v>
      </c>
      <c r="T26" s="32" t="str">
        <f t="shared" si="3"/>
        <v>OK</v>
      </c>
      <c r="U26" s="35"/>
      <c r="V26" s="35"/>
      <c r="W26" s="36"/>
      <c r="X26" s="36"/>
      <c r="Y26" s="105"/>
      <c r="Z26" s="34"/>
      <c r="AA26" s="34"/>
      <c r="AB26" s="34"/>
      <c r="AC26" s="34"/>
      <c r="AD26" s="34"/>
      <c r="AE26" s="34"/>
      <c r="AF26" s="34"/>
      <c r="AG26" s="34"/>
      <c r="AH26" s="34"/>
      <c r="AI26" s="34"/>
    </row>
    <row r="27" spans="1:35" ht="24" customHeight="1" x14ac:dyDescent="0.2">
      <c r="A27" s="194">
        <v>13</v>
      </c>
      <c r="B27" s="196" t="s">
        <v>65</v>
      </c>
      <c r="C27" s="26">
        <v>24</v>
      </c>
      <c r="D27" s="201" t="s">
        <v>66</v>
      </c>
      <c r="E27" s="28" t="s">
        <v>21</v>
      </c>
      <c r="F27" s="50" t="s">
        <v>16</v>
      </c>
      <c r="G27" s="29" t="s">
        <v>17</v>
      </c>
      <c r="H27" s="29" t="s">
        <v>44</v>
      </c>
      <c r="I27" s="28" t="s">
        <v>24</v>
      </c>
      <c r="J27" s="30">
        <v>0.33</v>
      </c>
      <c r="K27" s="31">
        <v>2000</v>
      </c>
      <c r="L27" s="140">
        <f t="shared" si="0"/>
        <v>0</v>
      </c>
      <c r="M27" s="140">
        <f t="shared" si="1"/>
        <v>0</v>
      </c>
      <c r="N27" s="141"/>
      <c r="O27" s="142">
        <f t="shared" si="2"/>
        <v>500</v>
      </c>
      <c r="P27" s="141"/>
      <c r="Q27" s="141"/>
      <c r="R27" s="141"/>
      <c r="S27" s="143">
        <f t="shared" si="4"/>
        <v>2000</v>
      </c>
      <c r="T27" s="32" t="str">
        <f t="shared" si="3"/>
        <v>OK</v>
      </c>
      <c r="U27" s="35"/>
      <c r="V27" s="35"/>
      <c r="W27" s="36"/>
      <c r="X27" s="36"/>
      <c r="Y27" s="105"/>
      <c r="Z27" s="34"/>
      <c r="AA27" s="34"/>
      <c r="AB27" s="34"/>
      <c r="AC27" s="34"/>
      <c r="AD27" s="34"/>
      <c r="AE27" s="34"/>
      <c r="AF27" s="34"/>
      <c r="AG27" s="34"/>
      <c r="AH27" s="34"/>
      <c r="AI27" s="34"/>
    </row>
    <row r="28" spans="1:35" ht="30.2" customHeight="1" x14ac:dyDescent="0.2">
      <c r="A28" s="195"/>
      <c r="B28" s="197"/>
      <c r="C28" s="26">
        <v>25</v>
      </c>
      <c r="D28" s="202"/>
      <c r="E28" s="28" t="s">
        <v>22</v>
      </c>
      <c r="F28" s="50" t="s">
        <v>16</v>
      </c>
      <c r="G28" s="50" t="s">
        <v>17</v>
      </c>
      <c r="H28" s="29" t="s">
        <v>44</v>
      </c>
      <c r="I28" s="28" t="s">
        <v>24</v>
      </c>
      <c r="J28" s="30">
        <v>0.15</v>
      </c>
      <c r="K28" s="31">
        <v>0</v>
      </c>
      <c r="L28" s="140">
        <f t="shared" si="0"/>
        <v>0</v>
      </c>
      <c r="M28" s="140">
        <f t="shared" si="1"/>
        <v>0</v>
      </c>
      <c r="N28" s="141"/>
      <c r="O28" s="142">
        <f t="shared" si="2"/>
        <v>0</v>
      </c>
      <c r="P28" s="141"/>
      <c r="Q28" s="141"/>
      <c r="R28" s="141"/>
      <c r="S28" s="143">
        <f t="shared" si="4"/>
        <v>0</v>
      </c>
      <c r="T28" s="32" t="str">
        <f t="shared" si="3"/>
        <v>OK</v>
      </c>
      <c r="U28" s="35"/>
      <c r="V28" s="35"/>
      <c r="W28" s="36"/>
      <c r="X28" s="36"/>
      <c r="Y28" s="105"/>
      <c r="Z28" s="34"/>
      <c r="AA28" s="34"/>
      <c r="AB28" s="34"/>
      <c r="AC28" s="34"/>
      <c r="AD28" s="34"/>
      <c r="AE28" s="34"/>
      <c r="AF28" s="34"/>
      <c r="AG28" s="34"/>
      <c r="AH28" s="34"/>
      <c r="AI28" s="34"/>
    </row>
    <row r="29" spans="1:35" ht="26.45" customHeight="1" x14ac:dyDescent="0.2">
      <c r="A29" s="188">
        <v>14</v>
      </c>
      <c r="B29" s="190" t="s">
        <v>65</v>
      </c>
      <c r="C29" s="40">
        <v>26</v>
      </c>
      <c r="D29" s="192" t="s">
        <v>67</v>
      </c>
      <c r="E29" s="66" t="s">
        <v>21</v>
      </c>
      <c r="F29" s="44" t="s">
        <v>16</v>
      </c>
      <c r="G29" s="44" t="s">
        <v>17</v>
      </c>
      <c r="H29" s="41" t="s">
        <v>44</v>
      </c>
      <c r="I29" s="39" t="s">
        <v>24</v>
      </c>
      <c r="J29" s="42">
        <v>0.33</v>
      </c>
      <c r="K29" s="31">
        <v>0</v>
      </c>
      <c r="L29" s="140">
        <f t="shared" si="0"/>
        <v>0</v>
      </c>
      <c r="M29" s="140">
        <f t="shared" si="1"/>
        <v>0</v>
      </c>
      <c r="N29" s="141"/>
      <c r="O29" s="142">
        <f t="shared" si="2"/>
        <v>0</v>
      </c>
      <c r="P29" s="141"/>
      <c r="Q29" s="141"/>
      <c r="R29" s="141"/>
      <c r="S29" s="143">
        <f t="shared" si="4"/>
        <v>0</v>
      </c>
      <c r="T29" s="32" t="str">
        <f t="shared" si="3"/>
        <v>OK</v>
      </c>
      <c r="U29" s="35"/>
      <c r="V29" s="35"/>
      <c r="W29" s="36"/>
      <c r="X29" s="36"/>
      <c r="Y29" s="105"/>
      <c r="Z29" s="34"/>
      <c r="AA29" s="34"/>
      <c r="AB29" s="34"/>
      <c r="AC29" s="34"/>
      <c r="AD29" s="34"/>
      <c r="AE29" s="34"/>
      <c r="AF29" s="34"/>
      <c r="AG29" s="34"/>
      <c r="AH29" s="34"/>
      <c r="AI29" s="34"/>
    </row>
    <row r="30" spans="1:35" ht="33.950000000000003" customHeight="1" x14ac:dyDescent="0.2">
      <c r="A30" s="189"/>
      <c r="B30" s="191"/>
      <c r="C30" s="40">
        <v>27</v>
      </c>
      <c r="D30" s="193"/>
      <c r="E30" s="66" t="s">
        <v>22</v>
      </c>
      <c r="F30" s="44" t="s">
        <v>16</v>
      </c>
      <c r="G30" s="44" t="s">
        <v>17</v>
      </c>
      <c r="H30" s="41" t="s">
        <v>44</v>
      </c>
      <c r="I30" s="39" t="s">
        <v>24</v>
      </c>
      <c r="J30" s="42">
        <v>0.23</v>
      </c>
      <c r="K30" s="31">
        <v>5000</v>
      </c>
      <c r="L30" s="140">
        <f t="shared" si="0"/>
        <v>1400</v>
      </c>
      <c r="M30" s="140">
        <f t="shared" si="1"/>
        <v>1400</v>
      </c>
      <c r="N30" s="141"/>
      <c r="O30" s="142">
        <f t="shared" si="2"/>
        <v>1250</v>
      </c>
      <c r="P30" s="141"/>
      <c r="Q30" s="141"/>
      <c r="R30" s="141"/>
      <c r="S30" s="143">
        <f t="shared" si="4"/>
        <v>3600</v>
      </c>
      <c r="T30" s="32" t="str">
        <f t="shared" si="3"/>
        <v>OK</v>
      </c>
      <c r="U30" s="35"/>
      <c r="V30" s="35"/>
      <c r="W30" s="36"/>
      <c r="X30" s="103">
        <v>1400</v>
      </c>
      <c r="Y30" s="105"/>
      <c r="Z30" s="34"/>
      <c r="AA30" s="34"/>
      <c r="AB30" s="34"/>
      <c r="AC30" s="34"/>
      <c r="AD30" s="34"/>
      <c r="AE30" s="34"/>
      <c r="AF30" s="34"/>
      <c r="AG30" s="34"/>
      <c r="AH30" s="34"/>
      <c r="AI30" s="34"/>
    </row>
    <row r="31" spans="1:35" ht="27" customHeight="1" x14ac:dyDescent="0.2">
      <c r="A31" s="194">
        <v>15</v>
      </c>
      <c r="B31" s="196" t="s">
        <v>31</v>
      </c>
      <c r="C31" s="68">
        <v>28</v>
      </c>
      <c r="D31" s="198" t="s">
        <v>68</v>
      </c>
      <c r="E31" s="28" t="s">
        <v>21</v>
      </c>
      <c r="F31" s="50" t="s">
        <v>16</v>
      </c>
      <c r="G31" s="50" t="s">
        <v>17</v>
      </c>
      <c r="H31" s="29" t="s">
        <v>44</v>
      </c>
      <c r="I31" s="28" t="s">
        <v>24</v>
      </c>
      <c r="J31" s="30">
        <v>0.4</v>
      </c>
      <c r="K31" s="31">
        <f>1000</f>
        <v>1000</v>
      </c>
      <c r="L31" s="140">
        <f t="shared" si="0"/>
        <v>1500</v>
      </c>
      <c r="M31" s="140">
        <f t="shared" si="1"/>
        <v>1500</v>
      </c>
      <c r="N31" s="141">
        <v>500</v>
      </c>
      <c r="O31" s="142">
        <f t="shared" si="2"/>
        <v>250</v>
      </c>
      <c r="P31" s="141"/>
      <c r="Q31" s="141"/>
      <c r="R31" s="141"/>
      <c r="S31" s="143">
        <f t="shared" si="4"/>
        <v>0</v>
      </c>
      <c r="T31" s="32" t="str">
        <f t="shared" si="3"/>
        <v>OK</v>
      </c>
      <c r="U31" s="35"/>
      <c r="V31" s="35"/>
      <c r="W31" s="103">
        <v>500</v>
      </c>
      <c r="X31" s="36"/>
      <c r="Y31" s="105"/>
      <c r="Z31" s="34"/>
      <c r="AA31" s="34"/>
      <c r="AB31" s="116">
        <v>1000</v>
      </c>
      <c r="AC31" s="34"/>
      <c r="AD31" s="34"/>
      <c r="AE31" s="34"/>
      <c r="AF31" s="34"/>
      <c r="AG31" s="34"/>
      <c r="AH31" s="34"/>
      <c r="AI31" s="34"/>
    </row>
    <row r="32" spans="1:35" ht="29.25" customHeight="1" x14ac:dyDescent="0.2">
      <c r="A32" s="195"/>
      <c r="B32" s="197"/>
      <c r="C32" s="26">
        <v>29</v>
      </c>
      <c r="D32" s="198"/>
      <c r="E32" s="28" t="s">
        <v>22</v>
      </c>
      <c r="F32" s="50" t="s">
        <v>16</v>
      </c>
      <c r="G32" s="50" t="s">
        <v>17</v>
      </c>
      <c r="H32" s="29" t="s">
        <v>44</v>
      </c>
      <c r="I32" s="28" t="s">
        <v>24</v>
      </c>
      <c r="J32" s="30">
        <v>0.44</v>
      </c>
      <c r="K32" s="31">
        <v>1200</v>
      </c>
      <c r="L32" s="140">
        <f t="shared" si="0"/>
        <v>0</v>
      </c>
      <c r="M32" s="140">
        <f t="shared" si="1"/>
        <v>0</v>
      </c>
      <c r="N32" s="141"/>
      <c r="O32" s="142">
        <f t="shared" si="2"/>
        <v>300</v>
      </c>
      <c r="P32" s="141"/>
      <c r="Q32" s="141"/>
      <c r="R32" s="141"/>
      <c r="S32" s="143">
        <f t="shared" si="4"/>
        <v>1200</v>
      </c>
      <c r="T32" s="32" t="str">
        <f t="shared" si="3"/>
        <v>OK</v>
      </c>
      <c r="U32" s="35"/>
      <c r="V32" s="35"/>
      <c r="W32" s="36"/>
      <c r="X32" s="36"/>
      <c r="Y32" s="36"/>
      <c r="Z32" s="34"/>
      <c r="AA32" s="34"/>
      <c r="AB32" s="34"/>
      <c r="AC32" s="34"/>
      <c r="AD32" s="34"/>
      <c r="AE32" s="34"/>
      <c r="AF32" s="34"/>
      <c r="AG32" s="34"/>
      <c r="AH32" s="34"/>
      <c r="AI32" s="34"/>
    </row>
    <row r="33" spans="11:35" x14ac:dyDescent="0.2">
      <c r="K33" s="56">
        <f>SUM(K4:K32)</f>
        <v>10008</v>
      </c>
      <c r="S33" s="56">
        <f t="shared" ref="S33" si="5">SUM(S4:S32)</f>
        <v>6938</v>
      </c>
      <c r="U33" s="112">
        <f>SUMPRODUCT($J$4:$J$32,U4:U32)</f>
        <v>608</v>
      </c>
      <c r="V33" s="112">
        <f t="shared" ref="V33:AI33" si="6">SUMPRODUCT($J$4:$J$32,V4:V32)</f>
        <v>361.5</v>
      </c>
      <c r="W33" s="112">
        <f t="shared" si="6"/>
        <v>300</v>
      </c>
      <c r="X33" s="112">
        <f t="shared" si="6"/>
        <v>322</v>
      </c>
      <c r="Y33" s="112">
        <f t="shared" si="6"/>
        <v>530</v>
      </c>
      <c r="Z33" s="112">
        <f t="shared" si="6"/>
        <v>912</v>
      </c>
      <c r="AA33" s="112">
        <f t="shared" si="6"/>
        <v>608</v>
      </c>
      <c r="AB33" s="112">
        <f t="shared" si="6"/>
        <v>400</v>
      </c>
      <c r="AC33" s="112">
        <f t="shared" si="6"/>
        <v>607.5</v>
      </c>
      <c r="AD33" s="112">
        <f t="shared" si="6"/>
        <v>346.5</v>
      </c>
      <c r="AE33" s="112">
        <f t="shared" si="6"/>
        <v>946</v>
      </c>
      <c r="AF33" s="112">
        <f t="shared" si="6"/>
        <v>0</v>
      </c>
      <c r="AG33" s="112">
        <f t="shared" si="6"/>
        <v>0</v>
      </c>
      <c r="AH33" s="112">
        <f t="shared" si="6"/>
        <v>0</v>
      </c>
      <c r="AI33" s="112">
        <f t="shared" si="6"/>
        <v>0</v>
      </c>
    </row>
    <row r="34" spans="11:35" x14ac:dyDescent="0.2">
      <c r="K34" s="148">
        <f>SUMPRODUCT($J$4:$J$32,K4:K32)</f>
        <v>28837.799999999996</v>
      </c>
      <c r="L34" s="148">
        <f t="shared" ref="L34:M34" si="7">SUMPRODUCT($J$4:$J$32,L4:L32)</f>
        <v>5941.5</v>
      </c>
      <c r="M34" s="148">
        <f t="shared" si="7"/>
        <v>5941.5</v>
      </c>
    </row>
  </sheetData>
  <mergeCells count="50">
    <mergeCell ref="W1:W2"/>
    <mergeCell ref="A1:C1"/>
    <mergeCell ref="D1:J1"/>
    <mergeCell ref="K1:T1"/>
    <mergeCell ref="U1:U2"/>
    <mergeCell ref="V1:V2"/>
    <mergeCell ref="K2:T2"/>
    <mergeCell ref="A2:J2"/>
    <mergeCell ref="AI1:AI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4:A8"/>
    <mergeCell ref="B4:B8"/>
    <mergeCell ref="D4:D8"/>
    <mergeCell ref="A9:A10"/>
    <mergeCell ref="B9:B10"/>
    <mergeCell ref="D9:D10"/>
    <mergeCell ref="A11:A13"/>
    <mergeCell ref="B11:B13"/>
    <mergeCell ref="D11:D13"/>
    <mergeCell ref="A14:A15"/>
    <mergeCell ref="B14:B15"/>
    <mergeCell ref="D14:D15"/>
    <mergeCell ref="A19:A20"/>
    <mergeCell ref="B19:B20"/>
    <mergeCell ref="D19:D20"/>
    <mergeCell ref="A23:A24"/>
    <mergeCell ref="B23:B24"/>
    <mergeCell ref="D23:D24"/>
    <mergeCell ref="A25:A26"/>
    <mergeCell ref="B25:B26"/>
    <mergeCell ref="D25:D26"/>
    <mergeCell ref="A27:A28"/>
    <mergeCell ref="B27:B28"/>
    <mergeCell ref="D27:D28"/>
    <mergeCell ref="A29:A30"/>
    <mergeCell ref="B29:B30"/>
    <mergeCell ref="D29:D30"/>
    <mergeCell ref="A31:A32"/>
    <mergeCell ref="B31:B32"/>
    <mergeCell ref="D31:D32"/>
  </mergeCells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771BD-6C8D-4906-86D2-4FCC640007B3}">
  <dimension ref="A1:AH35"/>
  <sheetViews>
    <sheetView topLeftCell="A19" zoomScaleNormal="100" workbookViewId="0">
      <pane xSplit="20" topLeftCell="U1" activePane="topRight" state="frozen"/>
      <selection pane="topRight" activeCell="M37" sqref="M37"/>
    </sheetView>
  </sheetViews>
  <sheetFormatPr defaultColWidth="9.7109375" defaultRowHeight="12.75" x14ac:dyDescent="0.2"/>
  <cols>
    <col min="1" max="1" width="5.28515625" style="53" customWidth="1"/>
    <col min="2" max="2" width="8.5703125" style="53" customWidth="1"/>
    <col min="3" max="3" width="5.5703125" style="53" bestFit="1" customWidth="1"/>
    <col min="4" max="4" width="14.85546875" style="54" customWidth="1"/>
    <col min="5" max="5" width="10.85546875" style="53" bestFit="1" customWidth="1"/>
    <col min="6" max="6" width="9" style="53" customWidth="1"/>
    <col min="7" max="8" width="10.42578125" style="53" customWidth="1"/>
    <col min="9" max="9" width="6" style="53" customWidth="1"/>
    <col min="10" max="10" width="10.140625" style="55" customWidth="1"/>
    <col min="11" max="12" width="10.28515625" style="56" customWidth="1"/>
    <col min="13" max="13" width="10" style="56" customWidth="1"/>
    <col min="14" max="14" width="9.5703125" style="56" customWidth="1"/>
    <col min="15" max="15" width="9" style="56" customWidth="1"/>
    <col min="16" max="16" width="5.7109375" style="56" customWidth="1"/>
    <col min="17" max="17" width="6.7109375" style="56" customWidth="1"/>
    <col min="18" max="18" width="5.42578125" style="56" customWidth="1"/>
    <col min="19" max="19" width="10.28515625" style="57" customWidth="1"/>
    <col min="20" max="20" width="8.5703125" style="58" customWidth="1"/>
    <col min="21" max="21" width="10.140625" style="60" customWidth="1"/>
    <col min="22" max="22" width="11.7109375" style="60" customWidth="1"/>
    <col min="23" max="23" width="11.5703125" style="18" customWidth="1"/>
    <col min="24" max="34" width="13.7109375" style="18" customWidth="1"/>
    <col min="35" max="16384" width="9.7109375" style="18"/>
  </cols>
  <sheetData>
    <row r="1" spans="1:34" ht="34.5" customHeight="1" x14ac:dyDescent="0.2">
      <c r="A1" s="219" t="s">
        <v>69</v>
      </c>
      <c r="B1" s="220"/>
      <c r="C1" s="221"/>
      <c r="D1" s="220" t="s">
        <v>32</v>
      </c>
      <c r="E1" s="220"/>
      <c r="F1" s="220"/>
      <c r="G1" s="220"/>
      <c r="H1" s="220"/>
      <c r="I1" s="220"/>
      <c r="J1" s="221"/>
      <c r="K1" s="222" t="s">
        <v>33</v>
      </c>
      <c r="L1" s="223"/>
      <c r="M1" s="223"/>
      <c r="N1" s="223"/>
      <c r="O1" s="223"/>
      <c r="P1" s="223"/>
      <c r="Q1" s="223"/>
      <c r="R1" s="223"/>
      <c r="S1" s="223"/>
      <c r="T1" s="224"/>
      <c r="U1" s="218" t="s">
        <v>99</v>
      </c>
      <c r="V1" s="218" t="s">
        <v>100</v>
      </c>
      <c r="W1" s="218" t="s">
        <v>178</v>
      </c>
      <c r="X1" s="234" t="s">
        <v>181</v>
      </c>
      <c r="Y1" s="234" t="s">
        <v>182</v>
      </c>
      <c r="Z1" s="239" t="s">
        <v>208</v>
      </c>
      <c r="AA1" s="218" t="s">
        <v>30</v>
      </c>
      <c r="AB1" s="218" t="s">
        <v>30</v>
      </c>
      <c r="AC1" s="218" t="s">
        <v>30</v>
      </c>
      <c r="AD1" s="218" t="s">
        <v>30</v>
      </c>
      <c r="AE1" s="218" t="s">
        <v>30</v>
      </c>
      <c r="AF1" s="218" t="s">
        <v>30</v>
      </c>
      <c r="AG1" s="218" t="s">
        <v>30</v>
      </c>
      <c r="AH1" s="218" t="s">
        <v>30</v>
      </c>
    </row>
    <row r="2" spans="1:34" ht="27.95" customHeight="1" x14ac:dyDescent="0.2">
      <c r="A2" s="219" t="s">
        <v>207</v>
      </c>
      <c r="B2" s="220"/>
      <c r="C2" s="220"/>
      <c r="D2" s="220"/>
      <c r="E2" s="220"/>
      <c r="F2" s="220"/>
      <c r="G2" s="220"/>
      <c r="H2" s="220"/>
      <c r="I2" s="220"/>
      <c r="J2" s="221"/>
      <c r="K2" s="225" t="s">
        <v>91</v>
      </c>
      <c r="L2" s="226"/>
      <c r="M2" s="226"/>
      <c r="N2" s="226"/>
      <c r="O2" s="226"/>
      <c r="P2" s="226"/>
      <c r="Q2" s="226"/>
      <c r="R2" s="226"/>
      <c r="S2" s="226"/>
      <c r="T2" s="227"/>
      <c r="U2" s="218"/>
      <c r="V2" s="218"/>
      <c r="W2" s="218"/>
      <c r="X2" s="234"/>
      <c r="Y2" s="234"/>
      <c r="Z2" s="239"/>
      <c r="AA2" s="218"/>
      <c r="AB2" s="218"/>
      <c r="AC2" s="218"/>
      <c r="AD2" s="218"/>
      <c r="AE2" s="218"/>
      <c r="AF2" s="218"/>
      <c r="AG2" s="218"/>
      <c r="AH2" s="218"/>
    </row>
    <row r="3" spans="1:34" s="25" customFormat="1" ht="37.5" customHeight="1" x14ac:dyDescent="0.2">
      <c r="A3" s="19" t="s">
        <v>5</v>
      </c>
      <c r="B3" s="19" t="s">
        <v>18</v>
      </c>
      <c r="C3" s="69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43</v>
      </c>
      <c r="I3" s="20" t="s">
        <v>4</v>
      </c>
      <c r="J3" s="21" t="s">
        <v>28</v>
      </c>
      <c r="K3" s="22" t="s">
        <v>6</v>
      </c>
      <c r="L3" s="145" t="s">
        <v>185</v>
      </c>
      <c r="M3" s="145" t="s">
        <v>186</v>
      </c>
      <c r="N3" s="145" t="s">
        <v>187</v>
      </c>
      <c r="O3" s="145" t="s">
        <v>188</v>
      </c>
      <c r="P3" s="145" t="s">
        <v>189</v>
      </c>
      <c r="Q3" s="145" t="s">
        <v>190</v>
      </c>
      <c r="R3" s="145" t="s">
        <v>191</v>
      </c>
      <c r="S3" s="146" t="s">
        <v>0</v>
      </c>
      <c r="T3" s="23" t="s">
        <v>2</v>
      </c>
      <c r="U3" s="74">
        <v>45533</v>
      </c>
      <c r="V3" s="74">
        <v>45534</v>
      </c>
      <c r="W3" s="74">
        <v>45582</v>
      </c>
      <c r="X3" s="101">
        <v>45615</v>
      </c>
      <c r="Y3" s="101">
        <v>45618</v>
      </c>
      <c r="Z3" s="101">
        <v>45707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  <c r="AG3" s="24" t="s">
        <v>1</v>
      </c>
      <c r="AH3" s="24" t="s">
        <v>1</v>
      </c>
    </row>
    <row r="4" spans="1:34" ht="23.25" customHeight="1" x14ac:dyDescent="0.2">
      <c r="A4" s="203">
        <v>1</v>
      </c>
      <c r="B4" s="196" t="s">
        <v>31</v>
      </c>
      <c r="C4" s="26">
        <v>1</v>
      </c>
      <c r="D4" s="201" t="s">
        <v>34</v>
      </c>
      <c r="E4" s="28" t="s">
        <v>35</v>
      </c>
      <c r="F4" s="29" t="s">
        <v>16</v>
      </c>
      <c r="G4" s="29" t="s">
        <v>17</v>
      </c>
      <c r="H4" s="29" t="s">
        <v>44</v>
      </c>
      <c r="I4" s="28" t="s">
        <v>24</v>
      </c>
      <c r="J4" s="30">
        <v>12.15</v>
      </c>
      <c r="K4" s="31">
        <v>0</v>
      </c>
      <c r="L4" s="140">
        <f t="shared" ref="L4:L32" si="0">IF(SUM(U4:AK4)&gt;K4+N4,K4+N4,SUM(U4:AK4))</f>
        <v>0</v>
      </c>
      <c r="M4" s="140">
        <f t="shared" ref="M4:M32" si="1">(SUM(U4:AK4))</f>
        <v>0</v>
      </c>
      <c r="N4" s="141"/>
      <c r="O4" s="142">
        <f t="shared" ref="O4:O32" si="2">ROUND(IF(K4*0.25-0.5&lt;0,0,K4*0.25-0.5),0)-R4-P4</f>
        <v>0</v>
      </c>
      <c r="P4" s="141"/>
      <c r="Q4" s="141"/>
      <c r="R4" s="141"/>
      <c r="S4" s="143">
        <f t="shared" ref="S4:S32" si="3">K4+N4+P4+Q4-M4</f>
        <v>0</v>
      </c>
      <c r="T4" s="32" t="str">
        <f t="shared" ref="T4:T32" si="4">IF(S4&lt;0,"ATENÇÃO","OK")</f>
        <v>OK</v>
      </c>
      <c r="U4" s="33"/>
      <c r="V4" s="33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</row>
    <row r="5" spans="1:34" ht="26.45" customHeight="1" x14ac:dyDescent="0.2">
      <c r="A5" s="204"/>
      <c r="B5" s="206"/>
      <c r="C5" s="26">
        <v>2</v>
      </c>
      <c r="D5" s="207"/>
      <c r="E5" s="28" t="s">
        <v>36</v>
      </c>
      <c r="F5" s="29" t="s">
        <v>16</v>
      </c>
      <c r="G5" s="29" t="s">
        <v>17</v>
      </c>
      <c r="H5" s="29" t="s">
        <v>44</v>
      </c>
      <c r="I5" s="28" t="s">
        <v>24</v>
      </c>
      <c r="J5" s="30">
        <v>40.5</v>
      </c>
      <c r="K5" s="31">
        <v>70</v>
      </c>
      <c r="L5" s="140">
        <f t="shared" si="0"/>
        <v>70</v>
      </c>
      <c r="M5" s="140">
        <f t="shared" si="1"/>
        <v>70</v>
      </c>
      <c r="N5" s="141"/>
      <c r="O5" s="142">
        <f t="shared" si="2"/>
        <v>17</v>
      </c>
      <c r="P5" s="141"/>
      <c r="Q5" s="141"/>
      <c r="R5" s="141"/>
      <c r="S5" s="143">
        <f t="shared" si="3"/>
        <v>0</v>
      </c>
      <c r="T5" s="32" t="str">
        <f t="shared" si="4"/>
        <v>OK</v>
      </c>
      <c r="U5" s="96">
        <v>12</v>
      </c>
      <c r="V5" s="33"/>
      <c r="W5" s="103">
        <v>3</v>
      </c>
      <c r="X5" s="103">
        <v>55</v>
      </c>
      <c r="Y5" s="34"/>
      <c r="Z5" s="34"/>
      <c r="AA5" s="34"/>
      <c r="AB5" s="34"/>
      <c r="AC5" s="34"/>
      <c r="AD5" s="34"/>
      <c r="AE5" s="34"/>
      <c r="AF5" s="34"/>
      <c r="AG5" s="34"/>
      <c r="AH5" s="34"/>
    </row>
    <row r="6" spans="1:34" ht="24" customHeight="1" x14ac:dyDescent="0.2">
      <c r="A6" s="204"/>
      <c r="B6" s="206"/>
      <c r="C6" s="26">
        <v>3</v>
      </c>
      <c r="D6" s="207"/>
      <c r="E6" s="28" t="s">
        <v>37</v>
      </c>
      <c r="F6" s="29" t="s">
        <v>16</v>
      </c>
      <c r="G6" s="29" t="s">
        <v>17</v>
      </c>
      <c r="H6" s="29" t="s">
        <v>44</v>
      </c>
      <c r="I6" s="28" t="s">
        <v>24</v>
      </c>
      <c r="J6" s="30">
        <v>49.5</v>
      </c>
      <c r="K6" s="31">
        <v>10</v>
      </c>
      <c r="L6" s="140">
        <f t="shared" si="0"/>
        <v>10</v>
      </c>
      <c r="M6" s="140">
        <f t="shared" si="1"/>
        <v>10</v>
      </c>
      <c r="N6" s="141"/>
      <c r="O6" s="142">
        <f t="shared" si="2"/>
        <v>2</v>
      </c>
      <c r="P6" s="141"/>
      <c r="Q6" s="141"/>
      <c r="R6" s="141"/>
      <c r="S6" s="143">
        <f t="shared" si="3"/>
        <v>0</v>
      </c>
      <c r="T6" s="32" t="str">
        <f t="shared" si="4"/>
        <v>OK</v>
      </c>
      <c r="U6" s="33"/>
      <c r="V6" s="35"/>
      <c r="W6" s="103">
        <v>3</v>
      </c>
      <c r="X6" s="34"/>
      <c r="Y6" s="103">
        <v>7</v>
      </c>
      <c r="Z6" s="34"/>
      <c r="AA6" s="34"/>
      <c r="AB6" s="34"/>
      <c r="AC6" s="34"/>
      <c r="AD6" s="34"/>
      <c r="AE6" s="34"/>
      <c r="AF6" s="34"/>
      <c r="AG6" s="34"/>
      <c r="AH6" s="34"/>
    </row>
    <row r="7" spans="1:34" ht="24" customHeight="1" x14ac:dyDescent="0.2">
      <c r="A7" s="204"/>
      <c r="B7" s="206"/>
      <c r="C7" s="26">
        <v>4</v>
      </c>
      <c r="D7" s="207"/>
      <c r="E7" s="28" t="s">
        <v>38</v>
      </c>
      <c r="F7" s="29" t="s">
        <v>16</v>
      </c>
      <c r="G7" s="29" t="s">
        <v>17</v>
      </c>
      <c r="H7" s="29" t="s">
        <v>44</v>
      </c>
      <c r="I7" s="28" t="s">
        <v>24</v>
      </c>
      <c r="J7" s="30">
        <v>53</v>
      </c>
      <c r="K7" s="31">
        <v>10</v>
      </c>
      <c r="L7" s="140">
        <f t="shared" si="0"/>
        <v>3</v>
      </c>
      <c r="M7" s="140">
        <f t="shared" si="1"/>
        <v>3</v>
      </c>
      <c r="N7" s="141"/>
      <c r="O7" s="142">
        <f t="shared" si="2"/>
        <v>2</v>
      </c>
      <c r="P7" s="141"/>
      <c r="Q7" s="141"/>
      <c r="R7" s="141"/>
      <c r="S7" s="143">
        <f t="shared" si="3"/>
        <v>7</v>
      </c>
      <c r="T7" s="32" t="str">
        <f t="shared" si="4"/>
        <v>OK</v>
      </c>
      <c r="U7" s="33"/>
      <c r="V7" s="33"/>
      <c r="W7" s="103">
        <v>3</v>
      </c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</row>
    <row r="8" spans="1:34" ht="19.5" customHeight="1" x14ac:dyDescent="0.2">
      <c r="A8" s="205"/>
      <c r="B8" s="197"/>
      <c r="C8" s="26">
        <v>5</v>
      </c>
      <c r="D8" s="202"/>
      <c r="E8" s="28" t="s">
        <v>39</v>
      </c>
      <c r="F8" s="29" t="s">
        <v>16</v>
      </c>
      <c r="G8" s="29" t="s">
        <v>17</v>
      </c>
      <c r="H8" s="29" t="s">
        <v>44</v>
      </c>
      <c r="I8" s="28" t="s">
        <v>24</v>
      </c>
      <c r="J8" s="30">
        <v>30.4</v>
      </c>
      <c r="K8" s="31">
        <v>0</v>
      </c>
      <c r="L8" s="140">
        <f t="shared" si="0"/>
        <v>0</v>
      </c>
      <c r="M8" s="140">
        <f t="shared" si="1"/>
        <v>0</v>
      </c>
      <c r="N8" s="141"/>
      <c r="O8" s="142">
        <f t="shared" si="2"/>
        <v>0</v>
      </c>
      <c r="P8" s="141"/>
      <c r="Q8" s="141"/>
      <c r="R8" s="141"/>
      <c r="S8" s="143">
        <f t="shared" si="3"/>
        <v>0</v>
      </c>
      <c r="T8" s="32" t="str">
        <f t="shared" si="4"/>
        <v>OK</v>
      </c>
      <c r="U8" s="33"/>
      <c r="V8" s="33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</row>
    <row r="9" spans="1:34" ht="21.75" customHeight="1" x14ac:dyDescent="0.2">
      <c r="A9" s="216">
        <v>2</v>
      </c>
      <c r="B9" s="190" t="s">
        <v>31</v>
      </c>
      <c r="C9" s="40">
        <v>6</v>
      </c>
      <c r="D9" s="199" t="s">
        <v>40</v>
      </c>
      <c r="E9" s="39" t="s">
        <v>35</v>
      </c>
      <c r="F9" s="41" t="s">
        <v>16</v>
      </c>
      <c r="G9" s="41" t="s">
        <v>17</v>
      </c>
      <c r="H9" s="41" t="s">
        <v>44</v>
      </c>
      <c r="I9" s="39" t="s">
        <v>24</v>
      </c>
      <c r="J9" s="42">
        <v>14.21</v>
      </c>
      <c r="K9" s="31">
        <v>0</v>
      </c>
      <c r="L9" s="140">
        <f t="shared" si="0"/>
        <v>0</v>
      </c>
      <c r="M9" s="140">
        <f t="shared" si="1"/>
        <v>0</v>
      </c>
      <c r="N9" s="141"/>
      <c r="O9" s="142">
        <f t="shared" si="2"/>
        <v>0</v>
      </c>
      <c r="P9" s="141"/>
      <c r="Q9" s="141"/>
      <c r="R9" s="141"/>
      <c r="S9" s="143">
        <f t="shared" si="3"/>
        <v>0</v>
      </c>
      <c r="T9" s="32" t="str">
        <f t="shared" si="4"/>
        <v>OK</v>
      </c>
      <c r="U9" s="33"/>
      <c r="V9" s="33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</row>
    <row r="10" spans="1:34" ht="20.25" customHeight="1" x14ac:dyDescent="0.2">
      <c r="A10" s="217"/>
      <c r="B10" s="191"/>
      <c r="C10" s="40">
        <v>7</v>
      </c>
      <c r="D10" s="200"/>
      <c r="E10" s="39" t="s">
        <v>41</v>
      </c>
      <c r="F10" s="41" t="s">
        <v>16</v>
      </c>
      <c r="G10" s="41" t="s">
        <v>17</v>
      </c>
      <c r="H10" s="41" t="s">
        <v>44</v>
      </c>
      <c r="I10" s="39" t="s">
        <v>24</v>
      </c>
      <c r="J10" s="42">
        <v>20.9</v>
      </c>
      <c r="K10" s="31">
        <v>0</v>
      </c>
      <c r="L10" s="140">
        <f t="shared" si="0"/>
        <v>0</v>
      </c>
      <c r="M10" s="140">
        <f t="shared" si="1"/>
        <v>0</v>
      </c>
      <c r="N10" s="141"/>
      <c r="O10" s="142">
        <f t="shared" si="2"/>
        <v>0</v>
      </c>
      <c r="P10" s="141"/>
      <c r="Q10" s="141"/>
      <c r="R10" s="141"/>
      <c r="S10" s="143">
        <f t="shared" si="3"/>
        <v>0</v>
      </c>
      <c r="T10" s="32" t="str">
        <f t="shared" si="4"/>
        <v>OK</v>
      </c>
      <c r="U10" s="35"/>
      <c r="V10" s="33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</row>
    <row r="11" spans="1:34" ht="25.5" x14ac:dyDescent="0.2">
      <c r="A11" s="203">
        <v>3</v>
      </c>
      <c r="B11" s="196" t="s">
        <v>42</v>
      </c>
      <c r="C11" s="26">
        <v>8</v>
      </c>
      <c r="D11" s="201" t="s">
        <v>45</v>
      </c>
      <c r="E11" s="28" t="s">
        <v>46</v>
      </c>
      <c r="F11" s="29" t="s">
        <v>16</v>
      </c>
      <c r="G11" s="29" t="s">
        <v>17</v>
      </c>
      <c r="H11" s="29" t="s">
        <v>44</v>
      </c>
      <c r="I11" s="28" t="s">
        <v>24</v>
      </c>
      <c r="J11" s="30">
        <v>423</v>
      </c>
      <c r="K11" s="31">
        <v>0</v>
      </c>
      <c r="L11" s="140">
        <f t="shared" si="0"/>
        <v>0</v>
      </c>
      <c r="M11" s="140">
        <f t="shared" si="1"/>
        <v>0</v>
      </c>
      <c r="N11" s="141"/>
      <c r="O11" s="142">
        <f t="shared" si="2"/>
        <v>0</v>
      </c>
      <c r="P11" s="141"/>
      <c r="Q11" s="141"/>
      <c r="R11" s="141"/>
      <c r="S11" s="143">
        <f t="shared" si="3"/>
        <v>0</v>
      </c>
      <c r="T11" s="32" t="str">
        <f t="shared" si="4"/>
        <v>OK</v>
      </c>
      <c r="U11" s="33"/>
      <c r="V11" s="33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</row>
    <row r="12" spans="1:34" ht="21.2" customHeight="1" x14ac:dyDescent="0.2">
      <c r="A12" s="204"/>
      <c r="B12" s="206"/>
      <c r="C12" s="26">
        <v>9</v>
      </c>
      <c r="D12" s="207"/>
      <c r="E12" s="28" t="s">
        <v>47</v>
      </c>
      <c r="F12" s="29" t="s">
        <v>16</v>
      </c>
      <c r="G12" s="29" t="s">
        <v>17</v>
      </c>
      <c r="H12" s="29" t="s">
        <v>44</v>
      </c>
      <c r="I12" s="28" t="s">
        <v>24</v>
      </c>
      <c r="J12" s="30">
        <v>1613</v>
      </c>
      <c r="K12" s="31">
        <v>0</v>
      </c>
      <c r="L12" s="140">
        <f t="shared" si="0"/>
        <v>0</v>
      </c>
      <c r="M12" s="140">
        <f t="shared" si="1"/>
        <v>0</v>
      </c>
      <c r="N12" s="141"/>
      <c r="O12" s="142">
        <f t="shared" si="2"/>
        <v>0</v>
      </c>
      <c r="P12" s="141"/>
      <c r="Q12" s="141"/>
      <c r="R12" s="141"/>
      <c r="S12" s="143">
        <f t="shared" si="3"/>
        <v>0</v>
      </c>
      <c r="T12" s="32" t="str">
        <f t="shared" si="4"/>
        <v>OK</v>
      </c>
      <c r="U12" s="33"/>
      <c r="V12" s="33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</row>
    <row r="13" spans="1:34" ht="19.5" customHeight="1" x14ac:dyDescent="0.2">
      <c r="A13" s="205"/>
      <c r="B13" s="197"/>
      <c r="C13" s="26">
        <v>10</v>
      </c>
      <c r="D13" s="202"/>
      <c r="E13" s="28" t="s">
        <v>48</v>
      </c>
      <c r="F13" s="29" t="s">
        <v>16</v>
      </c>
      <c r="G13" s="29" t="s">
        <v>17</v>
      </c>
      <c r="H13" s="29" t="s">
        <v>44</v>
      </c>
      <c r="I13" s="28" t="s">
        <v>24</v>
      </c>
      <c r="J13" s="30">
        <v>1749</v>
      </c>
      <c r="K13" s="31">
        <v>0</v>
      </c>
      <c r="L13" s="140">
        <f t="shared" si="0"/>
        <v>0</v>
      </c>
      <c r="M13" s="140">
        <f t="shared" si="1"/>
        <v>0</v>
      </c>
      <c r="N13" s="141"/>
      <c r="O13" s="142">
        <f t="shared" si="2"/>
        <v>0</v>
      </c>
      <c r="P13" s="141"/>
      <c r="Q13" s="141"/>
      <c r="R13" s="141"/>
      <c r="S13" s="143">
        <f t="shared" si="3"/>
        <v>0</v>
      </c>
      <c r="T13" s="32" t="str">
        <f t="shared" si="4"/>
        <v>OK</v>
      </c>
      <c r="U13" s="33"/>
      <c r="V13" s="33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</row>
    <row r="14" spans="1:34" ht="25.15" customHeight="1" x14ac:dyDescent="0.2">
      <c r="A14" s="208">
        <v>4</v>
      </c>
      <c r="B14" s="209" t="s">
        <v>49</v>
      </c>
      <c r="C14" s="40">
        <v>11</v>
      </c>
      <c r="D14" s="211" t="s">
        <v>50</v>
      </c>
      <c r="E14" s="39" t="s">
        <v>51</v>
      </c>
      <c r="F14" s="41" t="s">
        <v>16</v>
      </c>
      <c r="G14" s="41" t="s">
        <v>17</v>
      </c>
      <c r="H14" s="41" t="s">
        <v>210</v>
      </c>
      <c r="I14" s="39" t="s">
        <v>53</v>
      </c>
      <c r="J14" s="42">
        <v>19.63</v>
      </c>
      <c r="K14" s="31">
        <v>10</v>
      </c>
      <c r="L14" s="140">
        <f t="shared" si="0"/>
        <v>10</v>
      </c>
      <c r="M14" s="140">
        <f t="shared" si="1"/>
        <v>10</v>
      </c>
      <c r="N14" s="141"/>
      <c r="O14" s="142">
        <f t="shared" si="2"/>
        <v>2</v>
      </c>
      <c r="P14" s="141"/>
      <c r="Q14" s="141"/>
      <c r="R14" s="141"/>
      <c r="S14" s="143">
        <f t="shared" si="3"/>
        <v>0</v>
      </c>
      <c r="T14" s="32" t="str">
        <f t="shared" si="4"/>
        <v>OK</v>
      </c>
      <c r="U14" s="33"/>
      <c r="V14" s="33"/>
      <c r="W14" s="34"/>
      <c r="X14" s="36"/>
      <c r="Y14" s="36"/>
      <c r="Z14" s="103">
        <v>10</v>
      </c>
      <c r="AA14" s="34"/>
      <c r="AB14" s="34"/>
      <c r="AC14" s="34"/>
      <c r="AD14" s="34"/>
      <c r="AE14" s="34"/>
      <c r="AF14" s="34"/>
      <c r="AG14" s="34"/>
      <c r="AH14" s="34"/>
    </row>
    <row r="15" spans="1:34" ht="22.7" customHeight="1" x14ac:dyDescent="0.2">
      <c r="A15" s="208"/>
      <c r="B15" s="210"/>
      <c r="C15" s="40">
        <v>12</v>
      </c>
      <c r="D15" s="212"/>
      <c r="E15" s="39" t="s">
        <v>52</v>
      </c>
      <c r="F15" s="41" t="s">
        <v>16</v>
      </c>
      <c r="G15" s="41" t="s">
        <v>17</v>
      </c>
      <c r="H15" s="41" t="s">
        <v>44</v>
      </c>
      <c r="I15" s="39" t="s">
        <v>24</v>
      </c>
      <c r="J15" s="42">
        <v>20.27</v>
      </c>
      <c r="K15" s="31">
        <v>0</v>
      </c>
      <c r="L15" s="140">
        <f t="shared" si="0"/>
        <v>0</v>
      </c>
      <c r="M15" s="140">
        <f t="shared" si="1"/>
        <v>0</v>
      </c>
      <c r="N15" s="141"/>
      <c r="O15" s="142">
        <f t="shared" si="2"/>
        <v>0</v>
      </c>
      <c r="P15" s="141"/>
      <c r="Q15" s="141"/>
      <c r="R15" s="141"/>
      <c r="S15" s="143">
        <f t="shared" si="3"/>
        <v>0</v>
      </c>
      <c r="T15" s="32" t="str">
        <f t="shared" si="4"/>
        <v>OK</v>
      </c>
      <c r="U15" s="33"/>
      <c r="V15" s="33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</row>
    <row r="16" spans="1:34" ht="45" customHeight="1" x14ac:dyDescent="0.2">
      <c r="A16" s="48">
        <v>5</v>
      </c>
      <c r="B16" s="28" t="s">
        <v>49</v>
      </c>
      <c r="C16" s="26">
        <v>13</v>
      </c>
      <c r="D16" s="165" t="s">
        <v>54</v>
      </c>
      <c r="E16" s="63" t="s">
        <v>55</v>
      </c>
      <c r="F16" s="50" t="s">
        <v>16</v>
      </c>
      <c r="G16" s="50" t="s">
        <v>17</v>
      </c>
      <c r="H16" s="29" t="s">
        <v>211</v>
      </c>
      <c r="I16" s="28" t="s">
        <v>53</v>
      </c>
      <c r="J16" s="30">
        <v>28.9</v>
      </c>
      <c r="K16" s="31">
        <v>20</v>
      </c>
      <c r="L16" s="140">
        <f t="shared" si="0"/>
        <v>20</v>
      </c>
      <c r="M16" s="140">
        <f t="shared" si="1"/>
        <v>20</v>
      </c>
      <c r="N16" s="141"/>
      <c r="O16" s="142">
        <f t="shared" si="2"/>
        <v>5</v>
      </c>
      <c r="P16" s="141"/>
      <c r="Q16" s="141"/>
      <c r="R16" s="141"/>
      <c r="S16" s="143">
        <f t="shared" si="3"/>
        <v>0</v>
      </c>
      <c r="T16" s="32" t="str">
        <f t="shared" si="4"/>
        <v>OK</v>
      </c>
      <c r="U16" s="33"/>
      <c r="V16" s="33"/>
      <c r="W16" s="34"/>
      <c r="X16" s="34"/>
      <c r="Y16" s="34"/>
      <c r="Z16" s="103">
        <v>20</v>
      </c>
      <c r="AA16" s="34"/>
      <c r="AB16" s="34"/>
      <c r="AC16" s="34"/>
      <c r="AD16" s="34"/>
      <c r="AE16" s="34"/>
      <c r="AF16" s="34"/>
      <c r="AG16" s="34"/>
      <c r="AH16" s="34"/>
    </row>
    <row r="17" spans="1:34" ht="58.5" customHeight="1" x14ac:dyDescent="0.2">
      <c r="A17" s="164">
        <v>6</v>
      </c>
      <c r="B17" s="47" t="s">
        <v>49</v>
      </c>
      <c r="C17" s="40">
        <v>14</v>
      </c>
      <c r="D17" s="47" t="s">
        <v>57</v>
      </c>
      <c r="E17" s="39" t="s">
        <v>56</v>
      </c>
      <c r="F17" s="41" t="s">
        <v>16</v>
      </c>
      <c r="G17" s="41" t="s">
        <v>17</v>
      </c>
      <c r="H17" s="41" t="s">
        <v>209</v>
      </c>
      <c r="I17" s="39" t="s">
        <v>24</v>
      </c>
      <c r="J17" s="42">
        <v>9.5</v>
      </c>
      <c r="K17" s="31">
        <v>700</v>
      </c>
      <c r="L17" s="140">
        <f t="shared" si="0"/>
        <v>10</v>
      </c>
      <c r="M17" s="140">
        <f t="shared" si="1"/>
        <v>10</v>
      </c>
      <c r="N17" s="141">
        <v>-690</v>
      </c>
      <c r="O17" s="142">
        <f t="shared" si="2"/>
        <v>175</v>
      </c>
      <c r="P17" s="141"/>
      <c r="Q17" s="141"/>
      <c r="R17" s="141"/>
      <c r="S17" s="143">
        <f t="shared" si="3"/>
        <v>0</v>
      </c>
      <c r="T17" s="32" t="str">
        <f t="shared" si="4"/>
        <v>OK</v>
      </c>
      <c r="U17" s="33"/>
      <c r="V17" s="35"/>
      <c r="W17" s="45"/>
      <c r="X17" s="34"/>
      <c r="Y17" s="36"/>
      <c r="Z17" s="103">
        <v>10</v>
      </c>
      <c r="AA17" s="34"/>
      <c r="AB17" s="34"/>
      <c r="AC17" s="34"/>
      <c r="AD17" s="34"/>
      <c r="AE17" s="34"/>
      <c r="AF17" s="34"/>
      <c r="AG17" s="34"/>
      <c r="AH17" s="34"/>
    </row>
    <row r="18" spans="1:34" ht="54.6" customHeight="1" x14ac:dyDescent="0.2">
      <c r="A18" s="65">
        <v>7</v>
      </c>
      <c r="B18" s="28" t="s">
        <v>49</v>
      </c>
      <c r="C18" s="64">
        <v>15</v>
      </c>
      <c r="D18" s="37" t="s">
        <v>58</v>
      </c>
      <c r="E18" s="61" t="s">
        <v>59</v>
      </c>
      <c r="F18" s="29" t="s">
        <v>16</v>
      </c>
      <c r="G18" s="29" t="s">
        <v>17</v>
      </c>
      <c r="H18" s="29" t="s">
        <v>44</v>
      </c>
      <c r="I18" s="28" t="s">
        <v>24</v>
      </c>
      <c r="J18" s="30">
        <v>197.76</v>
      </c>
      <c r="K18" s="31">
        <v>2</v>
      </c>
      <c r="L18" s="140">
        <f t="shared" si="0"/>
        <v>0</v>
      </c>
      <c r="M18" s="140">
        <f t="shared" si="1"/>
        <v>0</v>
      </c>
      <c r="N18" s="141">
        <v>-2</v>
      </c>
      <c r="O18" s="142">
        <f t="shared" si="2"/>
        <v>0</v>
      </c>
      <c r="P18" s="141"/>
      <c r="Q18" s="141"/>
      <c r="R18" s="141"/>
      <c r="S18" s="143">
        <f t="shared" si="3"/>
        <v>0</v>
      </c>
      <c r="T18" s="32" t="str">
        <f t="shared" si="4"/>
        <v>OK</v>
      </c>
      <c r="U18" s="33"/>
      <c r="V18" s="35"/>
      <c r="W18" s="45"/>
      <c r="X18" s="34"/>
      <c r="Y18" s="36"/>
      <c r="Z18" s="34"/>
      <c r="AA18" s="34"/>
      <c r="AB18" s="34"/>
      <c r="AC18" s="34"/>
      <c r="AD18" s="34"/>
      <c r="AE18" s="34"/>
      <c r="AF18" s="34"/>
      <c r="AG18" s="34"/>
      <c r="AH18" s="34"/>
    </row>
    <row r="19" spans="1:34" ht="57.75" customHeight="1" x14ac:dyDescent="0.2">
      <c r="A19" s="188">
        <v>8</v>
      </c>
      <c r="B19" s="190" t="s">
        <v>49</v>
      </c>
      <c r="C19" s="40">
        <v>16</v>
      </c>
      <c r="D19" s="199" t="s">
        <v>12</v>
      </c>
      <c r="E19" s="39" t="s">
        <v>60</v>
      </c>
      <c r="F19" s="41" t="s">
        <v>16</v>
      </c>
      <c r="G19" s="41" t="s">
        <v>17</v>
      </c>
      <c r="H19" s="41" t="s">
        <v>44</v>
      </c>
      <c r="I19" s="39" t="s">
        <v>24</v>
      </c>
      <c r="J19" s="42">
        <v>22.35</v>
      </c>
      <c r="K19" s="31">
        <v>20</v>
      </c>
      <c r="L19" s="140">
        <f t="shared" si="0"/>
        <v>20</v>
      </c>
      <c r="M19" s="140">
        <f t="shared" si="1"/>
        <v>20</v>
      </c>
      <c r="N19" s="141"/>
      <c r="O19" s="142">
        <f t="shared" si="2"/>
        <v>5</v>
      </c>
      <c r="P19" s="141"/>
      <c r="Q19" s="141"/>
      <c r="R19" s="141"/>
      <c r="S19" s="143">
        <f t="shared" si="3"/>
        <v>0</v>
      </c>
      <c r="T19" s="32" t="str">
        <f t="shared" si="4"/>
        <v>OK</v>
      </c>
      <c r="U19" s="33"/>
      <c r="V19" s="35"/>
      <c r="W19" s="45"/>
      <c r="X19" s="34"/>
      <c r="Y19" s="36"/>
      <c r="Z19" s="103">
        <v>20</v>
      </c>
      <c r="AA19" s="34"/>
      <c r="AB19" s="34"/>
      <c r="AC19" s="34"/>
      <c r="AD19" s="34"/>
      <c r="AE19" s="34"/>
      <c r="AF19" s="34"/>
      <c r="AG19" s="34"/>
      <c r="AH19" s="34"/>
    </row>
    <row r="20" spans="1:34" ht="45" customHeight="1" x14ac:dyDescent="0.2">
      <c r="A20" s="189"/>
      <c r="B20" s="191"/>
      <c r="C20" s="40">
        <v>17</v>
      </c>
      <c r="D20" s="200"/>
      <c r="E20" s="39" t="s">
        <v>61</v>
      </c>
      <c r="F20" s="44" t="s">
        <v>16</v>
      </c>
      <c r="G20" s="44" t="s">
        <v>17</v>
      </c>
      <c r="H20" s="41" t="s">
        <v>44</v>
      </c>
      <c r="I20" s="39" t="s">
        <v>24</v>
      </c>
      <c r="J20" s="42">
        <v>4.5999999999999996</v>
      </c>
      <c r="K20" s="31">
        <v>0</v>
      </c>
      <c r="L20" s="140">
        <f t="shared" si="0"/>
        <v>0</v>
      </c>
      <c r="M20" s="140">
        <f t="shared" si="1"/>
        <v>0</v>
      </c>
      <c r="N20" s="141"/>
      <c r="O20" s="142">
        <f t="shared" si="2"/>
        <v>0</v>
      </c>
      <c r="P20" s="141"/>
      <c r="Q20" s="141"/>
      <c r="R20" s="141"/>
      <c r="S20" s="143">
        <f t="shared" si="3"/>
        <v>0</v>
      </c>
      <c r="T20" s="32" t="str">
        <f t="shared" si="4"/>
        <v>OK</v>
      </c>
      <c r="U20" s="33"/>
      <c r="V20" s="35"/>
      <c r="W20" s="45"/>
      <c r="X20" s="34"/>
      <c r="Y20" s="45"/>
      <c r="Z20" s="34"/>
      <c r="AA20" s="34"/>
      <c r="AB20" s="34"/>
      <c r="AC20" s="34"/>
      <c r="AD20" s="34"/>
      <c r="AE20" s="34"/>
      <c r="AF20" s="34"/>
      <c r="AG20" s="34"/>
      <c r="AH20" s="34"/>
    </row>
    <row r="21" spans="1:34" ht="58.7" customHeight="1" x14ac:dyDescent="0.2">
      <c r="A21" s="48">
        <v>9</v>
      </c>
      <c r="B21" s="28" t="s">
        <v>62</v>
      </c>
      <c r="C21" s="26">
        <v>18</v>
      </c>
      <c r="D21" s="27" t="s">
        <v>63</v>
      </c>
      <c r="E21" s="28" t="s">
        <v>64</v>
      </c>
      <c r="F21" s="50" t="s">
        <v>16</v>
      </c>
      <c r="G21" s="50" t="s">
        <v>17</v>
      </c>
      <c r="H21" s="29" t="s">
        <v>44</v>
      </c>
      <c r="I21" s="28" t="s">
        <v>24</v>
      </c>
      <c r="J21" s="30">
        <v>3.46</v>
      </c>
      <c r="K21" s="31">
        <v>0</v>
      </c>
      <c r="L21" s="140">
        <f t="shared" si="0"/>
        <v>0</v>
      </c>
      <c r="M21" s="140">
        <f t="shared" si="1"/>
        <v>0</v>
      </c>
      <c r="N21" s="141"/>
      <c r="O21" s="142">
        <f t="shared" si="2"/>
        <v>0</v>
      </c>
      <c r="P21" s="141"/>
      <c r="Q21" s="141"/>
      <c r="R21" s="141"/>
      <c r="S21" s="143">
        <f t="shared" si="3"/>
        <v>0</v>
      </c>
      <c r="T21" s="32" t="str">
        <f t="shared" si="4"/>
        <v>OK</v>
      </c>
      <c r="U21" s="35"/>
      <c r="V21" s="33"/>
      <c r="W21" s="45"/>
      <c r="X21" s="34"/>
      <c r="Y21" s="45"/>
      <c r="Z21" s="34"/>
      <c r="AA21" s="34"/>
      <c r="AB21" s="34"/>
      <c r="AC21" s="34"/>
      <c r="AD21" s="34"/>
      <c r="AE21" s="34"/>
      <c r="AF21" s="34"/>
      <c r="AG21" s="34"/>
      <c r="AH21" s="34"/>
    </row>
    <row r="22" spans="1:34" ht="45" customHeight="1" x14ac:dyDescent="0.2">
      <c r="A22" s="38">
        <v>10</v>
      </c>
      <c r="B22" s="47" t="s">
        <v>31</v>
      </c>
      <c r="C22" s="40">
        <v>19</v>
      </c>
      <c r="D22" s="47" t="s">
        <v>27</v>
      </c>
      <c r="E22" s="39" t="s">
        <v>23</v>
      </c>
      <c r="F22" s="44" t="s">
        <v>16</v>
      </c>
      <c r="G22" s="44" t="s">
        <v>17</v>
      </c>
      <c r="H22" s="41" t="s">
        <v>44</v>
      </c>
      <c r="I22" s="39" t="s">
        <v>24</v>
      </c>
      <c r="J22" s="42">
        <v>0.4</v>
      </c>
      <c r="K22" s="31">
        <v>400</v>
      </c>
      <c r="L22" s="140">
        <f t="shared" si="0"/>
        <v>0</v>
      </c>
      <c r="M22" s="140">
        <f t="shared" si="1"/>
        <v>0</v>
      </c>
      <c r="N22" s="141"/>
      <c r="O22" s="142">
        <f t="shared" si="2"/>
        <v>100</v>
      </c>
      <c r="P22" s="141"/>
      <c r="Q22" s="141"/>
      <c r="R22" s="141"/>
      <c r="S22" s="143">
        <f t="shared" si="3"/>
        <v>400</v>
      </c>
      <c r="T22" s="32" t="str">
        <f t="shared" si="4"/>
        <v>OK</v>
      </c>
      <c r="U22" s="35"/>
      <c r="V22" s="33"/>
      <c r="W22" s="45"/>
      <c r="X22" s="34"/>
      <c r="Y22" s="45"/>
      <c r="Z22" s="36"/>
      <c r="AA22" s="34"/>
      <c r="AB22" s="34"/>
      <c r="AC22" s="34"/>
      <c r="AD22" s="34"/>
      <c r="AE22" s="34"/>
      <c r="AF22" s="34"/>
      <c r="AG22" s="34"/>
      <c r="AH22" s="34"/>
    </row>
    <row r="23" spans="1:34" ht="28.15" customHeight="1" x14ac:dyDescent="0.2">
      <c r="A23" s="194">
        <v>11</v>
      </c>
      <c r="B23" s="196" t="s">
        <v>65</v>
      </c>
      <c r="C23" s="26">
        <v>20</v>
      </c>
      <c r="D23" s="201" t="s">
        <v>25</v>
      </c>
      <c r="E23" s="28" t="s">
        <v>19</v>
      </c>
      <c r="F23" s="50" t="s">
        <v>16</v>
      </c>
      <c r="G23" s="50" t="s">
        <v>17</v>
      </c>
      <c r="H23" s="29" t="s">
        <v>44</v>
      </c>
      <c r="I23" s="28" t="s">
        <v>24</v>
      </c>
      <c r="J23" s="30">
        <v>3.95</v>
      </c>
      <c r="K23" s="31">
        <v>0</v>
      </c>
      <c r="L23" s="140">
        <f t="shared" si="0"/>
        <v>0</v>
      </c>
      <c r="M23" s="140">
        <f t="shared" si="1"/>
        <v>0</v>
      </c>
      <c r="N23" s="141"/>
      <c r="O23" s="142">
        <f t="shared" si="2"/>
        <v>0</v>
      </c>
      <c r="P23" s="141"/>
      <c r="Q23" s="141"/>
      <c r="R23" s="141"/>
      <c r="S23" s="143">
        <f t="shared" si="3"/>
        <v>0</v>
      </c>
      <c r="T23" s="32" t="str">
        <f t="shared" si="4"/>
        <v>OK</v>
      </c>
      <c r="U23" s="35"/>
      <c r="V23" s="33"/>
      <c r="W23" s="45"/>
      <c r="X23" s="34"/>
      <c r="Y23" s="45"/>
      <c r="Z23" s="36"/>
      <c r="AA23" s="34"/>
      <c r="AB23" s="34"/>
      <c r="AC23" s="34"/>
      <c r="AD23" s="34"/>
      <c r="AE23" s="34"/>
      <c r="AF23" s="34"/>
      <c r="AG23" s="34"/>
      <c r="AH23" s="34"/>
    </row>
    <row r="24" spans="1:34" ht="25.15" customHeight="1" x14ac:dyDescent="0.2">
      <c r="A24" s="195"/>
      <c r="B24" s="197"/>
      <c r="C24" s="26">
        <v>21</v>
      </c>
      <c r="D24" s="202"/>
      <c r="E24" s="28" t="s">
        <v>20</v>
      </c>
      <c r="F24" s="50" t="s">
        <v>16</v>
      </c>
      <c r="G24" s="50" t="s">
        <v>17</v>
      </c>
      <c r="H24" s="29" t="s">
        <v>44</v>
      </c>
      <c r="I24" s="28" t="s">
        <v>24</v>
      </c>
      <c r="J24" s="30">
        <v>2.41</v>
      </c>
      <c r="K24" s="31">
        <v>0</v>
      </c>
      <c r="L24" s="140">
        <f t="shared" si="0"/>
        <v>0</v>
      </c>
      <c r="M24" s="140">
        <f t="shared" si="1"/>
        <v>0</v>
      </c>
      <c r="N24" s="141"/>
      <c r="O24" s="142">
        <f t="shared" si="2"/>
        <v>0</v>
      </c>
      <c r="P24" s="141"/>
      <c r="Q24" s="141"/>
      <c r="R24" s="141"/>
      <c r="S24" s="143">
        <f t="shared" si="3"/>
        <v>0</v>
      </c>
      <c r="T24" s="32" t="str">
        <f t="shared" si="4"/>
        <v>OK</v>
      </c>
      <c r="U24" s="33"/>
      <c r="V24" s="33"/>
      <c r="W24" s="45"/>
      <c r="X24" s="34"/>
      <c r="Y24" s="45"/>
      <c r="Z24" s="34"/>
      <c r="AA24" s="34"/>
      <c r="AB24" s="34"/>
      <c r="AC24" s="34"/>
      <c r="AD24" s="34"/>
      <c r="AE24" s="34"/>
      <c r="AF24" s="34"/>
      <c r="AG24" s="34"/>
      <c r="AH24" s="34"/>
    </row>
    <row r="25" spans="1:34" ht="26.45" customHeight="1" x14ac:dyDescent="0.2">
      <c r="A25" s="188">
        <v>12</v>
      </c>
      <c r="B25" s="190" t="s">
        <v>62</v>
      </c>
      <c r="C25" s="40">
        <v>22</v>
      </c>
      <c r="D25" s="199" t="s">
        <v>26</v>
      </c>
      <c r="E25" s="39" t="s">
        <v>19</v>
      </c>
      <c r="F25" s="44" t="s">
        <v>16</v>
      </c>
      <c r="G25" s="44" t="s">
        <v>17</v>
      </c>
      <c r="H25" s="41" t="s">
        <v>44</v>
      </c>
      <c r="I25" s="39" t="s">
        <v>24</v>
      </c>
      <c r="J25" s="42">
        <v>2.48</v>
      </c>
      <c r="K25" s="31">
        <v>0</v>
      </c>
      <c r="L25" s="140">
        <f t="shared" si="0"/>
        <v>0</v>
      </c>
      <c r="M25" s="140">
        <f t="shared" si="1"/>
        <v>0</v>
      </c>
      <c r="N25" s="141"/>
      <c r="O25" s="142">
        <f t="shared" si="2"/>
        <v>0</v>
      </c>
      <c r="P25" s="141"/>
      <c r="Q25" s="141"/>
      <c r="R25" s="141"/>
      <c r="S25" s="143">
        <f t="shared" si="3"/>
        <v>0</v>
      </c>
      <c r="T25" s="32" t="str">
        <f t="shared" si="4"/>
        <v>OK</v>
      </c>
      <c r="U25" s="33"/>
      <c r="V25" s="33"/>
      <c r="W25" s="45"/>
      <c r="X25" s="34"/>
      <c r="Y25" s="45"/>
      <c r="Z25" s="34"/>
      <c r="AA25" s="34"/>
      <c r="AB25" s="34"/>
      <c r="AC25" s="34"/>
      <c r="AD25" s="34"/>
      <c r="AE25" s="34"/>
      <c r="AF25" s="34"/>
      <c r="AG25" s="34"/>
      <c r="AH25" s="34"/>
    </row>
    <row r="26" spans="1:34" ht="24.4" customHeight="1" x14ac:dyDescent="0.2">
      <c r="A26" s="189"/>
      <c r="B26" s="191"/>
      <c r="C26" s="40">
        <v>23</v>
      </c>
      <c r="D26" s="200"/>
      <c r="E26" s="43" t="s">
        <v>20</v>
      </c>
      <c r="F26" s="44" t="s">
        <v>16</v>
      </c>
      <c r="G26" s="44" t="s">
        <v>17</v>
      </c>
      <c r="H26" s="41" t="s">
        <v>44</v>
      </c>
      <c r="I26" s="39" t="s">
        <v>24</v>
      </c>
      <c r="J26" s="42">
        <v>1.2</v>
      </c>
      <c r="K26" s="31">
        <v>105</v>
      </c>
      <c r="L26" s="140">
        <f t="shared" si="0"/>
        <v>0</v>
      </c>
      <c r="M26" s="140">
        <f t="shared" si="1"/>
        <v>0</v>
      </c>
      <c r="N26" s="141"/>
      <c r="O26" s="142">
        <f t="shared" si="2"/>
        <v>26</v>
      </c>
      <c r="P26" s="141"/>
      <c r="Q26" s="141"/>
      <c r="R26" s="141"/>
      <c r="S26" s="143">
        <f t="shared" si="3"/>
        <v>105</v>
      </c>
      <c r="T26" s="32" t="str">
        <f t="shared" si="4"/>
        <v>OK</v>
      </c>
      <c r="U26" s="33"/>
      <c r="V26" s="33"/>
      <c r="W26" s="45"/>
      <c r="X26" s="34"/>
      <c r="Y26" s="45"/>
      <c r="Z26" s="34"/>
      <c r="AA26" s="34"/>
      <c r="AB26" s="34"/>
      <c r="AC26" s="34"/>
      <c r="AD26" s="34"/>
      <c r="AE26" s="34"/>
      <c r="AF26" s="34"/>
      <c r="AG26" s="34"/>
      <c r="AH26" s="34"/>
    </row>
    <row r="27" spans="1:34" ht="24" customHeight="1" x14ac:dyDescent="0.2">
      <c r="A27" s="194">
        <v>13</v>
      </c>
      <c r="B27" s="196" t="s">
        <v>65</v>
      </c>
      <c r="C27" s="26">
        <v>24</v>
      </c>
      <c r="D27" s="201" t="s">
        <v>66</v>
      </c>
      <c r="E27" s="28" t="s">
        <v>21</v>
      </c>
      <c r="F27" s="50" t="s">
        <v>16</v>
      </c>
      <c r="G27" s="29" t="s">
        <v>17</v>
      </c>
      <c r="H27" s="29" t="s">
        <v>44</v>
      </c>
      <c r="I27" s="28" t="s">
        <v>24</v>
      </c>
      <c r="J27" s="30">
        <v>0.33</v>
      </c>
      <c r="K27" s="31">
        <f>0</f>
        <v>0</v>
      </c>
      <c r="L27" s="140">
        <f t="shared" si="0"/>
        <v>1000</v>
      </c>
      <c r="M27" s="140">
        <f t="shared" si="1"/>
        <v>1000</v>
      </c>
      <c r="N27" s="141">
        <f>1000+150</f>
        <v>1150</v>
      </c>
      <c r="O27" s="142">
        <f t="shared" si="2"/>
        <v>0</v>
      </c>
      <c r="P27" s="141"/>
      <c r="Q27" s="141"/>
      <c r="R27" s="141"/>
      <c r="S27" s="143">
        <f t="shared" si="3"/>
        <v>150</v>
      </c>
      <c r="T27" s="32" t="str">
        <f t="shared" si="4"/>
        <v>OK</v>
      </c>
      <c r="U27" s="35"/>
      <c r="V27" s="96">
        <v>1000</v>
      </c>
      <c r="W27" s="45"/>
      <c r="X27" s="34"/>
      <c r="Y27" s="45"/>
      <c r="Z27" s="34"/>
      <c r="AA27" s="34"/>
      <c r="AB27" s="34"/>
      <c r="AC27" s="34"/>
      <c r="AD27" s="34"/>
      <c r="AE27" s="34"/>
      <c r="AF27" s="34"/>
      <c r="AG27" s="34"/>
      <c r="AH27" s="34"/>
    </row>
    <row r="28" spans="1:34" ht="30.2" customHeight="1" x14ac:dyDescent="0.2">
      <c r="A28" s="195"/>
      <c r="B28" s="197"/>
      <c r="C28" s="26">
        <v>25</v>
      </c>
      <c r="D28" s="202"/>
      <c r="E28" s="28" t="s">
        <v>22</v>
      </c>
      <c r="F28" s="50" t="s">
        <v>16</v>
      </c>
      <c r="G28" s="50" t="s">
        <v>17</v>
      </c>
      <c r="H28" s="29" t="s">
        <v>44</v>
      </c>
      <c r="I28" s="28" t="s">
        <v>24</v>
      </c>
      <c r="J28" s="30">
        <v>0.15</v>
      </c>
      <c r="K28" s="31">
        <f>1000-1000</f>
        <v>0</v>
      </c>
      <c r="L28" s="140">
        <f t="shared" si="0"/>
        <v>0</v>
      </c>
      <c r="M28" s="140">
        <f t="shared" si="1"/>
        <v>0</v>
      </c>
      <c r="N28" s="141"/>
      <c r="O28" s="142">
        <f t="shared" si="2"/>
        <v>0</v>
      </c>
      <c r="P28" s="141"/>
      <c r="Q28" s="141"/>
      <c r="R28" s="141"/>
      <c r="S28" s="143">
        <f t="shared" si="3"/>
        <v>0</v>
      </c>
      <c r="T28" s="32" t="str">
        <f t="shared" si="4"/>
        <v>OK</v>
      </c>
      <c r="U28" s="33"/>
      <c r="V28" s="99"/>
      <c r="W28" s="45"/>
      <c r="X28" s="34"/>
      <c r="Y28" s="45"/>
      <c r="Z28" s="34"/>
      <c r="AA28" s="34"/>
      <c r="AB28" s="34"/>
      <c r="AC28" s="34"/>
      <c r="AD28" s="34"/>
      <c r="AE28" s="34"/>
      <c r="AF28" s="34"/>
      <c r="AG28" s="34"/>
      <c r="AH28" s="34"/>
    </row>
    <row r="29" spans="1:34" ht="26.45" customHeight="1" x14ac:dyDescent="0.2">
      <c r="A29" s="188">
        <v>14</v>
      </c>
      <c r="B29" s="190" t="s">
        <v>65</v>
      </c>
      <c r="C29" s="40">
        <v>26</v>
      </c>
      <c r="D29" s="192" t="s">
        <v>67</v>
      </c>
      <c r="E29" s="66" t="s">
        <v>21</v>
      </c>
      <c r="F29" s="44" t="s">
        <v>16</v>
      </c>
      <c r="G29" s="44" t="s">
        <v>17</v>
      </c>
      <c r="H29" s="41" t="s">
        <v>44</v>
      </c>
      <c r="I29" s="39" t="s">
        <v>24</v>
      </c>
      <c r="J29" s="42">
        <v>0.33</v>
      </c>
      <c r="K29" s="31">
        <f>0</f>
        <v>0</v>
      </c>
      <c r="L29" s="140">
        <f t="shared" si="0"/>
        <v>1000</v>
      </c>
      <c r="M29" s="140">
        <f t="shared" si="1"/>
        <v>1000</v>
      </c>
      <c r="N29" s="141">
        <f>1000+150</f>
        <v>1150</v>
      </c>
      <c r="O29" s="142">
        <f t="shared" si="2"/>
        <v>0</v>
      </c>
      <c r="P29" s="141"/>
      <c r="Q29" s="141"/>
      <c r="R29" s="141"/>
      <c r="S29" s="143">
        <f t="shared" si="3"/>
        <v>150</v>
      </c>
      <c r="T29" s="32" t="str">
        <f t="shared" si="4"/>
        <v>OK</v>
      </c>
      <c r="U29" s="33"/>
      <c r="V29" s="96">
        <v>1000</v>
      </c>
      <c r="W29" s="45"/>
      <c r="X29" s="34"/>
      <c r="Y29" s="45"/>
      <c r="Z29" s="34"/>
      <c r="AA29" s="34"/>
      <c r="AB29" s="34"/>
      <c r="AC29" s="34"/>
      <c r="AD29" s="34"/>
      <c r="AE29" s="34"/>
      <c r="AF29" s="34"/>
      <c r="AG29" s="34"/>
      <c r="AH29" s="34"/>
    </row>
    <row r="30" spans="1:34" ht="33.950000000000003" customHeight="1" x14ac:dyDescent="0.2">
      <c r="A30" s="189"/>
      <c r="B30" s="191"/>
      <c r="C30" s="40">
        <v>27</v>
      </c>
      <c r="D30" s="193"/>
      <c r="E30" s="66" t="s">
        <v>22</v>
      </c>
      <c r="F30" s="44" t="s">
        <v>16</v>
      </c>
      <c r="G30" s="44" t="s">
        <v>17</v>
      </c>
      <c r="H30" s="41" t="s">
        <v>44</v>
      </c>
      <c r="I30" s="39" t="s">
        <v>24</v>
      </c>
      <c r="J30" s="42">
        <v>0.23</v>
      </c>
      <c r="K30" s="31">
        <f>1000-1000</f>
        <v>0</v>
      </c>
      <c r="L30" s="140">
        <f t="shared" si="0"/>
        <v>0</v>
      </c>
      <c r="M30" s="140">
        <f t="shared" si="1"/>
        <v>0</v>
      </c>
      <c r="N30" s="141"/>
      <c r="O30" s="142">
        <f t="shared" si="2"/>
        <v>0</v>
      </c>
      <c r="P30" s="141"/>
      <c r="Q30" s="141"/>
      <c r="R30" s="141"/>
      <c r="S30" s="143">
        <f t="shared" si="3"/>
        <v>0</v>
      </c>
      <c r="T30" s="32" t="str">
        <f t="shared" si="4"/>
        <v>OK</v>
      </c>
      <c r="U30" s="33"/>
      <c r="V30" s="98"/>
      <c r="W30" s="45"/>
      <c r="X30" s="34"/>
      <c r="Y30" s="45"/>
      <c r="Z30" s="34"/>
      <c r="AA30" s="34"/>
      <c r="AB30" s="34"/>
      <c r="AC30" s="34"/>
      <c r="AD30" s="34"/>
      <c r="AE30" s="34"/>
      <c r="AF30" s="34"/>
      <c r="AG30" s="34"/>
      <c r="AH30" s="34"/>
    </row>
    <row r="31" spans="1:34" ht="27" customHeight="1" x14ac:dyDescent="0.2">
      <c r="A31" s="194">
        <v>15</v>
      </c>
      <c r="B31" s="196" t="s">
        <v>31</v>
      </c>
      <c r="C31" s="68">
        <v>28</v>
      </c>
      <c r="D31" s="198" t="s">
        <v>68</v>
      </c>
      <c r="E31" s="28" t="s">
        <v>21</v>
      </c>
      <c r="F31" s="50" t="s">
        <v>16</v>
      </c>
      <c r="G31" s="50" t="s">
        <v>17</v>
      </c>
      <c r="H31" s="29" t="s">
        <v>44</v>
      </c>
      <c r="I31" s="28" t="s">
        <v>24</v>
      </c>
      <c r="J31" s="30">
        <v>0.4</v>
      </c>
      <c r="K31" s="31">
        <v>0</v>
      </c>
      <c r="L31" s="140">
        <f t="shared" si="0"/>
        <v>0</v>
      </c>
      <c r="M31" s="140">
        <f t="shared" si="1"/>
        <v>0</v>
      </c>
      <c r="N31" s="141"/>
      <c r="O31" s="142">
        <f t="shared" si="2"/>
        <v>0</v>
      </c>
      <c r="P31" s="141"/>
      <c r="Q31" s="141"/>
      <c r="R31" s="141"/>
      <c r="S31" s="143">
        <f t="shared" si="3"/>
        <v>0</v>
      </c>
      <c r="T31" s="32" t="str">
        <f t="shared" si="4"/>
        <v>OK</v>
      </c>
      <c r="U31" s="33"/>
      <c r="V31" s="35"/>
      <c r="W31" s="45"/>
      <c r="X31" s="34"/>
      <c r="Y31" s="45"/>
      <c r="Z31" s="34"/>
      <c r="AA31" s="34"/>
      <c r="AB31" s="34"/>
      <c r="AC31" s="34"/>
      <c r="AD31" s="34"/>
      <c r="AE31" s="34"/>
      <c r="AF31" s="34"/>
      <c r="AG31" s="34"/>
      <c r="AH31" s="34"/>
    </row>
    <row r="32" spans="1:34" ht="29.25" customHeight="1" x14ac:dyDescent="0.2">
      <c r="A32" s="195"/>
      <c r="B32" s="197"/>
      <c r="C32" s="26">
        <v>29</v>
      </c>
      <c r="D32" s="198"/>
      <c r="E32" s="28" t="s">
        <v>22</v>
      </c>
      <c r="F32" s="50" t="s">
        <v>16</v>
      </c>
      <c r="G32" s="50" t="s">
        <v>17</v>
      </c>
      <c r="H32" s="29" t="s">
        <v>44</v>
      </c>
      <c r="I32" s="28" t="s">
        <v>24</v>
      </c>
      <c r="J32" s="30">
        <v>0.44</v>
      </c>
      <c r="K32" s="31">
        <v>0</v>
      </c>
      <c r="L32" s="140">
        <f t="shared" si="0"/>
        <v>0</v>
      </c>
      <c r="M32" s="140">
        <f t="shared" si="1"/>
        <v>0</v>
      </c>
      <c r="N32" s="141"/>
      <c r="O32" s="142">
        <f t="shared" si="2"/>
        <v>0</v>
      </c>
      <c r="P32" s="141"/>
      <c r="Q32" s="141"/>
      <c r="R32" s="141"/>
      <c r="S32" s="143">
        <f t="shared" si="3"/>
        <v>0</v>
      </c>
      <c r="T32" s="32" t="str">
        <f t="shared" si="4"/>
        <v>OK</v>
      </c>
      <c r="U32" s="33"/>
      <c r="V32" s="33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</row>
    <row r="33" spans="4:34" x14ac:dyDescent="0.2">
      <c r="K33" s="56">
        <f>SUM(K4:K32)</f>
        <v>1347</v>
      </c>
      <c r="S33" s="56">
        <f t="shared" ref="S33" si="5">SUM(S4:S32)</f>
        <v>812</v>
      </c>
      <c r="U33" s="67">
        <f t="shared" ref="U33:AH33" si="6">SUMPRODUCT($J$4:$J$32,U4:U32)</f>
        <v>486</v>
      </c>
      <c r="V33" s="59">
        <f t="shared" si="6"/>
        <v>660</v>
      </c>
      <c r="W33" s="59">
        <f t="shared" si="6"/>
        <v>429</v>
      </c>
      <c r="X33" s="59">
        <f t="shared" si="6"/>
        <v>2227.5</v>
      </c>
      <c r="Y33" s="59">
        <f t="shared" si="6"/>
        <v>346.5</v>
      </c>
      <c r="Z33" s="59">
        <f t="shared" si="6"/>
        <v>1316.3</v>
      </c>
      <c r="AA33" s="59">
        <f t="shared" si="6"/>
        <v>0</v>
      </c>
      <c r="AB33" s="59">
        <f t="shared" si="6"/>
        <v>0</v>
      </c>
      <c r="AC33" s="59">
        <f t="shared" si="6"/>
        <v>0</v>
      </c>
      <c r="AD33" s="59">
        <f t="shared" si="6"/>
        <v>0</v>
      </c>
      <c r="AE33" s="59">
        <f t="shared" si="6"/>
        <v>0</v>
      </c>
      <c r="AF33" s="59">
        <f t="shared" si="6"/>
        <v>0</v>
      </c>
      <c r="AG33" s="59">
        <f t="shared" si="6"/>
        <v>0</v>
      </c>
      <c r="AH33" s="59">
        <f t="shared" si="6"/>
        <v>0</v>
      </c>
    </row>
    <row r="34" spans="4:34" x14ac:dyDescent="0.2">
      <c r="K34" s="148">
        <f>SUMPRODUCT($J$4:$J$32,K4:K32)</f>
        <v>12412.82</v>
      </c>
      <c r="L34" s="148">
        <f t="shared" ref="L34:M34" si="7">SUMPRODUCT($J$4:$J$32,L4:L32)</f>
        <v>5465.3</v>
      </c>
      <c r="M34" s="148">
        <f t="shared" si="7"/>
        <v>5465.3</v>
      </c>
    </row>
    <row r="35" spans="4:34" ht="15" x14ac:dyDescent="0.2">
      <c r="D35" s="95"/>
    </row>
  </sheetData>
  <autoFilter ref="A3:AH34" xr:uid="{29E771BD-6C8D-4906-86D2-4FCC640007B3}"/>
  <mergeCells count="49">
    <mergeCell ref="W1:W2"/>
    <mergeCell ref="A1:C1"/>
    <mergeCell ref="D1:J1"/>
    <mergeCell ref="K1:T1"/>
    <mergeCell ref="U1:U2"/>
    <mergeCell ref="V1:V2"/>
    <mergeCell ref="K2:T2"/>
    <mergeCell ref="A2:J2"/>
    <mergeCell ref="AH1:AH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4:A8"/>
    <mergeCell ref="B4:B8"/>
    <mergeCell ref="D4:D8"/>
    <mergeCell ref="A9:A10"/>
    <mergeCell ref="B9:B10"/>
    <mergeCell ref="D9:D10"/>
    <mergeCell ref="A11:A13"/>
    <mergeCell ref="B11:B13"/>
    <mergeCell ref="D11:D13"/>
    <mergeCell ref="A14:A15"/>
    <mergeCell ref="B14:B15"/>
    <mergeCell ref="D14:D15"/>
    <mergeCell ref="A19:A20"/>
    <mergeCell ref="B19:B20"/>
    <mergeCell ref="D19:D20"/>
    <mergeCell ref="A23:A24"/>
    <mergeCell ref="B23:B24"/>
    <mergeCell ref="D23:D24"/>
    <mergeCell ref="A25:A26"/>
    <mergeCell ref="B25:B26"/>
    <mergeCell ref="D25:D26"/>
    <mergeCell ref="A27:A28"/>
    <mergeCell ref="B27:B28"/>
    <mergeCell ref="D27:D28"/>
    <mergeCell ref="A29:A30"/>
    <mergeCell ref="B29:B30"/>
    <mergeCell ref="D29:D30"/>
    <mergeCell ref="A31:A32"/>
    <mergeCell ref="B31:B32"/>
    <mergeCell ref="D31:D3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19</vt:i4>
      </vt:variant>
    </vt:vector>
  </HeadingPairs>
  <TitlesOfParts>
    <vt:vector size="19" baseType="lpstr">
      <vt:lpstr>Reitoria-PROEX</vt:lpstr>
      <vt:lpstr>Reitoria-SECOM</vt:lpstr>
      <vt:lpstr>Reitoria-SCII</vt:lpstr>
      <vt:lpstr>Reitoria-BU</vt:lpstr>
      <vt:lpstr>MUSEU</vt:lpstr>
      <vt:lpstr>ESAG</vt:lpstr>
      <vt:lpstr>CEART</vt:lpstr>
      <vt:lpstr>FAED</vt:lpstr>
      <vt:lpstr>CEAD</vt:lpstr>
      <vt:lpstr>CEFID</vt:lpstr>
      <vt:lpstr>CAV</vt:lpstr>
      <vt:lpstr>CEO</vt:lpstr>
      <vt:lpstr>CEPLAN</vt:lpstr>
      <vt:lpstr>CEAVI</vt:lpstr>
      <vt:lpstr>CCT</vt:lpstr>
      <vt:lpstr>CERES</vt:lpstr>
      <vt:lpstr>CESFI</vt:lpstr>
      <vt:lpstr>CESMO</vt:lpstr>
      <vt:lpstr>GESTOR 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2025-04-15T20:42:51Z</dcterms:modified>
</cp:coreProperties>
</file>